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ga/Library/Mobile Documents/com~apple~CloudDocs/PFM stuffs/Ordering App Stuff/dataset/"/>
    </mc:Choice>
  </mc:AlternateContent>
  <xr:revisionPtr revIDLastSave="0" documentId="13_ncr:1_{C3E2857F-32F5-244D-873D-901140CAC1F0}" xr6:coauthVersionLast="47" xr6:coauthVersionMax="47" xr10:uidLastSave="{00000000-0000-0000-0000-000000000000}"/>
  <bookViews>
    <workbookView xWindow="1240" yWindow="1840" windowWidth="24760" windowHeight="18420" tabRatio="926" firstSheet="9" activeTab="14" xr2:uid="{91D16D85-2AB2-E147-B3ED-CC41EC8A4877}"/>
  </bookViews>
  <sheets>
    <sheet name="COVER" sheetId="4" r:id="rId1"/>
    <sheet name="F&amp;V_Select Fresh" sheetId="5" r:id="rId2"/>
    <sheet name="PROTEIN_POULTRY CLASSIC MEATS " sheetId="37" r:id="rId3"/>
    <sheet name="SMALL GOODS BIDFOODS  " sheetId="1" r:id="rId4"/>
    <sheet name="SEAFOOD_DAIRY_EGGS_BIDFOODS" sheetId="40" r:id="rId5"/>
    <sheet name="DAIRY_BROWNES DAIRY " sheetId="43" r:id="rId6"/>
    <sheet name="FROZEN_BIDFOODS " sheetId="6" r:id="rId7"/>
    <sheet name="BEVERAGE_DRY GOODS_BIDFOODS" sheetId="8" r:id="rId8"/>
    <sheet name="CATERING CONS_BUNZL" sheetId="11" r:id="rId9"/>
    <sheet name="CLEANING CONS_BUNZL " sheetId="47" r:id="rId10"/>
    <sheet name="CHEM_BUNZL" sheetId="12" r:id="rId11"/>
    <sheet name="RETAIL_PFD ICE CREAM" sheetId="48" r:id="rId12"/>
    <sheet name="RETAIL_METCASH TOBACCO" sheetId="49" r:id="rId13"/>
    <sheet name="RETAIL_CAMP BROWNES" sheetId="50" r:id="rId14"/>
    <sheet name="RETAIL_CAMP" sheetId="10" r:id="rId15"/>
    <sheet name="RETAIL_LTA" sheetId="36" r:id="rId16"/>
  </sheets>
  <definedNames>
    <definedName name="_xlnm._FilterDatabase" localSheetId="7" hidden="1">'BEVERAGE_DRY GOODS_BIDFOODS'!$B$1:$Q$483</definedName>
    <definedName name="_xlnm._FilterDatabase" localSheetId="2" hidden="1">'PROTEIN_POULTRY CLASSIC MEATS '!$B$11:$C$84</definedName>
    <definedName name="_xlnm._FilterDatabase" localSheetId="3" hidden="1">'SMALL GOODS BIDFOODS  '!#REF!</definedName>
    <definedName name="_xlnm.Print_Area" localSheetId="7">'BEVERAGE_DRY GOODS_BIDFOODS'!$B$1:$L$483</definedName>
    <definedName name="_xlnm.Print_Area" localSheetId="8">'CATERING CONS_BUNZL'!$B$1:$I$101</definedName>
    <definedName name="_xlnm.Print_Area" localSheetId="10">CHEM_BUNZL!$B$1:$I$48</definedName>
    <definedName name="_xlnm.Print_Area" localSheetId="9">'CLEANING CONS_BUNZL '!$B$1:$I$34</definedName>
    <definedName name="_xlnm.Print_Area" localSheetId="0">COVER!$B$1:$H$52</definedName>
    <definedName name="_xlnm.Print_Area" localSheetId="5">'DAIRY_BROWNES DAIRY '!$B$1:$J$25</definedName>
    <definedName name="_xlnm.Print_Area" localSheetId="1">'F&amp;V_Select Fresh'!$B$1:$I$64</definedName>
    <definedName name="_xlnm.Print_Area" localSheetId="6">'FROZEN_BIDFOODS '!$B$1:$L$130</definedName>
    <definedName name="_xlnm.Print_Area" localSheetId="2">'PROTEIN_POULTRY CLASSIC MEATS '!$B$1:$I$85</definedName>
    <definedName name="_xlnm.Print_Area" localSheetId="14">RETAIL_CAMP!$C$1:$M$278</definedName>
    <definedName name="_xlnm.Print_Area" localSheetId="13">'RETAIL_CAMP BROWNES'!$C$1:$M$56</definedName>
    <definedName name="_xlnm.Print_Area" localSheetId="15">RETAIL_LTA!$C$1:$M$96</definedName>
    <definedName name="_xlnm.Print_Area" localSheetId="12">'RETAIL_METCASH TOBACCO'!$C$1:$M$32</definedName>
    <definedName name="_xlnm.Print_Area" localSheetId="11">'RETAIL_PFD ICE CREAM'!$C$1:$M$44</definedName>
    <definedName name="_xlnm.Print_Area" localSheetId="4">SEAFOOD_DAIRY_EGGS_BIDFOODS!$B$1:$L$79</definedName>
    <definedName name="_xlnm.Print_Area" localSheetId="3">'SMALL GOODS BIDFOODS  '!$B$1:$L$29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76" i="10" l="1"/>
  <c r="O274" i="10"/>
  <c r="P274" i="10" s="1"/>
  <c r="S274" i="10" s="1"/>
  <c r="T274" i="10" s="1"/>
  <c r="O275" i="10"/>
  <c r="P275" i="10" s="1"/>
  <c r="S275" i="10" s="1"/>
  <c r="T275" i="10" s="1"/>
  <c r="N274" i="10"/>
  <c r="N275" i="10"/>
  <c r="N276" i="10"/>
  <c r="O276" i="10" s="1"/>
  <c r="N270" i="10"/>
  <c r="N271" i="10"/>
  <c r="N272" i="10"/>
  <c r="M268" i="10"/>
  <c r="M269" i="10"/>
  <c r="M270" i="10"/>
  <c r="M271" i="10"/>
  <c r="M272" i="10"/>
  <c r="S56" i="50"/>
  <c r="R54" i="50"/>
  <c r="N54" i="50"/>
  <c r="O54" i="50" s="1"/>
  <c r="M54" i="50"/>
  <c r="R53" i="50"/>
  <c r="N53" i="50"/>
  <c r="O53" i="50" s="1"/>
  <c r="P53" i="50" s="1"/>
  <c r="M53" i="50"/>
  <c r="R52" i="50"/>
  <c r="N52" i="50"/>
  <c r="M52" i="50"/>
  <c r="R51" i="50"/>
  <c r="N51" i="50"/>
  <c r="O51" i="50" s="1"/>
  <c r="M51" i="50"/>
  <c r="M50" i="50"/>
  <c r="R49" i="50"/>
  <c r="N49" i="50"/>
  <c r="O49" i="50" s="1"/>
  <c r="M49" i="50"/>
  <c r="R48" i="50"/>
  <c r="N48" i="50"/>
  <c r="O48" i="50" s="1"/>
  <c r="M48" i="50"/>
  <c r="R47" i="50"/>
  <c r="N47" i="50"/>
  <c r="M47" i="50"/>
  <c r="R46" i="50"/>
  <c r="N46" i="50"/>
  <c r="M46" i="50"/>
  <c r="R45" i="50"/>
  <c r="N45" i="50"/>
  <c r="O45" i="50" s="1"/>
  <c r="M45" i="50"/>
  <c r="R44" i="50"/>
  <c r="N44" i="50"/>
  <c r="M44" i="50"/>
  <c r="M43" i="50"/>
  <c r="R42" i="50"/>
  <c r="N42" i="50"/>
  <c r="M42" i="50"/>
  <c r="R41" i="50"/>
  <c r="N41" i="50"/>
  <c r="O41" i="50" s="1"/>
  <c r="P41" i="50" s="1"/>
  <c r="M41" i="50"/>
  <c r="R40" i="50"/>
  <c r="N40" i="50"/>
  <c r="M40" i="50"/>
  <c r="R39" i="50"/>
  <c r="N39" i="50"/>
  <c r="M39" i="50"/>
  <c r="R38" i="50"/>
  <c r="N38" i="50"/>
  <c r="O38" i="50" s="1"/>
  <c r="M38" i="50"/>
  <c r="R37" i="50"/>
  <c r="N37" i="50"/>
  <c r="O37" i="50" s="1"/>
  <c r="M37" i="50"/>
  <c r="R36" i="50"/>
  <c r="N36" i="50"/>
  <c r="M36" i="50"/>
  <c r="R34" i="50"/>
  <c r="N34" i="50"/>
  <c r="O34" i="50" s="1"/>
  <c r="M34" i="50"/>
  <c r="R33" i="50"/>
  <c r="N33" i="50"/>
  <c r="M33" i="50"/>
  <c r="R32" i="50"/>
  <c r="N32" i="50"/>
  <c r="M32" i="50"/>
  <c r="R31" i="50"/>
  <c r="N31" i="50"/>
  <c r="O31" i="50" s="1"/>
  <c r="P31" i="50" s="1"/>
  <c r="M31" i="50"/>
  <c r="R30" i="50"/>
  <c r="N30" i="50"/>
  <c r="M30" i="50"/>
  <c r="R29" i="50"/>
  <c r="N29" i="50"/>
  <c r="M29" i="50"/>
  <c r="R28" i="50"/>
  <c r="N28" i="50"/>
  <c r="O28" i="50" s="1"/>
  <c r="P28" i="50" s="1"/>
  <c r="M28" i="50"/>
  <c r="R27" i="50"/>
  <c r="N27" i="50"/>
  <c r="M27" i="50"/>
  <c r="R26" i="50"/>
  <c r="N26" i="50"/>
  <c r="O26" i="50" s="1"/>
  <c r="M26" i="50"/>
  <c r="R25" i="50"/>
  <c r="N25" i="50"/>
  <c r="M25" i="50"/>
  <c r="R24" i="50"/>
  <c r="N24" i="50"/>
  <c r="O24" i="50" s="1"/>
  <c r="M24" i="50"/>
  <c r="R23" i="50"/>
  <c r="N23" i="50"/>
  <c r="O23" i="50" s="1"/>
  <c r="P23" i="50" s="1"/>
  <c r="M23" i="50"/>
  <c r="R22" i="50"/>
  <c r="N22" i="50"/>
  <c r="O22" i="50" s="1"/>
  <c r="M22" i="50"/>
  <c r="R20" i="50"/>
  <c r="N20" i="50"/>
  <c r="O20" i="50" s="1"/>
  <c r="M20" i="50"/>
  <c r="R19" i="50"/>
  <c r="N19" i="50"/>
  <c r="M19" i="50"/>
  <c r="R18" i="50"/>
  <c r="N18" i="50"/>
  <c r="O18" i="50" s="1"/>
  <c r="P18" i="50" s="1"/>
  <c r="M18" i="50"/>
  <c r="R17" i="50"/>
  <c r="N17" i="50"/>
  <c r="M17" i="50"/>
  <c r="R16" i="50"/>
  <c r="N16" i="50"/>
  <c r="O16" i="50" s="1"/>
  <c r="M16" i="50"/>
  <c r="R15" i="50"/>
  <c r="N15" i="50"/>
  <c r="O15" i="50" s="1"/>
  <c r="P15" i="50" s="1"/>
  <c r="M15" i="50"/>
  <c r="C8" i="50"/>
  <c r="C7" i="50"/>
  <c r="F6" i="50"/>
  <c r="C6" i="50"/>
  <c r="F5" i="50"/>
  <c r="C5" i="50"/>
  <c r="F4" i="50"/>
  <c r="C4" i="50"/>
  <c r="J3" i="50"/>
  <c r="S32" i="49"/>
  <c r="R31" i="49"/>
  <c r="N31" i="49"/>
  <c r="M31" i="49"/>
  <c r="N30" i="49"/>
  <c r="O30" i="49" s="1"/>
  <c r="M30" i="49"/>
  <c r="N29" i="49"/>
  <c r="M29" i="49"/>
  <c r="N28" i="49"/>
  <c r="O28" i="49" s="1"/>
  <c r="M28" i="49"/>
  <c r="R27" i="49"/>
  <c r="N27" i="49"/>
  <c r="O27" i="49" s="1"/>
  <c r="P27" i="49" s="1"/>
  <c r="M27" i="49"/>
  <c r="R26" i="49"/>
  <c r="N26" i="49"/>
  <c r="O26" i="49" s="1"/>
  <c r="M26" i="49"/>
  <c r="R24" i="49"/>
  <c r="N24" i="49"/>
  <c r="M24" i="49"/>
  <c r="R23" i="49"/>
  <c r="N23" i="49"/>
  <c r="O23" i="49" s="1"/>
  <c r="P23" i="49" s="1"/>
  <c r="S23" i="49" s="1"/>
  <c r="T23" i="49" s="1"/>
  <c r="M23" i="49"/>
  <c r="R22" i="49"/>
  <c r="N22" i="49"/>
  <c r="M22" i="49"/>
  <c r="R21" i="49"/>
  <c r="N21" i="49"/>
  <c r="M21" i="49"/>
  <c r="R20" i="49"/>
  <c r="N20" i="49"/>
  <c r="O20" i="49" s="1"/>
  <c r="P20" i="49" s="1"/>
  <c r="M20" i="49"/>
  <c r="R19" i="49"/>
  <c r="N19" i="49"/>
  <c r="M19" i="49"/>
  <c r="R17" i="49"/>
  <c r="N17" i="49"/>
  <c r="M17" i="49"/>
  <c r="R16" i="49"/>
  <c r="N16" i="49"/>
  <c r="M16" i="49"/>
  <c r="R15" i="49"/>
  <c r="N15" i="49"/>
  <c r="M15" i="49"/>
  <c r="R14" i="49"/>
  <c r="N14" i="49"/>
  <c r="M14" i="49"/>
  <c r="C8" i="49"/>
  <c r="C7" i="49"/>
  <c r="F6" i="49"/>
  <c r="C6" i="49"/>
  <c r="F5" i="49"/>
  <c r="C5" i="49"/>
  <c r="F4" i="49"/>
  <c r="C4" i="49"/>
  <c r="J3" i="49"/>
  <c r="M32" i="48"/>
  <c r="N32" i="48"/>
  <c r="O32" i="48" s="1"/>
  <c r="R32" i="48"/>
  <c r="M33" i="48"/>
  <c r="N33" i="48"/>
  <c r="O33" i="48" s="1"/>
  <c r="R33" i="48"/>
  <c r="M34" i="48"/>
  <c r="N34" i="48"/>
  <c r="O34" i="48" s="1"/>
  <c r="R34" i="48"/>
  <c r="M36" i="48"/>
  <c r="N36" i="48"/>
  <c r="O36" i="48"/>
  <c r="R36" i="48"/>
  <c r="M37" i="48"/>
  <c r="N37" i="48"/>
  <c r="O37" i="48"/>
  <c r="P37" i="48"/>
  <c r="R37" i="48"/>
  <c r="M39" i="48"/>
  <c r="N39" i="48"/>
  <c r="O39" i="48" s="1"/>
  <c r="R39" i="48"/>
  <c r="M41" i="48"/>
  <c r="N41" i="48"/>
  <c r="O41" i="48" s="1"/>
  <c r="R41" i="48"/>
  <c r="M42" i="48"/>
  <c r="N42" i="48"/>
  <c r="O42" i="48" s="1"/>
  <c r="R42" i="48"/>
  <c r="M43" i="48"/>
  <c r="O43" i="48"/>
  <c r="R43" i="48"/>
  <c r="M14" i="48"/>
  <c r="N14" i="48"/>
  <c r="O14" i="48" s="1"/>
  <c r="P14" i="48" s="1"/>
  <c r="R14" i="48"/>
  <c r="M15" i="48"/>
  <c r="N15" i="48"/>
  <c r="O15" i="48" s="1"/>
  <c r="R15" i="48"/>
  <c r="M16" i="48"/>
  <c r="N16" i="48"/>
  <c r="O16" i="48" s="1"/>
  <c r="R16" i="48"/>
  <c r="M17" i="48"/>
  <c r="N17" i="48"/>
  <c r="O17" i="48" s="1"/>
  <c r="R17" i="48"/>
  <c r="M19" i="48"/>
  <c r="N19" i="48"/>
  <c r="O19" i="48" s="1"/>
  <c r="R19" i="48"/>
  <c r="M20" i="48"/>
  <c r="N20" i="48"/>
  <c r="R20" i="48"/>
  <c r="M22" i="48"/>
  <c r="N22" i="48"/>
  <c r="O22" i="48" s="1"/>
  <c r="P22" i="48" s="1"/>
  <c r="R22" i="48"/>
  <c r="M23" i="48"/>
  <c r="N23" i="48"/>
  <c r="O23" i="48"/>
  <c r="R23" i="48"/>
  <c r="M24" i="48"/>
  <c r="N24" i="48"/>
  <c r="O24" i="48" s="1"/>
  <c r="R24" i="48"/>
  <c r="M26" i="48"/>
  <c r="N26" i="48"/>
  <c r="O26" i="48" s="1"/>
  <c r="R26" i="48"/>
  <c r="M27" i="48"/>
  <c r="N27" i="48"/>
  <c r="O27" i="48" s="1"/>
  <c r="P27" i="48" s="1"/>
  <c r="R27" i="48"/>
  <c r="M29" i="48"/>
  <c r="N29" i="48"/>
  <c r="O29" i="48" s="1"/>
  <c r="P29" i="48" s="1"/>
  <c r="M30" i="48"/>
  <c r="N30" i="48"/>
  <c r="O30" i="48" s="1"/>
  <c r="M31" i="48"/>
  <c r="N31" i="48"/>
  <c r="O31" i="48"/>
  <c r="P31" i="48" s="1"/>
  <c r="R31" i="48"/>
  <c r="O44" i="48"/>
  <c r="P44" i="48" s="1"/>
  <c r="S44" i="48" s="1"/>
  <c r="C8" i="48"/>
  <c r="C7" i="48"/>
  <c r="F6" i="48"/>
  <c r="C6" i="48"/>
  <c r="F5" i="48"/>
  <c r="C5" i="48"/>
  <c r="F4" i="48"/>
  <c r="C4" i="48"/>
  <c r="J3" i="48"/>
  <c r="S31" i="50" l="1"/>
  <c r="T31" i="50" s="1"/>
  <c r="P276" i="10"/>
  <c r="S18" i="50"/>
  <c r="T18" i="50" s="1"/>
  <c r="O272" i="10"/>
  <c r="P272" i="10" s="1"/>
  <c r="S272" i="10" s="1"/>
  <c r="T272" i="10" s="1"/>
  <c r="O271" i="10"/>
  <c r="P271" i="10" s="1"/>
  <c r="S271" i="10" s="1"/>
  <c r="T271" i="10" s="1"/>
  <c r="O270" i="10"/>
  <c r="P270" i="10" s="1"/>
  <c r="S270" i="10" s="1"/>
  <c r="T270" i="10" s="1"/>
  <c r="O32" i="50"/>
  <c r="P32" i="50" s="1"/>
  <c r="S32" i="50" s="1"/>
  <c r="T32" i="50" s="1"/>
  <c r="O40" i="50"/>
  <c r="P40" i="50" s="1"/>
  <c r="S40" i="50" s="1"/>
  <c r="T40" i="50" s="1"/>
  <c r="O44" i="50"/>
  <c r="P44" i="50" s="1"/>
  <c r="S44" i="50" s="1"/>
  <c r="T44" i="50" s="1"/>
  <c r="P37" i="50"/>
  <c r="S37" i="50" s="1"/>
  <c r="T37" i="50" s="1"/>
  <c r="O47" i="50"/>
  <c r="P47" i="50" s="1"/>
  <c r="S47" i="50" s="1"/>
  <c r="T47" i="50" s="1"/>
  <c r="S23" i="50"/>
  <c r="T23" i="50" s="1"/>
  <c r="O30" i="50"/>
  <c r="P30" i="50" s="1"/>
  <c r="S30" i="50" s="1"/>
  <c r="T30" i="50" s="1"/>
  <c r="O19" i="50"/>
  <c r="P19" i="50" s="1"/>
  <c r="S19" i="50" s="1"/>
  <c r="T19" i="50" s="1"/>
  <c r="P24" i="50"/>
  <c r="S24" i="50" s="1"/>
  <c r="T24" i="50" s="1"/>
  <c r="S41" i="50"/>
  <c r="T41" i="50" s="1"/>
  <c r="P38" i="50"/>
  <c r="S38" i="50" s="1"/>
  <c r="T38" i="50" s="1"/>
  <c r="P22" i="50"/>
  <c r="S22" i="50" s="1"/>
  <c r="T22" i="50" s="1"/>
  <c r="O46" i="50"/>
  <c r="P46" i="50" s="1"/>
  <c r="S46" i="50" s="1"/>
  <c r="T46" i="50" s="1"/>
  <c r="O36" i="50"/>
  <c r="P36" i="50" s="1"/>
  <c r="S36" i="50" s="1"/>
  <c r="T36" i="50" s="1"/>
  <c r="O39" i="50"/>
  <c r="P39" i="50" s="1"/>
  <c r="S39" i="50" s="1"/>
  <c r="T39" i="50" s="1"/>
  <c r="O33" i="50"/>
  <c r="P33" i="50"/>
  <c r="S33" i="50" s="1"/>
  <c r="T33" i="50" s="1"/>
  <c r="O42" i="50"/>
  <c r="P42" i="50" s="1"/>
  <c r="S42" i="50" s="1"/>
  <c r="T42" i="50" s="1"/>
  <c r="O52" i="50"/>
  <c r="P52" i="50" s="1"/>
  <c r="S52" i="50" s="1"/>
  <c r="T52" i="50" s="1"/>
  <c r="P54" i="50"/>
  <c r="S54" i="50" s="1"/>
  <c r="T54" i="50" s="1"/>
  <c r="O17" i="50"/>
  <c r="P17" i="50" s="1"/>
  <c r="S17" i="50" s="1"/>
  <c r="T17" i="50" s="1"/>
  <c r="S28" i="50"/>
  <c r="T28" i="50" s="1"/>
  <c r="P34" i="50"/>
  <c r="S34" i="50" s="1"/>
  <c r="T34" i="50" s="1"/>
  <c r="M56" i="50"/>
  <c r="C39" i="4" s="1"/>
  <c r="S15" i="50"/>
  <c r="T15" i="50" s="1"/>
  <c r="O25" i="50"/>
  <c r="P25" i="50" s="1"/>
  <c r="S25" i="50" s="1"/>
  <c r="T25" i="50" s="1"/>
  <c r="O27" i="50"/>
  <c r="P27" i="50" s="1"/>
  <c r="S27" i="50" s="1"/>
  <c r="T27" i="50" s="1"/>
  <c r="O29" i="50"/>
  <c r="P29" i="50" s="1"/>
  <c r="S29" i="50" s="1"/>
  <c r="T29" i="50" s="1"/>
  <c r="P20" i="50"/>
  <c r="S20" i="50" s="1"/>
  <c r="T20" i="50" s="1"/>
  <c r="P51" i="50"/>
  <c r="S51" i="50" s="1"/>
  <c r="T51" i="50" s="1"/>
  <c r="P16" i="50"/>
  <c r="S16" i="50" s="1"/>
  <c r="T16" i="50" s="1"/>
  <c r="P48" i="50"/>
  <c r="S48" i="50" s="1"/>
  <c r="T48" i="50" s="1"/>
  <c r="S53" i="50"/>
  <c r="T53" i="50" s="1"/>
  <c r="P26" i="50"/>
  <c r="S26" i="50" s="1"/>
  <c r="T26" i="50" s="1"/>
  <c r="P45" i="50"/>
  <c r="S45" i="50" s="1"/>
  <c r="T45" i="50" s="1"/>
  <c r="P49" i="50"/>
  <c r="S49" i="50" s="1"/>
  <c r="T49" i="50" s="1"/>
  <c r="P14" i="49"/>
  <c r="S14" i="49" s="1"/>
  <c r="T14" i="49" s="1"/>
  <c r="P16" i="49"/>
  <c r="O24" i="49"/>
  <c r="P24" i="49" s="1"/>
  <c r="S24" i="49" s="1"/>
  <c r="T24" i="49" s="1"/>
  <c r="P28" i="49"/>
  <c r="O21" i="49"/>
  <c r="P21" i="49" s="1"/>
  <c r="S21" i="49" s="1"/>
  <c r="T21" i="49" s="1"/>
  <c r="P26" i="49"/>
  <c r="S26" i="49" s="1"/>
  <c r="T26" i="49" s="1"/>
  <c r="O16" i="49"/>
  <c r="O14" i="49"/>
  <c r="S27" i="49"/>
  <c r="T27" i="49" s="1"/>
  <c r="O19" i="49"/>
  <c r="P19" i="49" s="1"/>
  <c r="S19" i="49" s="1"/>
  <c r="T19" i="49" s="1"/>
  <c r="S16" i="49"/>
  <c r="T16" i="49" s="1"/>
  <c r="P15" i="49"/>
  <c r="S15" i="49" s="1"/>
  <c r="T15" i="49" s="1"/>
  <c r="P30" i="49"/>
  <c r="S20" i="49"/>
  <c r="T20" i="49" s="1"/>
  <c r="O31" i="49"/>
  <c r="P31" i="49" s="1"/>
  <c r="S31" i="49" s="1"/>
  <c r="T31" i="49" s="1"/>
  <c r="M32" i="49"/>
  <c r="C37" i="4" s="1"/>
  <c r="O17" i="49"/>
  <c r="P17" i="49" s="1"/>
  <c r="S17" i="49" s="1"/>
  <c r="T17" i="49" s="1"/>
  <c r="O22" i="49"/>
  <c r="P22" i="49" s="1"/>
  <c r="S22" i="49" s="1"/>
  <c r="T22" i="49" s="1"/>
  <c r="O15" i="49"/>
  <c r="O29" i="49"/>
  <c r="P29" i="49" s="1"/>
  <c r="P32" i="48"/>
  <c r="S32" i="48"/>
  <c r="T32" i="48" s="1"/>
  <c r="P24" i="48"/>
  <c r="S24" i="48" s="1"/>
  <c r="T24" i="48" s="1"/>
  <c r="P36" i="48"/>
  <c r="S36" i="48" s="1"/>
  <c r="T36" i="48" s="1"/>
  <c r="S37" i="48"/>
  <c r="T37" i="48" s="1"/>
  <c r="P39" i="48"/>
  <c r="S39" i="48" s="1"/>
  <c r="T39" i="48" s="1"/>
  <c r="S31" i="48"/>
  <c r="T31" i="48" s="1"/>
  <c r="P34" i="48"/>
  <c r="S34" i="48" s="1"/>
  <c r="T34" i="48" s="1"/>
  <c r="P43" i="48"/>
  <c r="S43" i="48" s="1"/>
  <c r="T43" i="48" s="1"/>
  <c r="P33" i="48"/>
  <c r="S33" i="48" s="1"/>
  <c r="T33" i="48" s="1"/>
  <c r="P41" i="48"/>
  <c r="S41" i="48" s="1"/>
  <c r="T41" i="48" s="1"/>
  <c r="P42" i="48"/>
  <c r="S42" i="48" s="1"/>
  <c r="T42" i="48" s="1"/>
  <c r="S27" i="48"/>
  <c r="T27" i="48" s="1"/>
  <c r="P23" i="48"/>
  <c r="S23" i="48" s="1"/>
  <c r="T23" i="48" s="1"/>
  <c r="S14" i="48"/>
  <c r="T14" i="48" s="1"/>
  <c r="S22" i="48"/>
  <c r="T22" i="48" s="1"/>
  <c r="P30" i="48"/>
  <c r="P17" i="48"/>
  <c r="S17" i="48" s="1"/>
  <c r="T17" i="48" s="1"/>
  <c r="P15" i="48"/>
  <c r="S15" i="48" s="1"/>
  <c r="T15" i="48" s="1"/>
  <c r="P19" i="48"/>
  <c r="S19" i="48" s="1"/>
  <c r="T19" i="48" s="1"/>
  <c r="P16" i="48"/>
  <c r="S16" i="48" s="1"/>
  <c r="T16" i="48" s="1"/>
  <c r="P26" i="48"/>
  <c r="S26" i="48" s="1"/>
  <c r="T26" i="48" s="1"/>
  <c r="O20" i="48"/>
  <c r="P20" i="48" s="1"/>
  <c r="S20" i="48" s="1"/>
  <c r="T20" i="48" s="1"/>
  <c r="M44" i="48"/>
  <c r="C41" i="4" s="1"/>
  <c r="L142" i="8" l="1"/>
  <c r="L143" i="8"/>
  <c r="N95" i="36"/>
  <c r="N94" i="36"/>
  <c r="I32" i="47"/>
  <c r="I31" i="47"/>
  <c r="L72" i="40" l="1"/>
  <c r="M72" i="40"/>
  <c r="N72" i="40"/>
  <c r="L73" i="40"/>
  <c r="M73" i="40"/>
  <c r="N73" i="40"/>
  <c r="I80" i="5" l="1"/>
  <c r="I47" i="5"/>
  <c r="J47" i="5"/>
  <c r="K47" i="5"/>
  <c r="M47" i="5"/>
  <c r="N47" i="5" s="1"/>
  <c r="L95" i="6"/>
  <c r="L94" i="6"/>
  <c r="L79" i="6"/>
  <c r="L78" i="6"/>
  <c r="L77" i="6"/>
  <c r="L92" i="6"/>
  <c r="L91" i="6"/>
  <c r="L88" i="6"/>
  <c r="N87" i="6"/>
  <c r="M87" i="6"/>
  <c r="L87" i="6"/>
  <c r="L86" i="6"/>
  <c r="L84" i="6"/>
  <c r="L83" i="6"/>
  <c r="R84" i="36"/>
  <c r="N84" i="36"/>
  <c r="O84" i="36" s="1"/>
  <c r="P84" i="36" s="1"/>
  <c r="M84" i="36"/>
  <c r="R78" i="36"/>
  <c r="N78" i="36"/>
  <c r="M78" i="36"/>
  <c r="R77" i="36"/>
  <c r="N77" i="36"/>
  <c r="M77" i="36"/>
  <c r="R76" i="36"/>
  <c r="N76" i="36"/>
  <c r="O76" i="36" s="1"/>
  <c r="P76" i="36" s="1"/>
  <c r="M76" i="36"/>
  <c r="R75" i="36"/>
  <c r="N75" i="36"/>
  <c r="M75" i="36"/>
  <c r="R69" i="36"/>
  <c r="N69" i="36"/>
  <c r="O69" i="36" s="1"/>
  <c r="P69" i="36" s="1"/>
  <c r="M69" i="36"/>
  <c r="R68" i="36"/>
  <c r="N68" i="36"/>
  <c r="O68" i="36" s="1"/>
  <c r="P68" i="36" s="1"/>
  <c r="M68" i="36"/>
  <c r="R66" i="36"/>
  <c r="N66" i="36"/>
  <c r="O66" i="36" s="1"/>
  <c r="M66" i="36"/>
  <c r="R61" i="36"/>
  <c r="N61" i="36"/>
  <c r="M61" i="36"/>
  <c r="R60" i="36"/>
  <c r="N60" i="36"/>
  <c r="O60" i="36" s="1"/>
  <c r="P60" i="36" s="1"/>
  <c r="M60" i="36"/>
  <c r="R59" i="36"/>
  <c r="N59" i="36"/>
  <c r="M59" i="36"/>
  <c r="R58" i="36"/>
  <c r="N58" i="36"/>
  <c r="M58" i="36"/>
  <c r="R57" i="36"/>
  <c r="N57" i="36"/>
  <c r="O57" i="36" s="1"/>
  <c r="P57" i="36" s="1"/>
  <c r="M57" i="36"/>
  <c r="R56" i="36"/>
  <c r="N56" i="36"/>
  <c r="O56" i="36" s="1"/>
  <c r="P56" i="36" s="1"/>
  <c r="M56" i="36"/>
  <c r="R55" i="36"/>
  <c r="N55" i="36"/>
  <c r="O55" i="36" s="1"/>
  <c r="P55" i="36" s="1"/>
  <c r="M55" i="36"/>
  <c r="R53" i="36"/>
  <c r="N53" i="36"/>
  <c r="M53" i="36"/>
  <c r="R52" i="36"/>
  <c r="N52" i="36"/>
  <c r="O52" i="36" s="1"/>
  <c r="M52" i="36"/>
  <c r="R51" i="36"/>
  <c r="N51" i="36"/>
  <c r="M51" i="36"/>
  <c r="R50" i="36"/>
  <c r="N50" i="36"/>
  <c r="M50" i="36"/>
  <c r="M63" i="36"/>
  <c r="N63" i="36"/>
  <c r="O63" i="36" s="1"/>
  <c r="R63" i="36"/>
  <c r="S84" i="36" l="1"/>
  <c r="T84" i="36" s="1"/>
  <c r="S76" i="36"/>
  <c r="T76" i="36" s="1"/>
  <c r="S69" i="36"/>
  <c r="T69" i="36" s="1"/>
  <c r="O78" i="36"/>
  <c r="P78" i="36" s="1"/>
  <c r="S78" i="36" s="1"/>
  <c r="T78" i="36" s="1"/>
  <c r="O75" i="36"/>
  <c r="P75" i="36" s="1"/>
  <c r="S75" i="36" s="1"/>
  <c r="T75" i="36" s="1"/>
  <c r="O77" i="36"/>
  <c r="P77" i="36" s="1"/>
  <c r="S77" i="36" s="1"/>
  <c r="T77" i="36" s="1"/>
  <c r="S68" i="36"/>
  <c r="T68" i="36" s="1"/>
  <c r="P66" i="36"/>
  <c r="S66" i="36" s="1"/>
  <c r="T66" i="36" s="1"/>
  <c r="S60" i="36"/>
  <c r="T60" i="36" s="1"/>
  <c r="O61" i="36"/>
  <c r="P61" i="36" s="1"/>
  <c r="S61" i="36" s="1"/>
  <c r="T61" i="36" s="1"/>
  <c r="S57" i="36"/>
  <c r="T57" i="36" s="1"/>
  <c r="O59" i="36"/>
  <c r="P59" i="36" s="1"/>
  <c r="S59" i="36" s="1"/>
  <c r="T59" i="36" s="1"/>
  <c r="O58" i="36"/>
  <c r="P58" i="36" s="1"/>
  <c r="S58" i="36" s="1"/>
  <c r="T58" i="36" s="1"/>
  <c r="S56" i="36"/>
  <c r="T56" i="36" s="1"/>
  <c r="S55" i="36"/>
  <c r="T55" i="36" s="1"/>
  <c r="O53" i="36"/>
  <c r="P53" i="36" s="1"/>
  <c r="S53" i="36" s="1"/>
  <c r="T53" i="36" s="1"/>
  <c r="P52" i="36"/>
  <c r="S52" i="36" s="1"/>
  <c r="T52" i="36" s="1"/>
  <c r="O51" i="36"/>
  <c r="P51" i="36" s="1"/>
  <c r="S51" i="36" s="1"/>
  <c r="T51" i="36" s="1"/>
  <c r="P63" i="36"/>
  <c r="S63" i="36" s="1"/>
  <c r="T63" i="36" s="1"/>
  <c r="O50" i="36"/>
  <c r="P50" i="36" s="1"/>
  <c r="S50" i="36" s="1"/>
  <c r="T50" i="36" s="1"/>
  <c r="M82" i="6"/>
  <c r="L82" i="6"/>
  <c r="L81" i="6"/>
  <c r="L329" i="8"/>
  <c r="L328" i="8"/>
  <c r="L327" i="8"/>
  <c r="L326" i="8"/>
  <c r="L325" i="8"/>
  <c r="L324" i="8"/>
  <c r="L323" i="8"/>
  <c r="L322" i="8"/>
  <c r="L321" i="8"/>
  <c r="L290" i="8"/>
  <c r="L288" i="8"/>
  <c r="L188" i="8"/>
  <c r="L189" i="8"/>
  <c r="L190" i="8"/>
  <c r="L151" i="8"/>
  <c r="L152" i="8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74" i="11"/>
  <c r="I75" i="11"/>
  <c r="I76" i="11"/>
  <c r="I77" i="11"/>
  <c r="I78" i="11"/>
  <c r="I79" i="11"/>
  <c r="I80" i="11"/>
  <c r="I36" i="11"/>
  <c r="I38" i="11"/>
  <c r="I39" i="11"/>
  <c r="I40" i="11"/>
  <c r="I41" i="11"/>
  <c r="I42" i="11"/>
  <c r="I43" i="11"/>
  <c r="I44" i="11"/>
  <c r="I45" i="11"/>
  <c r="I46" i="11"/>
  <c r="I47" i="11"/>
  <c r="I48" i="11"/>
  <c r="I37" i="12"/>
  <c r="I38" i="12"/>
  <c r="I39" i="12"/>
  <c r="I35" i="12"/>
  <c r="I36" i="12"/>
  <c r="I40" i="12"/>
  <c r="I41" i="12"/>
  <c r="I42" i="12"/>
  <c r="I43" i="12"/>
  <c r="I44" i="12"/>
  <c r="I45" i="12"/>
  <c r="I47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71" i="11"/>
  <c r="I72" i="11"/>
  <c r="I73" i="11"/>
  <c r="I24" i="11"/>
  <c r="I25" i="11"/>
  <c r="I26" i="11"/>
  <c r="I27" i="11"/>
  <c r="I28" i="11"/>
  <c r="L120" i="6"/>
  <c r="L121" i="6"/>
  <c r="R39" i="36"/>
  <c r="N39" i="36"/>
  <c r="M39" i="36"/>
  <c r="N134" i="10"/>
  <c r="O134" i="10" s="1"/>
  <c r="R134" i="10"/>
  <c r="R105" i="10"/>
  <c r="R106" i="10"/>
  <c r="N105" i="10"/>
  <c r="O105" i="10" s="1"/>
  <c r="P105" i="10" s="1"/>
  <c r="N106" i="10"/>
  <c r="O106" i="10" s="1"/>
  <c r="P106" i="10" s="1"/>
  <c r="N107" i="10"/>
  <c r="N108" i="10"/>
  <c r="M105" i="10"/>
  <c r="M106" i="10"/>
  <c r="M107" i="10"/>
  <c r="R87" i="10"/>
  <c r="N87" i="10"/>
  <c r="R136" i="10"/>
  <c r="R137" i="10"/>
  <c r="R138" i="10"/>
  <c r="R139" i="10"/>
  <c r="R140" i="10"/>
  <c r="R141" i="10"/>
  <c r="R142" i="10"/>
  <c r="R143" i="10"/>
  <c r="R144" i="10"/>
  <c r="R145" i="10"/>
  <c r="R146" i="10"/>
  <c r="R147" i="10"/>
  <c r="R148" i="10"/>
  <c r="R149" i="10"/>
  <c r="R150" i="10"/>
  <c r="R151" i="10"/>
  <c r="R152" i="10"/>
  <c r="R153" i="10"/>
  <c r="R154" i="10"/>
  <c r="R155" i="10"/>
  <c r="R156" i="10"/>
  <c r="R157" i="10"/>
  <c r="R158" i="10"/>
  <c r="R159" i="10"/>
  <c r="R160" i="10"/>
  <c r="R161" i="10"/>
  <c r="R162" i="10"/>
  <c r="R163" i="10"/>
  <c r="R164" i="10"/>
  <c r="R165" i="10"/>
  <c r="R166" i="10"/>
  <c r="R167" i="10"/>
  <c r="R168" i="10"/>
  <c r="R169" i="10"/>
  <c r="R170" i="10"/>
  <c r="R171" i="10"/>
  <c r="R172" i="10"/>
  <c r="R173" i="10"/>
  <c r="R174" i="10"/>
  <c r="R175" i="10"/>
  <c r="R176" i="10"/>
  <c r="R177" i="10"/>
  <c r="R178" i="10"/>
  <c r="N136" i="10"/>
  <c r="O136" i="10" s="1"/>
  <c r="P136" i="10" s="1"/>
  <c r="N137" i="10"/>
  <c r="O137" i="10" s="1"/>
  <c r="P137" i="10" s="1"/>
  <c r="N138" i="10"/>
  <c r="O138" i="10" s="1"/>
  <c r="N139" i="10"/>
  <c r="O139" i="10" s="1"/>
  <c r="P139" i="10" s="1"/>
  <c r="N140" i="10"/>
  <c r="O140" i="10" s="1"/>
  <c r="N141" i="10"/>
  <c r="O141" i="10" s="1"/>
  <c r="N142" i="10"/>
  <c r="O142" i="10" s="1"/>
  <c r="P142" i="10" s="1"/>
  <c r="N143" i="10"/>
  <c r="O143" i="10" s="1"/>
  <c r="N144" i="10"/>
  <c r="O144" i="10" s="1"/>
  <c r="N145" i="10"/>
  <c r="O145" i="10" s="1"/>
  <c r="P145" i="10" s="1"/>
  <c r="N146" i="10"/>
  <c r="O146" i="10" s="1"/>
  <c r="P146" i="10" s="1"/>
  <c r="N147" i="10"/>
  <c r="N148" i="10"/>
  <c r="O148" i="10" s="1"/>
  <c r="P148" i="10" s="1"/>
  <c r="N149" i="10"/>
  <c r="O149" i="10" s="1"/>
  <c r="N150" i="10"/>
  <c r="O150" i="10" s="1"/>
  <c r="N151" i="10"/>
  <c r="O151" i="10" s="1"/>
  <c r="P151" i="10" s="1"/>
  <c r="N152" i="10"/>
  <c r="O152" i="10" s="1"/>
  <c r="N153" i="10"/>
  <c r="O153" i="10" s="1"/>
  <c r="N154" i="10"/>
  <c r="O154" i="10" s="1"/>
  <c r="P154" i="10" s="1"/>
  <c r="N155" i="10"/>
  <c r="N156" i="10"/>
  <c r="N157" i="10"/>
  <c r="O157" i="10" s="1"/>
  <c r="P157" i="10" s="1"/>
  <c r="N158" i="10"/>
  <c r="O158" i="10" s="1"/>
  <c r="N159" i="10"/>
  <c r="N160" i="10"/>
  <c r="O160" i="10" s="1"/>
  <c r="P160" i="10" s="1"/>
  <c r="N161" i="10"/>
  <c r="O161" i="10" s="1"/>
  <c r="N162" i="10"/>
  <c r="O162" i="10" s="1"/>
  <c r="P162" i="10" s="1"/>
  <c r="N163" i="10"/>
  <c r="O163" i="10" s="1"/>
  <c r="P163" i="10" s="1"/>
  <c r="N164" i="10"/>
  <c r="O164" i="10" s="1"/>
  <c r="N165" i="10"/>
  <c r="O165" i="10" s="1"/>
  <c r="N166" i="10"/>
  <c r="O166" i="10" s="1"/>
  <c r="P166" i="10" s="1"/>
  <c r="N167" i="10"/>
  <c r="O167" i="10" s="1"/>
  <c r="N168" i="10"/>
  <c r="O168" i="10" s="1"/>
  <c r="N169" i="10"/>
  <c r="O169" i="10" s="1"/>
  <c r="P169" i="10" s="1"/>
  <c r="N170" i="10"/>
  <c r="N171" i="10"/>
  <c r="O171" i="10" s="1"/>
  <c r="N172" i="10"/>
  <c r="O172" i="10" s="1"/>
  <c r="P172" i="10" s="1"/>
  <c r="N173" i="10"/>
  <c r="O173" i="10" s="1"/>
  <c r="N174" i="10"/>
  <c r="O174" i="10" s="1"/>
  <c r="N175" i="10"/>
  <c r="O175" i="10" s="1"/>
  <c r="P175" i="10" s="1"/>
  <c r="N176" i="10"/>
  <c r="O176" i="10" s="1"/>
  <c r="N177" i="10"/>
  <c r="O177" i="10" s="1"/>
  <c r="P177" i="10" s="1"/>
  <c r="N178" i="10"/>
  <c r="O178" i="10" s="1"/>
  <c r="P178" i="10" s="1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88" i="10"/>
  <c r="M87" i="10"/>
  <c r="M86" i="10"/>
  <c r="M85" i="10"/>
  <c r="M84" i="10"/>
  <c r="M83" i="10"/>
  <c r="M80" i="10"/>
  <c r="M79" i="10"/>
  <c r="M78" i="10"/>
  <c r="M77" i="10"/>
  <c r="M76" i="10"/>
  <c r="M75" i="10"/>
  <c r="M74" i="10"/>
  <c r="M73" i="10"/>
  <c r="M71" i="10"/>
  <c r="M70" i="10"/>
  <c r="M69" i="10"/>
  <c r="M68" i="10"/>
  <c r="M67" i="10"/>
  <c r="M66" i="10"/>
  <c r="M65" i="10"/>
  <c r="M64" i="10"/>
  <c r="P134" i="10" l="1"/>
  <c r="S134" i="10" s="1"/>
  <c r="T134" i="10" s="1"/>
  <c r="S154" i="10"/>
  <c r="S142" i="10"/>
  <c r="S139" i="10"/>
  <c r="S166" i="10"/>
  <c r="S163" i="10"/>
  <c r="S162" i="10"/>
  <c r="P152" i="10"/>
  <c r="S152" i="10" s="1"/>
  <c r="S146" i="10"/>
  <c r="S145" i="10"/>
  <c r="S105" i="10"/>
  <c r="T105" i="10" s="1"/>
  <c r="O159" i="10"/>
  <c r="P159" i="10" s="1"/>
  <c r="S159" i="10" s="1"/>
  <c r="O147" i="10"/>
  <c r="P147" i="10" s="1"/>
  <c r="S147" i="10" s="1"/>
  <c r="S177" i="10"/>
  <c r="S178" i="10"/>
  <c r="O170" i="10"/>
  <c r="P170" i="10" s="1"/>
  <c r="S170" i="10" s="1"/>
  <c r="S175" i="10"/>
  <c r="P141" i="10"/>
  <c r="S141" i="10" s="1"/>
  <c r="P174" i="10"/>
  <c r="S174" i="10" s="1"/>
  <c r="P138" i="10"/>
  <c r="S138" i="10" s="1"/>
  <c r="P149" i="10"/>
  <c r="S149" i="10" s="1"/>
  <c r="P173" i="10"/>
  <c r="S173" i="10" s="1"/>
  <c r="S160" i="10"/>
  <c r="P158" i="10"/>
  <c r="S158" i="10" s="1"/>
  <c r="P167" i="10"/>
  <c r="S167" i="10" s="1"/>
  <c r="O155" i="10"/>
  <c r="P155" i="10" s="1"/>
  <c r="S155" i="10" s="1"/>
  <c r="O156" i="10"/>
  <c r="P156" i="10" s="1"/>
  <c r="S156" i="10" s="1"/>
  <c r="S148" i="10"/>
  <c r="S137" i="10"/>
  <c r="P144" i="10"/>
  <c r="S144" i="10" s="1"/>
  <c r="S169" i="10"/>
  <c r="S151" i="10"/>
  <c r="S136" i="10"/>
  <c r="P176" i="10"/>
  <c r="S176" i="10" s="1"/>
  <c r="P165" i="10"/>
  <c r="S165" i="10" s="1"/>
  <c r="P140" i="10"/>
  <c r="S140" i="10" s="1"/>
  <c r="S172" i="10"/>
  <c r="O87" i="10"/>
  <c r="P87" i="10" s="1"/>
  <c r="S87" i="10" s="1"/>
  <c r="T87" i="10" s="1"/>
  <c r="P168" i="10"/>
  <c r="S168" i="10" s="1"/>
  <c r="P161" i="10"/>
  <c r="S161" i="10" s="1"/>
  <c r="P150" i="10"/>
  <c r="S150" i="10" s="1"/>
  <c r="P143" i="10"/>
  <c r="S143" i="10" s="1"/>
  <c r="S157" i="10"/>
  <c r="S106" i="10"/>
  <c r="T106" i="10" s="1"/>
  <c r="P171" i="10"/>
  <c r="S171" i="10" s="1"/>
  <c r="P164" i="10"/>
  <c r="S164" i="10" s="1"/>
  <c r="P153" i="10"/>
  <c r="S153" i="10" s="1"/>
  <c r="O39" i="36"/>
  <c r="P39" i="36" s="1"/>
  <c r="S39" i="36" s="1"/>
  <c r="T39" i="36" s="1"/>
  <c r="I12" i="11" l="1"/>
  <c r="I13" i="11"/>
  <c r="I14" i="11"/>
  <c r="I15" i="11"/>
  <c r="I16" i="11"/>
  <c r="I17" i="11"/>
  <c r="I18" i="11"/>
  <c r="I19" i="11"/>
  <c r="I20" i="11"/>
  <c r="I21" i="11"/>
  <c r="I22" i="11"/>
  <c r="I23" i="11"/>
  <c r="I30" i="11"/>
  <c r="I31" i="11"/>
  <c r="I32" i="11"/>
  <c r="I33" i="11"/>
  <c r="I34" i="11"/>
  <c r="I35" i="11"/>
  <c r="I37" i="11"/>
  <c r="I33" i="47"/>
  <c r="I30" i="47"/>
  <c r="I29" i="47"/>
  <c r="I28" i="47"/>
  <c r="I27" i="47"/>
  <c r="I26" i="47"/>
  <c r="I25" i="47"/>
  <c r="I24" i="47"/>
  <c r="I23" i="47"/>
  <c r="I22" i="47"/>
  <c r="I21" i="47"/>
  <c r="I20" i="47"/>
  <c r="I19" i="47"/>
  <c r="I18" i="47"/>
  <c r="I17" i="47"/>
  <c r="I16" i="47"/>
  <c r="I15" i="47"/>
  <c r="I14" i="47"/>
  <c r="I13" i="47"/>
  <c r="I12" i="47"/>
  <c r="I11" i="47"/>
  <c r="B8" i="47"/>
  <c r="B7" i="47"/>
  <c r="C6" i="47"/>
  <c r="B6" i="47"/>
  <c r="C5" i="47"/>
  <c r="B5" i="47"/>
  <c r="C4" i="47"/>
  <c r="B4" i="47"/>
  <c r="F3" i="47"/>
  <c r="I34" i="47" l="1"/>
  <c r="C32" i="4" s="1"/>
  <c r="L33" i="40" l="1"/>
  <c r="L34" i="40"/>
  <c r="L35" i="40"/>
  <c r="L36" i="40"/>
  <c r="L37" i="40"/>
  <c r="L38" i="40"/>
  <c r="L39" i="40"/>
  <c r="L40" i="40"/>
  <c r="L59" i="6" l="1"/>
  <c r="L60" i="6"/>
  <c r="L61" i="6"/>
  <c r="L62" i="6"/>
  <c r="L63" i="6"/>
  <c r="L64" i="6"/>
  <c r="L89" i="6"/>
  <c r="L90" i="6"/>
  <c r="L98" i="6"/>
  <c r="L99" i="6"/>
  <c r="L100" i="6"/>
  <c r="L101" i="6"/>
  <c r="I32" i="37"/>
  <c r="I33" i="37"/>
  <c r="I29" i="37"/>
  <c r="I30" i="37"/>
  <c r="I31" i="37"/>
  <c r="I61" i="11" l="1"/>
  <c r="I62" i="11"/>
  <c r="I65" i="11"/>
  <c r="I66" i="11"/>
  <c r="I67" i="11"/>
  <c r="I68" i="11"/>
  <c r="I69" i="11"/>
  <c r="I63" i="11"/>
  <c r="I64" i="11"/>
  <c r="I70" i="11"/>
  <c r="J17" i="43" l="1"/>
  <c r="J18" i="43"/>
  <c r="J19" i="43"/>
  <c r="J20" i="43"/>
  <c r="J21" i="43"/>
  <c r="J22" i="43"/>
  <c r="J23" i="43"/>
  <c r="J24" i="43"/>
  <c r="L119" i="6" l="1"/>
  <c r="L118" i="6"/>
  <c r="M117" i="6"/>
  <c r="N117" i="6" s="1"/>
  <c r="L117" i="6"/>
  <c r="M116" i="6"/>
  <c r="N116" i="6" s="1"/>
  <c r="L116" i="6"/>
  <c r="M115" i="6"/>
  <c r="N115" i="6" s="1"/>
  <c r="L115" i="6"/>
  <c r="M124" i="6" l="1"/>
  <c r="N124" i="6" s="1"/>
  <c r="L124" i="6"/>
  <c r="L97" i="6"/>
  <c r="L109" i="6"/>
  <c r="L110" i="6"/>
  <c r="L111" i="6"/>
  <c r="L112" i="6"/>
  <c r="L113" i="6"/>
  <c r="L102" i="6"/>
  <c r="L103" i="6"/>
  <c r="L104" i="6"/>
  <c r="L105" i="6"/>
  <c r="L106" i="6"/>
  <c r="L107" i="6"/>
  <c r="L108" i="6"/>
  <c r="L74" i="6"/>
  <c r="L75" i="6"/>
  <c r="L462" i="8"/>
  <c r="L463" i="8"/>
  <c r="L464" i="8"/>
  <c r="L465" i="8"/>
  <c r="L466" i="8"/>
  <c r="L467" i="8"/>
  <c r="L468" i="8"/>
  <c r="L469" i="8"/>
  <c r="L470" i="8"/>
  <c r="L471" i="8"/>
  <c r="L472" i="8"/>
  <c r="L473" i="8"/>
  <c r="L474" i="8"/>
  <c r="L475" i="8"/>
  <c r="L476" i="8"/>
  <c r="L477" i="8"/>
  <c r="L478" i="8"/>
  <c r="L479" i="8"/>
  <c r="L480" i="8"/>
  <c r="L481" i="8"/>
  <c r="L482" i="8"/>
  <c r="L131" i="8"/>
  <c r="L132" i="8"/>
  <c r="L133" i="8"/>
  <c r="L134" i="8"/>
  <c r="L135" i="8"/>
  <c r="L136" i="8"/>
  <c r="L137" i="8"/>
  <c r="L138" i="8"/>
  <c r="L139" i="8"/>
  <c r="L140" i="8"/>
  <c r="L442" i="8"/>
  <c r="L443" i="8"/>
  <c r="L444" i="8"/>
  <c r="L445" i="8"/>
  <c r="L446" i="8"/>
  <c r="L447" i="8"/>
  <c r="L448" i="8"/>
  <c r="L449" i="8"/>
  <c r="L423" i="8"/>
  <c r="L424" i="8"/>
  <c r="L425" i="8"/>
  <c r="L426" i="8"/>
  <c r="L427" i="8"/>
  <c r="L428" i="8"/>
  <c r="L429" i="8"/>
  <c r="L430" i="8"/>
  <c r="L431" i="8"/>
  <c r="L409" i="8"/>
  <c r="L410" i="8"/>
  <c r="L411" i="8"/>
  <c r="L412" i="8"/>
  <c r="L413" i="8"/>
  <c r="L414" i="8"/>
  <c r="L415" i="8"/>
  <c r="L387" i="8"/>
  <c r="L388" i="8"/>
  <c r="L389" i="8"/>
  <c r="L390" i="8"/>
  <c r="L391" i="8"/>
  <c r="L392" i="8"/>
  <c r="L393" i="8"/>
  <c r="L394" i="8"/>
  <c r="L395" i="8"/>
  <c r="L396" i="8"/>
  <c r="L397" i="8"/>
  <c r="L398" i="8"/>
  <c r="L399" i="8"/>
  <c r="L400" i="8"/>
  <c r="L401" i="8"/>
  <c r="L402" i="8"/>
  <c r="L403" i="8"/>
  <c r="L404" i="8"/>
  <c r="L405" i="8"/>
  <c r="L406" i="8"/>
  <c r="L369" i="8"/>
  <c r="L370" i="8"/>
  <c r="L371" i="8"/>
  <c r="L348" i="8"/>
  <c r="L349" i="8"/>
  <c r="L350" i="8"/>
  <c r="L351" i="8"/>
  <c r="L352" i="8"/>
  <c r="L353" i="8"/>
  <c r="L354" i="8"/>
  <c r="L355" i="8"/>
  <c r="L356" i="8"/>
  <c r="L357" i="8"/>
  <c r="L358" i="8"/>
  <c r="L359" i="8"/>
  <c r="L360" i="8"/>
  <c r="L361" i="8"/>
  <c r="L362" i="8"/>
  <c r="L335" i="8"/>
  <c r="L336" i="8"/>
  <c r="L337" i="8"/>
  <c r="L338" i="8"/>
  <c r="L339" i="8"/>
  <c r="L340" i="8"/>
  <c r="L341" i="8"/>
  <c r="L342" i="8"/>
  <c r="L343" i="8"/>
  <c r="L344" i="8"/>
  <c r="L345" i="8"/>
  <c r="L346" i="8"/>
  <c r="L347" i="8"/>
  <c r="L315" i="8"/>
  <c r="L316" i="8"/>
  <c r="L317" i="8"/>
  <c r="L318" i="8"/>
  <c r="L319" i="8"/>
  <c r="L320" i="8"/>
  <c r="L330" i="8"/>
  <c r="L52" i="6"/>
  <c r="L53" i="6"/>
  <c r="L54" i="6"/>
  <c r="L48" i="6"/>
  <c r="L49" i="6"/>
  <c r="L71" i="6"/>
  <c r="L72" i="6"/>
  <c r="L73" i="6"/>
  <c r="L332" i="8"/>
  <c r="L303" i="8"/>
  <c r="L94" i="8"/>
  <c r="L95" i="8"/>
  <c r="L89" i="8"/>
  <c r="L90" i="8"/>
  <c r="L91" i="8"/>
  <c r="L92" i="8"/>
  <c r="L93" i="8"/>
  <c r="L54" i="8"/>
  <c r="L55" i="8"/>
  <c r="L56" i="8"/>
  <c r="L40" i="8"/>
  <c r="L41" i="8"/>
  <c r="L42" i="8"/>
  <c r="L17" i="8"/>
  <c r="L18" i="8"/>
  <c r="L304" i="8"/>
  <c r="L305" i="8"/>
  <c r="L306" i="8"/>
  <c r="L307" i="8"/>
  <c r="L308" i="8"/>
  <c r="L309" i="8"/>
  <c r="L310" i="8"/>
  <c r="L311" i="8"/>
  <c r="L313" i="8"/>
  <c r="L314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65" i="8"/>
  <c r="L66" i="8"/>
  <c r="L67" i="8"/>
  <c r="L68" i="8"/>
  <c r="L69" i="8"/>
  <c r="L158" i="8"/>
  <c r="L159" i="8"/>
  <c r="L165" i="8"/>
  <c r="L166" i="8"/>
  <c r="L167" i="8"/>
  <c r="L168" i="8"/>
  <c r="L169" i="8"/>
  <c r="L170" i="8"/>
  <c r="L171" i="8"/>
  <c r="L172" i="8"/>
  <c r="L173" i="8"/>
  <c r="L174" i="8"/>
  <c r="L177" i="8"/>
  <c r="L178" i="8"/>
  <c r="L144" i="8"/>
  <c r="L145" i="8"/>
  <c r="L146" i="8"/>
  <c r="L147" i="8"/>
  <c r="L120" i="8"/>
  <c r="L121" i="8"/>
  <c r="L122" i="8"/>
  <c r="L123" i="8"/>
  <c r="L124" i="8"/>
  <c r="L125" i="8"/>
  <c r="L126" i="8"/>
  <c r="L127" i="8"/>
  <c r="L128" i="8"/>
  <c r="L76" i="40"/>
  <c r="L77" i="40"/>
  <c r="L78" i="40"/>
  <c r="L62" i="40"/>
  <c r="L63" i="40"/>
  <c r="L64" i="40"/>
  <c r="L65" i="40"/>
  <c r="L66" i="40"/>
  <c r="L67" i="40"/>
  <c r="L68" i="40"/>
  <c r="L69" i="40"/>
  <c r="L70" i="40"/>
  <c r="L71" i="40"/>
  <c r="L74" i="40"/>
  <c r="L75" i="40"/>
  <c r="M71" i="40"/>
  <c r="N71" i="40" s="1"/>
  <c r="J16" i="43"/>
  <c r="K24" i="43"/>
  <c r="L24" i="43" s="1"/>
  <c r="K16" i="43"/>
  <c r="L16" i="43" s="1"/>
  <c r="K15" i="43"/>
  <c r="L15" i="43" s="1"/>
  <c r="J15" i="43"/>
  <c r="K14" i="43"/>
  <c r="L14" i="43" s="1"/>
  <c r="J14" i="43"/>
  <c r="K13" i="43"/>
  <c r="L13" i="43" s="1"/>
  <c r="J13" i="43"/>
  <c r="J12" i="43"/>
  <c r="K11" i="43"/>
  <c r="L11" i="43" s="1"/>
  <c r="J11" i="43"/>
  <c r="B8" i="43"/>
  <c r="B7" i="43"/>
  <c r="C6" i="43"/>
  <c r="B6" i="43"/>
  <c r="C5" i="43"/>
  <c r="B5" i="43"/>
  <c r="C4" i="43"/>
  <c r="B4" i="43"/>
  <c r="G3" i="43"/>
  <c r="L125" i="6"/>
  <c r="L126" i="6"/>
  <c r="L127" i="6"/>
  <c r="L128" i="6"/>
  <c r="L129" i="6"/>
  <c r="L78" i="8"/>
  <c r="M78" i="8"/>
  <c r="N78" i="8"/>
  <c r="L81" i="8"/>
  <c r="M81" i="8"/>
  <c r="N81" i="8" s="1"/>
  <c r="M90" i="8"/>
  <c r="N90" i="8"/>
  <c r="L109" i="8"/>
  <c r="L116" i="8"/>
  <c r="M132" i="8"/>
  <c r="N132" i="8"/>
  <c r="M137" i="8"/>
  <c r="N137" i="8"/>
  <c r="L150" i="8"/>
  <c r="M150" i="8"/>
  <c r="N150" i="8"/>
  <c r="L162" i="8"/>
  <c r="M162" i="8"/>
  <c r="N162" i="8"/>
  <c r="M172" i="8"/>
  <c r="N172" i="8"/>
  <c r="L176" i="8"/>
  <c r="M176" i="8"/>
  <c r="N176" i="8"/>
  <c r="L184" i="8"/>
  <c r="M184" i="8"/>
  <c r="N184" i="8"/>
  <c r="L185" i="8"/>
  <c r="N187" i="8"/>
  <c r="M189" i="8"/>
  <c r="N189" i="8"/>
  <c r="L204" i="8"/>
  <c r="M204" i="8"/>
  <c r="N204" i="8"/>
  <c r="L210" i="8"/>
  <c r="M210" i="8"/>
  <c r="N210" i="8"/>
  <c r="M214" i="8"/>
  <c r="N214" i="8"/>
  <c r="M216" i="8"/>
  <c r="N216" i="8"/>
  <c r="M222" i="8"/>
  <c r="N222" i="8"/>
  <c r="M223" i="8"/>
  <c r="N223" i="8"/>
  <c r="M239" i="8"/>
  <c r="N239" i="8"/>
  <c r="M242" i="8"/>
  <c r="N242" i="8"/>
  <c r="M247" i="8"/>
  <c r="N247" i="8"/>
  <c r="M248" i="8"/>
  <c r="N248" i="8"/>
  <c r="M251" i="8"/>
  <c r="N251" i="8"/>
  <c r="M258" i="8"/>
  <c r="N258" i="8"/>
  <c r="M263" i="8"/>
  <c r="N263" i="8"/>
  <c r="M264" i="8"/>
  <c r="N264" i="8"/>
  <c r="M270" i="8"/>
  <c r="N270" i="8"/>
  <c r="L20" i="40"/>
  <c r="L21" i="40"/>
  <c r="L22" i="40"/>
  <c r="L23" i="40"/>
  <c r="L24" i="40"/>
  <c r="L45" i="40"/>
  <c r="L46" i="40"/>
  <c r="L47" i="40"/>
  <c r="L48" i="40"/>
  <c r="L49" i="40"/>
  <c r="L50" i="40"/>
  <c r="L51" i="40"/>
  <c r="L52" i="40"/>
  <c r="L53" i="40"/>
  <c r="L54" i="40"/>
  <c r="L55" i="40"/>
  <c r="L56" i="40"/>
  <c r="L57" i="40"/>
  <c r="L58" i="40"/>
  <c r="L59" i="40"/>
  <c r="L60" i="40"/>
  <c r="L61" i="40"/>
  <c r="M70" i="40"/>
  <c r="N70" i="40" s="1"/>
  <c r="M68" i="40"/>
  <c r="N68" i="40" s="1"/>
  <c r="M66" i="40"/>
  <c r="N66" i="40" s="1"/>
  <c r="M57" i="40"/>
  <c r="N57" i="40" s="1"/>
  <c r="M55" i="40"/>
  <c r="N55" i="40" s="1"/>
  <c r="M53" i="40"/>
  <c r="N53" i="40" s="1"/>
  <c r="M52" i="40"/>
  <c r="N52" i="40" s="1"/>
  <c r="M51" i="40"/>
  <c r="N51" i="40" s="1"/>
  <c r="M49" i="40"/>
  <c r="N49" i="40" s="1"/>
  <c r="M48" i="40"/>
  <c r="N48" i="40" s="1"/>
  <c r="M47" i="40"/>
  <c r="N47" i="40" s="1"/>
  <c r="M46" i="40"/>
  <c r="N46" i="40" s="1"/>
  <c r="M44" i="40"/>
  <c r="N44" i="40" s="1"/>
  <c r="L44" i="40"/>
  <c r="M43" i="40"/>
  <c r="N43" i="40" s="1"/>
  <c r="L43" i="40"/>
  <c r="M42" i="40"/>
  <c r="N42" i="40" s="1"/>
  <c r="L42" i="40"/>
  <c r="M41" i="40"/>
  <c r="N41" i="40" s="1"/>
  <c r="M37" i="40"/>
  <c r="N37" i="40" s="1"/>
  <c r="M36" i="40"/>
  <c r="N36" i="40" s="1"/>
  <c r="M34" i="40"/>
  <c r="M33" i="40"/>
  <c r="N33" i="40" s="1"/>
  <c r="N30" i="40"/>
  <c r="M30" i="40"/>
  <c r="L30" i="40"/>
  <c r="N29" i="40"/>
  <c r="M29" i="40"/>
  <c r="L29" i="40"/>
  <c r="N28" i="40"/>
  <c r="M28" i="40"/>
  <c r="L28" i="40"/>
  <c r="N27" i="40"/>
  <c r="M27" i="40"/>
  <c r="L27" i="40"/>
  <c r="N26" i="40"/>
  <c r="M26" i="40"/>
  <c r="L26" i="40"/>
  <c r="N25" i="40"/>
  <c r="M25" i="40"/>
  <c r="L25" i="40"/>
  <c r="N24" i="40"/>
  <c r="M24" i="40"/>
  <c r="N23" i="40"/>
  <c r="M23" i="40"/>
  <c r="N22" i="40"/>
  <c r="M22" i="40"/>
  <c r="N21" i="40"/>
  <c r="M21" i="40"/>
  <c r="N20" i="40"/>
  <c r="M20" i="40"/>
  <c r="N19" i="40"/>
  <c r="M19" i="40"/>
  <c r="L19" i="40"/>
  <c r="N18" i="40"/>
  <c r="M18" i="40"/>
  <c r="L18" i="40"/>
  <c r="N17" i="40"/>
  <c r="M17" i="40"/>
  <c r="L17" i="40"/>
  <c r="N16" i="40"/>
  <c r="M16" i="40"/>
  <c r="L16" i="40"/>
  <c r="N15" i="40"/>
  <c r="M15" i="40"/>
  <c r="L15" i="40"/>
  <c r="N14" i="40"/>
  <c r="M14" i="40"/>
  <c r="L14" i="40"/>
  <c r="N13" i="40"/>
  <c r="M13" i="40"/>
  <c r="L13" i="40"/>
  <c r="N12" i="40"/>
  <c r="M12" i="40"/>
  <c r="L12" i="40"/>
  <c r="B8" i="40"/>
  <c r="B7" i="40"/>
  <c r="C6" i="40"/>
  <c r="B6" i="40"/>
  <c r="C5" i="40"/>
  <c r="B5" i="40"/>
  <c r="C4" i="40"/>
  <c r="B4" i="40"/>
  <c r="I3" i="40"/>
  <c r="L5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J25" i="43" l="1"/>
  <c r="C23" i="4" s="1"/>
  <c r="M187" i="8"/>
  <c r="L187" i="8"/>
  <c r="M50" i="40"/>
  <c r="N50" i="40" s="1"/>
  <c r="L31" i="40"/>
  <c r="C22" i="4" s="1"/>
  <c r="L41" i="40"/>
  <c r="L79" i="40" s="1"/>
  <c r="L61" i="8" l="1"/>
  <c r="L62" i="8"/>
  <c r="L63" i="8"/>
  <c r="L64" i="8"/>
  <c r="L70" i="8"/>
  <c r="L71" i="8"/>
  <c r="L72" i="8"/>
  <c r="L73" i="8"/>
  <c r="L74" i="8"/>
  <c r="L75" i="8"/>
  <c r="L76" i="8"/>
  <c r="L77" i="8"/>
  <c r="N302" i="8"/>
  <c r="L302" i="8"/>
  <c r="L102" i="8" l="1"/>
  <c r="L103" i="8"/>
  <c r="L104" i="8"/>
  <c r="L105" i="8"/>
  <c r="L106" i="8"/>
  <c r="L107" i="8"/>
  <c r="L108" i="8"/>
  <c r="L110" i="8"/>
  <c r="L111" i="8"/>
  <c r="L112" i="8"/>
  <c r="L113" i="8"/>
  <c r="L114" i="8"/>
  <c r="L115" i="8"/>
  <c r="N70" i="8"/>
  <c r="M70" i="8"/>
  <c r="L25" i="8"/>
  <c r="L26" i="8"/>
  <c r="L27" i="8"/>
  <c r="I35" i="37" l="1"/>
  <c r="I84" i="37"/>
  <c r="I83" i="37"/>
  <c r="I82" i="37"/>
  <c r="I81" i="37"/>
  <c r="I80" i="37"/>
  <c r="I79" i="37"/>
  <c r="I78" i="37"/>
  <c r="I77" i="37"/>
  <c r="I76" i="37"/>
  <c r="I75" i="37"/>
  <c r="I74" i="37"/>
  <c r="I73" i="37"/>
  <c r="I72" i="37"/>
  <c r="I71" i="37"/>
  <c r="I70" i="37"/>
  <c r="I69" i="37"/>
  <c r="I68" i="37"/>
  <c r="I67" i="37"/>
  <c r="I66" i="37"/>
  <c r="I63" i="37"/>
  <c r="I62" i="37"/>
  <c r="I61" i="37"/>
  <c r="I60" i="37"/>
  <c r="I59" i="37"/>
  <c r="I58" i="37"/>
  <c r="I57" i="37"/>
  <c r="I56" i="37"/>
  <c r="I55" i="37"/>
  <c r="I54" i="37"/>
  <c r="I53" i="37"/>
  <c r="I52" i="37"/>
  <c r="I51" i="37"/>
  <c r="I50" i="37"/>
  <c r="I49" i="37"/>
  <c r="I48" i="37"/>
  <c r="I47" i="37"/>
  <c r="I46" i="37"/>
  <c r="I45" i="37"/>
  <c r="I44" i="37"/>
  <c r="I43" i="37"/>
  <c r="I42" i="37"/>
  <c r="I41" i="37"/>
  <c r="I40" i="37"/>
  <c r="I39" i="37"/>
  <c r="I38" i="37"/>
  <c r="I37" i="37"/>
  <c r="I36" i="37"/>
  <c r="I34" i="37"/>
  <c r="I28" i="37"/>
  <c r="I27" i="37"/>
  <c r="I26" i="37"/>
  <c r="I25" i="37"/>
  <c r="I24" i="37"/>
  <c r="I23" i="37"/>
  <c r="I22" i="37"/>
  <c r="I21" i="37"/>
  <c r="I20" i="37"/>
  <c r="I19" i="37"/>
  <c r="I18" i="37"/>
  <c r="I17" i="37"/>
  <c r="I16" i="37"/>
  <c r="I15" i="37"/>
  <c r="I14" i="37"/>
  <c r="I13" i="37"/>
  <c r="I12" i="37"/>
  <c r="B8" i="37"/>
  <c r="C7" i="37"/>
  <c r="B7" i="37"/>
  <c r="C6" i="37"/>
  <c r="B6" i="37"/>
  <c r="C5" i="37"/>
  <c r="B5" i="37"/>
  <c r="C4" i="37"/>
  <c r="B4" i="37"/>
  <c r="C15" i="4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1" i="5"/>
  <c r="I82" i="5"/>
  <c r="I83" i="5"/>
  <c r="I84" i="5"/>
  <c r="I85" i="5"/>
  <c r="I86" i="5"/>
  <c r="I87" i="5"/>
  <c r="I88" i="5"/>
  <c r="I89" i="5"/>
  <c r="F7" i="48" l="1"/>
  <c r="F7" i="49"/>
  <c r="F7" i="50"/>
  <c r="C7" i="47"/>
  <c r="C7" i="40"/>
  <c r="C7" i="43"/>
  <c r="I64" i="37"/>
  <c r="C19" i="4" s="1"/>
  <c r="I85" i="37"/>
  <c r="C20" i="4" s="1"/>
  <c r="S257" i="10" l="1"/>
  <c r="O181" i="10"/>
  <c r="P181" i="10" s="1"/>
  <c r="S181" i="10" s="1"/>
  <c r="O93" i="36"/>
  <c r="O94" i="36"/>
  <c r="O95" i="36"/>
  <c r="N13" i="36"/>
  <c r="O13" i="36" s="1"/>
  <c r="R31" i="36"/>
  <c r="R32" i="36"/>
  <c r="R33" i="36"/>
  <c r="R34" i="36"/>
  <c r="R35" i="36"/>
  <c r="R36" i="36"/>
  <c r="R37" i="36"/>
  <c r="R38" i="36"/>
  <c r="R40" i="36"/>
  <c r="R41" i="36"/>
  <c r="R42" i="36"/>
  <c r="R43" i="36"/>
  <c r="R44" i="36"/>
  <c r="R45" i="36"/>
  <c r="R46" i="36"/>
  <c r="R64" i="36"/>
  <c r="R65" i="36"/>
  <c r="R71" i="36"/>
  <c r="R72" i="36"/>
  <c r="R73" i="36"/>
  <c r="R74" i="36"/>
  <c r="R80" i="36"/>
  <c r="R81" i="36"/>
  <c r="R82" i="36"/>
  <c r="R83" i="36"/>
  <c r="R85" i="36"/>
  <c r="R86" i="36"/>
  <c r="R87" i="36"/>
  <c r="R67" i="36"/>
  <c r="R88" i="36"/>
  <c r="R89" i="36"/>
  <c r="R90" i="36"/>
  <c r="R91" i="36"/>
  <c r="R92" i="36"/>
  <c r="S92" i="36" s="1"/>
  <c r="R94" i="36"/>
  <c r="R95" i="36"/>
  <c r="R14" i="36"/>
  <c r="R13" i="36"/>
  <c r="R15" i="36"/>
  <c r="R16" i="36"/>
  <c r="R17" i="36"/>
  <c r="R18" i="36"/>
  <c r="R19" i="36"/>
  <c r="R20" i="36"/>
  <c r="R21" i="36"/>
  <c r="R22" i="36"/>
  <c r="R23" i="36"/>
  <c r="R24" i="36"/>
  <c r="R25" i="36"/>
  <c r="R26" i="36"/>
  <c r="R27" i="36"/>
  <c r="R28" i="36"/>
  <c r="N14" i="36"/>
  <c r="P13" i="36" l="1"/>
  <c r="S13" i="36" s="1"/>
  <c r="O14" i="36"/>
  <c r="P14" i="36" s="1"/>
  <c r="S14" i="36" s="1"/>
  <c r="C16" i="4" l="1"/>
  <c r="C3" i="4"/>
  <c r="C4" i="4" s="1"/>
  <c r="C7" i="4"/>
  <c r="C8" i="4" s="1"/>
  <c r="C5" i="4"/>
  <c r="C6" i="4" s="1"/>
  <c r="B46" i="4"/>
  <c r="B45" i="4"/>
  <c r="B44" i="4"/>
  <c r="B43" i="4"/>
  <c r="B42" i="4"/>
  <c r="B40" i="4"/>
  <c r="B39" i="4"/>
  <c r="B38" i="4"/>
  <c r="B37" i="4"/>
  <c r="E8" i="4"/>
  <c r="F8" i="48" l="1"/>
  <c r="F8" i="49"/>
  <c r="F8" i="50"/>
  <c r="C8" i="47"/>
  <c r="C8" i="40"/>
  <c r="C8" i="43"/>
  <c r="C8" i="37"/>
  <c r="M64" i="36" l="1"/>
  <c r="N64" i="36"/>
  <c r="M65" i="36"/>
  <c r="N65" i="36"/>
  <c r="O65" i="36" s="1"/>
  <c r="M71" i="36"/>
  <c r="N71" i="36"/>
  <c r="O71" i="36" s="1"/>
  <c r="M72" i="36"/>
  <c r="N72" i="36"/>
  <c r="O72" i="36" s="1"/>
  <c r="M73" i="36"/>
  <c r="N73" i="36"/>
  <c r="O73" i="36" s="1"/>
  <c r="M74" i="36"/>
  <c r="N74" i="36"/>
  <c r="O74" i="36" s="1"/>
  <c r="M80" i="36"/>
  <c r="N80" i="36"/>
  <c r="O80" i="36" s="1"/>
  <c r="M81" i="36"/>
  <c r="N81" i="36"/>
  <c r="O81" i="36" s="1"/>
  <c r="M82" i="36"/>
  <c r="N82" i="36"/>
  <c r="O82" i="36" s="1"/>
  <c r="M83" i="36"/>
  <c r="N83" i="36"/>
  <c r="O83" i="36" s="1"/>
  <c r="M85" i="36"/>
  <c r="N85" i="36"/>
  <c r="O85" i="36" s="1"/>
  <c r="M86" i="36"/>
  <c r="N86" i="36"/>
  <c r="O86" i="36" s="1"/>
  <c r="M87" i="36"/>
  <c r="N87" i="36"/>
  <c r="O87" i="36" s="1"/>
  <c r="M67" i="36"/>
  <c r="N67" i="36"/>
  <c r="O67" i="36" s="1"/>
  <c r="M88" i="36"/>
  <c r="N88" i="36"/>
  <c r="O88" i="36" s="1"/>
  <c r="M89" i="36"/>
  <c r="N89" i="36"/>
  <c r="O89" i="36" s="1"/>
  <c r="M90" i="36"/>
  <c r="N90" i="36"/>
  <c r="O90" i="36" s="1"/>
  <c r="M91" i="36"/>
  <c r="N91" i="36"/>
  <c r="O91" i="36" s="1"/>
  <c r="M94" i="36"/>
  <c r="M95" i="36"/>
  <c r="M35" i="36"/>
  <c r="N35" i="36"/>
  <c r="M32" i="36"/>
  <c r="N32" i="36"/>
  <c r="M33" i="36"/>
  <c r="N33" i="36"/>
  <c r="M34" i="36"/>
  <c r="N34" i="36"/>
  <c r="M36" i="36"/>
  <c r="N36" i="36"/>
  <c r="M44" i="36"/>
  <c r="N44" i="36"/>
  <c r="M45" i="36"/>
  <c r="N45" i="36"/>
  <c r="M43" i="36"/>
  <c r="N43" i="36"/>
  <c r="O64" i="36" l="1"/>
  <c r="P64" i="36" s="1"/>
  <c r="S64" i="36" s="1"/>
  <c r="T64" i="36" s="1"/>
  <c r="O32" i="36"/>
  <c r="P32" i="36" s="1"/>
  <c r="S32" i="36" s="1"/>
  <c r="T32" i="36" s="1"/>
  <c r="O33" i="36"/>
  <c r="P33" i="36" s="1"/>
  <c r="S33" i="36" s="1"/>
  <c r="T33" i="36" s="1"/>
  <c r="O36" i="36"/>
  <c r="P36" i="36" s="1"/>
  <c r="S36" i="36" s="1"/>
  <c r="T36" i="36" s="1"/>
  <c r="O35" i="36"/>
  <c r="P35" i="36" s="1"/>
  <c r="S35" i="36" s="1"/>
  <c r="T35" i="36" s="1"/>
  <c r="O43" i="36"/>
  <c r="P43" i="36" s="1"/>
  <c r="S43" i="36" s="1"/>
  <c r="T43" i="36" s="1"/>
  <c r="O44" i="36"/>
  <c r="P44" i="36" s="1"/>
  <c r="S44" i="36" s="1"/>
  <c r="T44" i="36" s="1"/>
  <c r="O45" i="36"/>
  <c r="P45" i="36" s="1"/>
  <c r="S45" i="36" s="1"/>
  <c r="T45" i="36" s="1"/>
  <c r="O34" i="36"/>
  <c r="P34" i="36" s="1"/>
  <c r="S34" i="36" s="1"/>
  <c r="T34" i="36" s="1"/>
  <c r="M96" i="36"/>
  <c r="C46" i="4" s="1"/>
  <c r="M92" i="36"/>
  <c r="C45" i="4" s="1"/>
  <c r="M38" i="36" l="1"/>
  <c r="N38" i="36"/>
  <c r="N37" i="36"/>
  <c r="N31" i="36"/>
  <c r="M31" i="36"/>
  <c r="M40" i="36"/>
  <c r="N40" i="36"/>
  <c r="M28" i="36"/>
  <c r="N28" i="36"/>
  <c r="M26" i="36"/>
  <c r="N26" i="36"/>
  <c r="M25" i="36"/>
  <c r="N25" i="36"/>
  <c r="M27" i="36"/>
  <c r="N27" i="36"/>
  <c r="M19" i="36"/>
  <c r="N19" i="36"/>
  <c r="M20" i="36"/>
  <c r="N20" i="36"/>
  <c r="M21" i="36"/>
  <c r="N21" i="36"/>
  <c r="M22" i="36"/>
  <c r="N22" i="36"/>
  <c r="M23" i="36"/>
  <c r="N23" i="36"/>
  <c r="M24" i="36"/>
  <c r="N24" i="36"/>
  <c r="M18" i="36"/>
  <c r="N18" i="36"/>
  <c r="M13" i="36"/>
  <c r="M14" i="36"/>
  <c r="M15" i="36"/>
  <c r="N15" i="36"/>
  <c r="M16" i="36"/>
  <c r="N16" i="36"/>
  <c r="M17" i="36"/>
  <c r="N17" i="36"/>
  <c r="O23" i="36" l="1"/>
  <c r="P23" i="36" s="1"/>
  <c r="S23" i="36" s="1"/>
  <c r="T23" i="36" s="1"/>
  <c r="O19" i="36"/>
  <c r="P19" i="36" s="1"/>
  <c r="S19" i="36" s="1"/>
  <c r="T19" i="36" s="1"/>
  <c r="O28" i="36"/>
  <c r="P28" i="36" s="1"/>
  <c r="S28" i="36" s="1"/>
  <c r="T28" i="36" s="1"/>
  <c r="O16" i="36"/>
  <c r="P16" i="36" s="1"/>
  <c r="S16" i="36" s="1"/>
  <c r="T16" i="36" s="1"/>
  <c r="O27" i="36"/>
  <c r="P27" i="36" s="1"/>
  <c r="S27" i="36" s="1"/>
  <c r="T27" i="36" s="1"/>
  <c r="O31" i="36"/>
  <c r="P31" i="36" s="1"/>
  <c r="S31" i="36" s="1"/>
  <c r="T31" i="36" s="1"/>
  <c r="O22" i="36"/>
  <c r="P22" i="36" s="1"/>
  <c r="S22" i="36" s="1"/>
  <c r="T22" i="36" s="1"/>
  <c r="O21" i="36"/>
  <c r="P21" i="36" s="1"/>
  <c r="S21" i="36" s="1"/>
  <c r="T21" i="36" s="1"/>
  <c r="O25" i="36"/>
  <c r="P25" i="36" s="1"/>
  <c r="S25" i="36" s="1"/>
  <c r="T25" i="36" s="1"/>
  <c r="O37" i="36"/>
  <c r="P37" i="36" s="1"/>
  <c r="S37" i="36" s="1"/>
  <c r="O18" i="36"/>
  <c r="P18" i="36" s="1"/>
  <c r="S18" i="36" s="1"/>
  <c r="T18" i="36" s="1"/>
  <c r="O38" i="36"/>
  <c r="P38" i="36" s="1"/>
  <c r="S38" i="36" s="1"/>
  <c r="T38" i="36" s="1"/>
  <c r="O15" i="36"/>
  <c r="P15" i="36" s="1"/>
  <c r="S15" i="36" s="1"/>
  <c r="T15" i="36" s="1"/>
  <c r="O24" i="36"/>
  <c r="P24" i="36" s="1"/>
  <c r="S24" i="36" s="1"/>
  <c r="T24" i="36" s="1"/>
  <c r="O20" i="36"/>
  <c r="P20" i="36" s="1"/>
  <c r="S20" i="36" s="1"/>
  <c r="T20" i="36" s="1"/>
  <c r="O26" i="36"/>
  <c r="P26" i="36" s="1"/>
  <c r="S26" i="36" s="1"/>
  <c r="T26" i="36" s="1"/>
  <c r="O40" i="36"/>
  <c r="P40" i="36" s="1"/>
  <c r="S40" i="36" s="1"/>
  <c r="T40" i="36" s="1"/>
  <c r="O17" i="36"/>
  <c r="P17" i="36" s="1"/>
  <c r="S17" i="36" s="1"/>
  <c r="T17" i="36" s="1"/>
  <c r="P65" i="36"/>
  <c r="S65" i="36" s="1"/>
  <c r="T65" i="36" s="1"/>
  <c r="M29" i="36"/>
  <c r="C43" i="4" s="1"/>
  <c r="T14" i="36"/>
  <c r="T13" i="36"/>
  <c r="M61" i="6"/>
  <c r="N61" i="6" s="1"/>
  <c r="F7" i="10"/>
  <c r="D8" i="6"/>
  <c r="L373" i="8"/>
  <c r="M373" i="8"/>
  <c r="N373" i="8"/>
  <c r="L372" i="8"/>
  <c r="M372" i="8"/>
  <c r="N372" i="8"/>
  <c r="N249" i="10"/>
  <c r="N250" i="10"/>
  <c r="N251" i="10"/>
  <c r="N98" i="10"/>
  <c r="N99" i="10"/>
  <c r="N100" i="10"/>
  <c r="N101" i="10"/>
  <c r="N102" i="10"/>
  <c r="N103" i="10"/>
  <c r="N104" i="10"/>
  <c r="N109" i="10"/>
  <c r="N110" i="10"/>
  <c r="N111" i="10"/>
  <c r="N112" i="10"/>
  <c r="N114" i="10"/>
  <c r="N115" i="10"/>
  <c r="N116" i="10"/>
  <c r="N117" i="10"/>
  <c r="N118" i="10"/>
  <c r="N119" i="10"/>
  <c r="N38" i="10"/>
  <c r="M259" i="10"/>
  <c r="N259" i="10"/>
  <c r="R259" i="10"/>
  <c r="M260" i="10"/>
  <c r="N260" i="10"/>
  <c r="R260" i="10"/>
  <c r="M261" i="10"/>
  <c r="N261" i="10"/>
  <c r="R261" i="10"/>
  <c r="M262" i="10"/>
  <c r="N262" i="10"/>
  <c r="R262" i="10"/>
  <c r="R247" i="10"/>
  <c r="M247" i="10"/>
  <c r="N247" i="10"/>
  <c r="R248" i="10"/>
  <c r="M248" i="10"/>
  <c r="N248" i="10"/>
  <c r="N212" i="10"/>
  <c r="R213" i="10"/>
  <c r="M213" i="10"/>
  <c r="N213" i="10"/>
  <c r="R212" i="10"/>
  <c r="M212" i="10"/>
  <c r="R214" i="10"/>
  <c r="M214" i="10"/>
  <c r="N214" i="10"/>
  <c r="R236" i="10"/>
  <c r="M236" i="10"/>
  <c r="N236" i="10"/>
  <c r="R28" i="10"/>
  <c r="M28" i="10"/>
  <c r="N28" i="10"/>
  <c r="N32" i="10"/>
  <c r="N31" i="10"/>
  <c r="N30" i="10"/>
  <c r="N29" i="10"/>
  <c r="R27" i="10"/>
  <c r="R29" i="10"/>
  <c r="R30" i="10"/>
  <c r="R31" i="10"/>
  <c r="R32" i="10"/>
  <c r="M40" i="10"/>
  <c r="M32" i="10"/>
  <c r="M33" i="10"/>
  <c r="M34" i="10"/>
  <c r="M35" i="10"/>
  <c r="M36" i="10"/>
  <c r="M37" i="10"/>
  <c r="M38" i="10"/>
  <c r="M39" i="10"/>
  <c r="M41" i="10"/>
  <c r="M42" i="10"/>
  <c r="M26" i="10"/>
  <c r="M25" i="10"/>
  <c r="M27" i="10"/>
  <c r="M29" i="10"/>
  <c r="M30" i="10"/>
  <c r="M31" i="10"/>
  <c r="M24" i="10"/>
  <c r="N27" i="10"/>
  <c r="L333" i="8"/>
  <c r="L209" i="8"/>
  <c r="L101" i="8"/>
  <c r="L148" i="8"/>
  <c r="L119" i="8"/>
  <c r="L118" i="8"/>
  <c r="L85" i="6"/>
  <c r="L70" i="6"/>
  <c r="L43" i="8"/>
  <c r="M43" i="8"/>
  <c r="N43" i="8"/>
  <c r="L29" i="6"/>
  <c r="L76" i="6"/>
  <c r="L69" i="6"/>
  <c r="L96" i="8"/>
  <c r="M96" i="8" s="1"/>
  <c r="N96" i="8" s="1"/>
  <c r="L455" i="8"/>
  <c r="I50" i="11"/>
  <c r="I51" i="11"/>
  <c r="I52" i="11"/>
  <c r="I49" i="11"/>
  <c r="I54" i="11"/>
  <c r="I55" i="11"/>
  <c r="I56" i="11"/>
  <c r="I53" i="11"/>
  <c r="L334" i="8"/>
  <c r="L300" i="8"/>
  <c r="L408" i="8"/>
  <c r="N40" i="10"/>
  <c r="N51" i="10"/>
  <c r="N50" i="10"/>
  <c r="M51" i="10"/>
  <c r="N42" i="36"/>
  <c r="M42" i="36"/>
  <c r="M41" i="36"/>
  <c r="N41" i="36"/>
  <c r="L16" i="6"/>
  <c r="L23" i="6"/>
  <c r="L24" i="6"/>
  <c r="L25" i="6"/>
  <c r="L26" i="6"/>
  <c r="L27" i="6"/>
  <c r="L28" i="6"/>
  <c r="L30" i="6"/>
  <c r="L31" i="6"/>
  <c r="L56" i="6"/>
  <c r="L57" i="6"/>
  <c r="L58" i="6"/>
  <c r="L65" i="6"/>
  <c r="L67" i="6"/>
  <c r="L68" i="6"/>
  <c r="L461" i="8"/>
  <c r="C6" i="1"/>
  <c r="J3" i="10"/>
  <c r="F6" i="10"/>
  <c r="F5" i="10"/>
  <c r="F4" i="10"/>
  <c r="C5" i="10"/>
  <c r="C6" i="10"/>
  <c r="C7" i="10"/>
  <c r="C8" i="10"/>
  <c r="C4" i="10"/>
  <c r="N267" i="10"/>
  <c r="M267" i="10"/>
  <c r="N266" i="10"/>
  <c r="M266" i="10"/>
  <c r="N265" i="10"/>
  <c r="M265" i="10"/>
  <c r="N264" i="10"/>
  <c r="M264" i="10"/>
  <c r="R256" i="10"/>
  <c r="N256" i="10"/>
  <c r="M256" i="10"/>
  <c r="R255" i="10"/>
  <c r="N255" i="10"/>
  <c r="M255" i="10"/>
  <c r="R254" i="10"/>
  <c r="N254" i="10"/>
  <c r="M254" i="10"/>
  <c r="R253" i="10"/>
  <c r="N253" i="10"/>
  <c r="M253" i="10"/>
  <c r="R252" i="10"/>
  <c r="N252" i="10"/>
  <c r="M252" i="10"/>
  <c r="R251" i="10"/>
  <c r="M251" i="10"/>
  <c r="R250" i="10"/>
  <c r="M250" i="10"/>
  <c r="R249" i="10"/>
  <c r="M249" i="10"/>
  <c r="R246" i="10"/>
  <c r="N246" i="10"/>
  <c r="M246" i="10"/>
  <c r="R245" i="10"/>
  <c r="N245" i="10"/>
  <c r="M245" i="10"/>
  <c r="R244" i="10"/>
  <c r="N244" i="10"/>
  <c r="M244" i="10"/>
  <c r="R243" i="10"/>
  <c r="N243" i="10"/>
  <c r="M243" i="10"/>
  <c r="R242" i="10"/>
  <c r="N242" i="10"/>
  <c r="M242" i="10"/>
  <c r="R241" i="10"/>
  <c r="N241" i="10"/>
  <c r="M241" i="10"/>
  <c r="R240" i="10"/>
  <c r="N240" i="10"/>
  <c r="M240" i="10"/>
  <c r="R239" i="10"/>
  <c r="N239" i="10"/>
  <c r="M239" i="10"/>
  <c r="R238" i="10"/>
  <c r="N238" i="10"/>
  <c r="M238" i="10"/>
  <c r="R237" i="10"/>
  <c r="N237" i="10"/>
  <c r="M237" i="10"/>
  <c r="R235" i="10"/>
  <c r="N235" i="10"/>
  <c r="M235" i="10"/>
  <c r="R234" i="10"/>
  <c r="N234" i="10"/>
  <c r="M234" i="10"/>
  <c r="R233" i="10"/>
  <c r="N233" i="10"/>
  <c r="M233" i="10"/>
  <c r="R232" i="10"/>
  <c r="N232" i="10"/>
  <c r="M232" i="10"/>
  <c r="R231" i="10"/>
  <c r="N231" i="10"/>
  <c r="M231" i="10"/>
  <c r="R230" i="10"/>
  <c r="N230" i="10"/>
  <c r="M230" i="10"/>
  <c r="R229" i="10"/>
  <c r="N229" i="10"/>
  <c r="M229" i="10"/>
  <c r="R228" i="10"/>
  <c r="N228" i="10"/>
  <c r="M228" i="10"/>
  <c r="R227" i="10"/>
  <c r="N227" i="10"/>
  <c r="M227" i="10"/>
  <c r="R226" i="10"/>
  <c r="N226" i="10"/>
  <c r="M226" i="10"/>
  <c r="R225" i="10"/>
  <c r="N225" i="10"/>
  <c r="M225" i="10"/>
  <c r="R224" i="10"/>
  <c r="N224" i="10"/>
  <c r="M224" i="10"/>
  <c r="R223" i="10"/>
  <c r="N223" i="10"/>
  <c r="M223" i="10"/>
  <c r="R222" i="10"/>
  <c r="N222" i="10"/>
  <c r="M222" i="10"/>
  <c r="R221" i="10"/>
  <c r="N221" i="10"/>
  <c r="M221" i="10"/>
  <c r="R220" i="10"/>
  <c r="N220" i="10"/>
  <c r="M220" i="10"/>
  <c r="R219" i="10"/>
  <c r="N219" i="10"/>
  <c r="M219" i="10"/>
  <c r="R218" i="10"/>
  <c r="N218" i="10"/>
  <c r="M218" i="10"/>
  <c r="R217" i="10"/>
  <c r="N217" i="10"/>
  <c r="M217" i="10"/>
  <c r="R216" i="10"/>
  <c r="N216" i="10"/>
  <c r="M216" i="10"/>
  <c r="R215" i="10"/>
  <c r="N215" i="10"/>
  <c r="M215" i="10"/>
  <c r="R211" i="10"/>
  <c r="N211" i="10"/>
  <c r="M211" i="10"/>
  <c r="R210" i="10"/>
  <c r="N210" i="10"/>
  <c r="M210" i="10"/>
  <c r="R209" i="10"/>
  <c r="N209" i="10"/>
  <c r="M209" i="10"/>
  <c r="R208" i="10"/>
  <c r="N208" i="10"/>
  <c r="M208" i="10"/>
  <c r="R207" i="10"/>
  <c r="N207" i="10"/>
  <c r="M207" i="10"/>
  <c r="R206" i="10"/>
  <c r="N206" i="10"/>
  <c r="M206" i="10"/>
  <c r="R205" i="10"/>
  <c r="N205" i="10"/>
  <c r="M205" i="10"/>
  <c r="R204" i="10"/>
  <c r="N204" i="10"/>
  <c r="M204" i="10"/>
  <c r="R203" i="10"/>
  <c r="N203" i="10"/>
  <c r="M203" i="10"/>
  <c r="R202" i="10"/>
  <c r="N202" i="10"/>
  <c r="M202" i="10"/>
  <c r="R201" i="10"/>
  <c r="N201" i="10"/>
  <c r="M201" i="10"/>
  <c r="R200" i="10"/>
  <c r="N200" i="10"/>
  <c r="M200" i="10"/>
  <c r="R199" i="10"/>
  <c r="N199" i="10"/>
  <c r="M199" i="10"/>
  <c r="R198" i="10"/>
  <c r="N198" i="10"/>
  <c r="M198" i="10"/>
  <c r="R197" i="10"/>
  <c r="N197" i="10"/>
  <c r="M197" i="10"/>
  <c r="R196" i="10"/>
  <c r="N196" i="10"/>
  <c r="M196" i="10"/>
  <c r="R195" i="10"/>
  <c r="N195" i="10"/>
  <c r="M195" i="10"/>
  <c r="R194" i="10"/>
  <c r="N194" i="10"/>
  <c r="M194" i="10"/>
  <c r="R193" i="10"/>
  <c r="N193" i="10"/>
  <c r="M193" i="10"/>
  <c r="R192" i="10"/>
  <c r="N192" i="10"/>
  <c r="M192" i="10"/>
  <c r="R191" i="10"/>
  <c r="N191" i="10"/>
  <c r="M191" i="10"/>
  <c r="R190" i="10"/>
  <c r="N190" i="10"/>
  <c r="M190" i="10"/>
  <c r="R189" i="10"/>
  <c r="N189" i="10"/>
  <c r="M189" i="10"/>
  <c r="R188" i="10"/>
  <c r="N188" i="10"/>
  <c r="M188" i="10"/>
  <c r="R187" i="10"/>
  <c r="N187" i="10"/>
  <c r="M187" i="10"/>
  <c r="R186" i="10"/>
  <c r="N186" i="10"/>
  <c r="M186" i="10"/>
  <c r="R185" i="10"/>
  <c r="N185" i="10"/>
  <c r="M185" i="10"/>
  <c r="R184" i="10"/>
  <c r="N184" i="10"/>
  <c r="M184" i="10"/>
  <c r="R183" i="10"/>
  <c r="N183" i="10"/>
  <c r="M183" i="10"/>
  <c r="R135" i="10"/>
  <c r="N135" i="10"/>
  <c r="R133" i="10"/>
  <c r="N133" i="10"/>
  <c r="M133" i="10"/>
  <c r="R132" i="10"/>
  <c r="N132" i="10"/>
  <c r="M132" i="10"/>
  <c r="R131" i="10"/>
  <c r="N131" i="10"/>
  <c r="M131" i="10"/>
  <c r="R130" i="10"/>
  <c r="N130" i="10"/>
  <c r="M130" i="10"/>
  <c r="R129" i="10"/>
  <c r="N129" i="10"/>
  <c r="M129" i="10"/>
  <c r="R128" i="10"/>
  <c r="N128" i="10"/>
  <c r="M128" i="10"/>
  <c r="R127" i="10"/>
  <c r="N127" i="10"/>
  <c r="M127" i="10"/>
  <c r="R126" i="10"/>
  <c r="N126" i="10"/>
  <c r="M126" i="10"/>
  <c r="R125" i="10"/>
  <c r="N125" i="10"/>
  <c r="M125" i="10"/>
  <c r="R124" i="10"/>
  <c r="N124" i="10"/>
  <c r="M124" i="10"/>
  <c r="R123" i="10"/>
  <c r="N123" i="10"/>
  <c r="M123" i="10"/>
  <c r="R122" i="10"/>
  <c r="N122" i="10"/>
  <c r="M122" i="10"/>
  <c r="R121" i="10"/>
  <c r="N121" i="10"/>
  <c r="M121" i="10"/>
  <c r="R120" i="10"/>
  <c r="N120" i="10"/>
  <c r="M120" i="10"/>
  <c r="R119" i="10"/>
  <c r="M119" i="10"/>
  <c r="R118" i="10"/>
  <c r="M118" i="10"/>
  <c r="R117" i="10"/>
  <c r="M117" i="10"/>
  <c r="R116" i="10"/>
  <c r="M116" i="10"/>
  <c r="R115" i="10"/>
  <c r="M115" i="10"/>
  <c r="R114" i="10"/>
  <c r="M114" i="10"/>
  <c r="R112" i="10"/>
  <c r="M112" i="10"/>
  <c r="R111" i="10"/>
  <c r="M111" i="10"/>
  <c r="R110" i="10"/>
  <c r="M110" i="10"/>
  <c r="R109" i="10"/>
  <c r="M109" i="10"/>
  <c r="R108" i="10"/>
  <c r="M108" i="10"/>
  <c r="R107" i="10"/>
  <c r="R104" i="10"/>
  <c r="M104" i="10"/>
  <c r="R103" i="10"/>
  <c r="M103" i="10"/>
  <c r="R102" i="10"/>
  <c r="M102" i="10"/>
  <c r="R101" i="10"/>
  <c r="M101" i="10"/>
  <c r="R100" i="10"/>
  <c r="M100" i="10"/>
  <c r="R99" i="10"/>
  <c r="M99" i="10"/>
  <c r="R98" i="10"/>
  <c r="M98" i="10"/>
  <c r="R95" i="10"/>
  <c r="N95" i="10"/>
  <c r="M95" i="10"/>
  <c r="R94" i="10"/>
  <c r="N94" i="10"/>
  <c r="M94" i="10"/>
  <c r="R93" i="10"/>
  <c r="N93" i="10"/>
  <c r="M93" i="10"/>
  <c r="R92" i="10"/>
  <c r="N92" i="10"/>
  <c r="M92" i="10"/>
  <c r="R91" i="10"/>
  <c r="N91" i="10"/>
  <c r="M91" i="10"/>
  <c r="R90" i="10"/>
  <c r="N90" i="10"/>
  <c r="M90" i="10"/>
  <c r="R89" i="10"/>
  <c r="N89" i="10"/>
  <c r="M89" i="10"/>
  <c r="R88" i="10"/>
  <c r="N88" i="10"/>
  <c r="R86" i="10"/>
  <c r="N86" i="10"/>
  <c r="R85" i="10"/>
  <c r="N85" i="10"/>
  <c r="R84" i="10"/>
  <c r="N84" i="10"/>
  <c r="R83" i="10"/>
  <c r="N83" i="10"/>
  <c r="R80" i="10"/>
  <c r="N80" i="10"/>
  <c r="R79" i="10"/>
  <c r="N79" i="10"/>
  <c r="R78" i="10"/>
  <c r="N78" i="10"/>
  <c r="R77" i="10"/>
  <c r="N77" i="10"/>
  <c r="R76" i="10"/>
  <c r="N76" i="10"/>
  <c r="R75" i="10"/>
  <c r="N75" i="10"/>
  <c r="R74" i="10"/>
  <c r="N74" i="10"/>
  <c r="R73" i="10"/>
  <c r="N73" i="10"/>
  <c r="R71" i="10"/>
  <c r="N71" i="10"/>
  <c r="R70" i="10"/>
  <c r="N70" i="10"/>
  <c r="R69" i="10"/>
  <c r="N69" i="10"/>
  <c r="R68" i="10"/>
  <c r="N68" i="10"/>
  <c r="R67" i="10"/>
  <c r="N67" i="10"/>
  <c r="R66" i="10"/>
  <c r="N66" i="10"/>
  <c r="R65" i="10"/>
  <c r="N65" i="10"/>
  <c r="R64" i="10"/>
  <c r="N64" i="10"/>
  <c r="M62" i="10"/>
  <c r="R61" i="10"/>
  <c r="N61" i="10"/>
  <c r="M61" i="10"/>
  <c r="R60" i="10"/>
  <c r="N60" i="10"/>
  <c r="M60" i="10"/>
  <c r="R59" i="10"/>
  <c r="N59" i="10"/>
  <c r="M59" i="10"/>
  <c r="R58" i="10"/>
  <c r="N58" i="10"/>
  <c r="M58" i="10"/>
  <c r="R57" i="10"/>
  <c r="N57" i="10"/>
  <c r="M57" i="10"/>
  <c r="R56" i="10"/>
  <c r="N56" i="10"/>
  <c r="M56" i="10"/>
  <c r="R55" i="10"/>
  <c r="N55" i="10"/>
  <c r="M55" i="10"/>
  <c r="R54" i="10"/>
  <c r="N54" i="10"/>
  <c r="M54" i="10"/>
  <c r="R53" i="10"/>
  <c r="N53" i="10"/>
  <c r="M53" i="10"/>
  <c r="R52" i="10"/>
  <c r="N52" i="10"/>
  <c r="M52" i="10"/>
  <c r="R51" i="10"/>
  <c r="R50" i="10"/>
  <c r="M50" i="10"/>
  <c r="R49" i="10"/>
  <c r="N49" i="10"/>
  <c r="M49" i="10"/>
  <c r="R48" i="10"/>
  <c r="N48" i="10"/>
  <c r="M48" i="10"/>
  <c r="R47" i="10"/>
  <c r="N47" i="10"/>
  <c r="M47" i="10"/>
  <c r="R46" i="10"/>
  <c r="N46" i="10"/>
  <c r="M46" i="10"/>
  <c r="R45" i="10"/>
  <c r="N45" i="10"/>
  <c r="M45" i="10"/>
  <c r="R44" i="10"/>
  <c r="N44" i="10"/>
  <c r="M44" i="10"/>
  <c r="R43" i="10"/>
  <c r="N43" i="10"/>
  <c r="M43" i="10"/>
  <c r="R42" i="10"/>
  <c r="N42" i="10"/>
  <c r="R41" i="10"/>
  <c r="N41" i="10"/>
  <c r="R40" i="10"/>
  <c r="R39" i="10"/>
  <c r="N39" i="10"/>
  <c r="R38" i="10"/>
  <c r="R37" i="10"/>
  <c r="N37" i="10"/>
  <c r="R36" i="10"/>
  <c r="N36" i="10"/>
  <c r="R35" i="10"/>
  <c r="N35" i="10"/>
  <c r="R34" i="10"/>
  <c r="N34" i="10"/>
  <c r="R33" i="10"/>
  <c r="N33" i="10"/>
  <c r="R26" i="10"/>
  <c r="N26" i="10"/>
  <c r="R25" i="10"/>
  <c r="N25" i="10"/>
  <c r="R24" i="10"/>
  <c r="N24" i="10"/>
  <c r="R23" i="10"/>
  <c r="N23" i="10"/>
  <c r="M23" i="10"/>
  <c r="R22" i="10"/>
  <c r="N22" i="10"/>
  <c r="M22" i="10"/>
  <c r="R21" i="10"/>
  <c r="N21" i="10"/>
  <c r="M21" i="10"/>
  <c r="R20" i="10"/>
  <c r="N20" i="10"/>
  <c r="M20" i="10"/>
  <c r="R19" i="10"/>
  <c r="N19" i="10"/>
  <c r="M19" i="10"/>
  <c r="R18" i="10"/>
  <c r="N18" i="10"/>
  <c r="M18" i="10"/>
  <c r="R17" i="10"/>
  <c r="N17" i="10"/>
  <c r="M17" i="10"/>
  <c r="R16" i="10"/>
  <c r="N16" i="10"/>
  <c r="M16" i="10"/>
  <c r="R15" i="10"/>
  <c r="N15" i="10"/>
  <c r="M15" i="10"/>
  <c r="R14" i="10"/>
  <c r="N14" i="10"/>
  <c r="M14" i="10"/>
  <c r="I3" i="36"/>
  <c r="E6" i="36"/>
  <c r="E5" i="36"/>
  <c r="E4" i="36"/>
  <c r="C5" i="36"/>
  <c r="C6" i="36"/>
  <c r="C7" i="36"/>
  <c r="C8" i="36"/>
  <c r="C4" i="36"/>
  <c r="N46" i="36"/>
  <c r="M46" i="36"/>
  <c r="M37" i="36"/>
  <c r="F3" i="12"/>
  <c r="C6" i="12"/>
  <c r="C5" i="12"/>
  <c r="C4" i="12"/>
  <c r="B5" i="12"/>
  <c r="B6" i="12"/>
  <c r="B7" i="12"/>
  <c r="B8" i="12"/>
  <c r="B4" i="12"/>
  <c r="C6" i="11"/>
  <c r="C5" i="11"/>
  <c r="C4" i="11"/>
  <c r="B5" i="11"/>
  <c r="B6" i="11"/>
  <c r="B7" i="11"/>
  <c r="B8" i="11"/>
  <c r="B4" i="11"/>
  <c r="F3" i="11"/>
  <c r="C6" i="8"/>
  <c r="C5" i="8"/>
  <c r="C4" i="8"/>
  <c r="B5" i="8"/>
  <c r="B6" i="8"/>
  <c r="B7" i="8"/>
  <c r="B8" i="8"/>
  <c r="B4" i="8"/>
  <c r="I3" i="8"/>
  <c r="C6" i="5"/>
  <c r="C5" i="5"/>
  <c r="C4" i="5"/>
  <c r="B5" i="5"/>
  <c r="B6" i="5"/>
  <c r="B7" i="5"/>
  <c r="B8" i="5"/>
  <c r="B4" i="5"/>
  <c r="F3" i="5"/>
  <c r="D6" i="6"/>
  <c r="D5" i="6"/>
  <c r="D4" i="6"/>
  <c r="B5" i="6"/>
  <c r="B6" i="6"/>
  <c r="B7" i="6"/>
  <c r="B8" i="6"/>
  <c r="B4" i="6"/>
  <c r="I3" i="6"/>
  <c r="B5" i="1"/>
  <c r="B6" i="1"/>
  <c r="B7" i="1"/>
  <c r="B8" i="1"/>
  <c r="B4" i="1"/>
  <c r="C5" i="1"/>
  <c r="C4" i="1"/>
  <c r="M63" i="5"/>
  <c r="N63" i="5" s="1"/>
  <c r="K63" i="5"/>
  <c r="J63" i="5"/>
  <c r="I63" i="5"/>
  <c r="M62" i="5"/>
  <c r="N62" i="5" s="1"/>
  <c r="K62" i="5"/>
  <c r="J62" i="5"/>
  <c r="I62" i="5"/>
  <c r="M61" i="5"/>
  <c r="N61" i="5" s="1"/>
  <c r="K61" i="5"/>
  <c r="J61" i="5"/>
  <c r="I61" i="5"/>
  <c r="M60" i="5"/>
  <c r="N60" i="5" s="1"/>
  <c r="K60" i="5"/>
  <c r="J60" i="5"/>
  <c r="I60" i="5"/>
  <c r="M59" i="5"/>
  <c r="N59" i="5" s="1"/>
  <c r="K59" i="5"/>
  <c r="J59" i="5"/>
  <c r="I59" i="5"/>
  <c r="M58" i="5"/>
  <c r="N58" i="5" s="1"/>
  <c r="K58" i="5"/>
  <c r="J58" i="5"/>
  <c r="I58" i="5"/>
  <c r="M57" i="5"/>
  <c r="N57" i="5" s="1"/>
  <c r="K57" i="5"/>
  <c r="J57" i="5"/>
  <c r="I57" i="5"/>
  <c r="M56" i="5"/>
  <c r="N56" i="5" s="1"/>
  <c r="K56" i="5"/>
  <c r="J56" i="5"/>
  <c r="I56" i="5"/>
  <c r="M55" i="5"/>
  <c r="N55" i="5" s="1"/>
  <c r="K55" i="5"/>
  <c r="J55" i="5"/>
  <c r="I55" i="5"/>
  <c r="M54" i="5"/>
  <c r="N54" i="5" s="1"/>
  <c r="K54" i="5"/>
  <c r="J54" i="5"/>
  <c r="I54" i="5"/>
  <c r="J53" i="5"/>
  <c r="I53" i="5"/>
  <c r="M52" i="5"/>
  <c r="N52" i="5" s="1"/>
  <c r="K52" i="5"/>
  <c r="J52" i="5"/>
  <c r="I52" i="5"/>
  <c r="M51" i="5"/>
  <c r="N51" i="5" s="1"/>
  <c r="K51" i="5"/>
  <c r="J51" i="5"/>
  <c r="I51" i="5"/>
  <c r="M50" i="5"/>
  <c r="N50" i="5" s="1"/>
  <c r="K50" i="5"/>
  <c r="J50" i="5"/>
  <c r="I50" i="5"/>
  <c r="M49" i="5"/>
  <c r="N49" i="5" s="1"/>
  <c r="K49" i="5"/>
  <c r="J49" i="5"/>
  <c r="I49" i="5"/>
  <c r="M48" i="5"/>
  <c r="N48" i="5" s="1"/>
  <c r="K48" i="5"/>
  <c r="J48" i="5"/>
  <c r="I48" i="5"/>
  <c r="M46" i="5"/>
  <c r="N46" i="5" s="1"/>
  <c r="K46" i="5"/>
  <c r="J46" i="5"/>
  <c r="I46" i="5"/>
  <c r="M45" i="5"/>
  <c r="N45" i="5" s="1"/>
  <c r="K45" i="5"/>
  <c r="J45" i="5"/>
  <c r="I45" i="5"/>
  <c r="M44" i="5"/>
  <c r="N44" i="5" s="1"/>
  <c r="K44" i="5"/>
  <c r="J44" i="5"/>
  <c r="I44" i="5"/>
  <c r="M43" i="5"/>
  <c r="N43" i="5" s="1"/>
  <c r="K43" i="5"/>
  <c r="J43" i="5"/>
  <c r="I43" i="5"/>
  <c r="M42" i="5"/>
  <c r="N42" i="5" s="1"/>
  <c r="K42" i="5"/>
  <c r="J42" i="5"/>
  <c r="I42" i="5"/>
  <c r="M41" i="5"/>
  <c r="N41" i="5" s="1"/>
  <c r="K41" i="5"/>
  <c r="J41" i="5"/>
  <c r="I41" i="5"/>
  <c r="M40" i="5"/>
  <c r="N40" i="5" s="1"/>
  <c r="K40" i="5"/>
  <c r="J40" i="5"/>
  <c r="I40" i="5"/>
  <c r="M39" i="5"/>
  <c r="N39" i="5" s="1"/>
  <c r="K39" i="5"/>
  <c r="J39" i="5"/>
  <c r="I39" i="5"/>
  <c r="M38" i="5"/>
  <c r="N38" i="5" s="1"/>
  <c r="K38" i="5"/>
  <c r="J38" i="5"/>
  <c r="M37" i="5"/>
  <c r="N37" i="5" s="1"/>
  <c r="K37" i="5"/>
  <c r="J37" i="5"/>
  <c r="I37" i="5"/>
  <c r="M36" i="5"/>
  <c r="N36" i="5" s="1"/>
  <c r="K36" i="5"/>
  <c r="J36" i="5"/>
  <c r="I36" i="5"/>
  <c r="M35" i="5"/>
  <c r="N35" i="5" s="1"/>
  <c r="K35" i="5"/>
  <c r="J35" i="5"/>
  <c r="I35" i="5"/>
  <c r="M34" i="5"/>
  <c r="N34" i="5" s="1"/>
  <c r="K34" i="5"/>
  <c r="J34" i="5"/>
  <c r="I34" i="5"/>
  <c r="M33" i="5"/>
  <c r="N33" i="5" s="1"/>
  <c r="K33" i="5"/>
  <c r="J33" i="5"/>
  <c r="I33" i="5"/>
  <c r="M32" i="5"/>
  <c r="N32" i="5" s="1"/>
  <c r="K32" i="5"/>
  <c r="J32" i="5"/>
  <c r="I32" i="5"/>
  <c r="M31" i="5"/>
  <c r="N31" i="5" s="1"/>
  <c r="K31" i="5"/>
  <c r="J31" i="5"/>
  <c r="I31" i="5"/>
  <c r="M30" i="5"/>
  <c r="N30" i="5" s="1"/>
  <c r="K30" i="5"/>
  <c r="J30" i="5"/>
  <c r="I30" i="5"/>
  <c r="M29" i="5"/>
  <c r="N29" i="5" s="1"/>
  <c r="K29" i="5"/>
  <c r="J29" i="5"/>
  <c r="I29" i="5"/>
  <c r="M28" i="5"/>
  <c r="N28" i="5" s="1"/>
  <c r="K28" i="5"/>
  <c r="J28" i="5"/>
  <c r="I28" i="5"/>
  <c r="M27" i="5"/>
  <c r="N27" i="5" s="1"/>
  <c r="K27" i="5"/>
  <c r="J27" i="5"/>
  <c r="I27" i="5"/>
  <c r="M26" i="5"/>
  <c r="N26" i="5" s="1"/>
  <c r="K26" i="5"/>
  <c r="J26" i="5"/>
  <c r="I26" i="5"/>
  <c r="M25" i="5"/>
  <c r="N25" i="5" s="1"/>
  <c r="K25" i="5"/>
  <c r="J25" i="5"/>
  <c r="I25" i="5"/>
  <c r="M24" i="5"/>
  <c r="N24" i="5" s="1"/>
  <c r="K24" i="5"/>
  <c r="J24" i="5"/>
  <c r="I24" i="5"/>
  <c r="M23" i="5"/>
  <c r="N23" i="5" s="1"/>
  <c r="K23" i="5"/>
  <c r="J23" i="5"/>
  <c r="I23" i="5"/>
  <c r="M22" i="5"/>
  <c r="N22" i="5" s="1"/>
  <c r="K22" i="5"/>
  <c r="J22" i="5"/>
  <c r="I22" i="5"/>
  <c r="M21" i="5"/>
  <c r="N21" i="5" s="1"/>
  <c r="K21" i="5"/>
  <c r="J21" i="5"/>
  <c r="I21" i="5"/>
  <c r="M20" i="5"/>
  <c r="N20" i="5" s="1"/>
  <c r="K20" i="5"/>
  <c r="J20" i="5"/>
  <c r="I20" i="5"/>
  <c r="M19" i="5"/>
  <c r="N19" i="5" s="1"/>
  <c r="K19" i="5"/>
  <c r="J19" i="5"/>
  <c r="I19" i="5"/>
  <c r="M18" i="5"/>
  <c r="N18" i="5" s="1"/>
  <c r="K18" i="5"/>
  <c r="J18" i="5"/>
  <c r="I18" i="5"/>
  <c r="M17" i="5"/>
  <c r="N17" i="5" s="1"/>
  <c r="K17" i="5"/>
  <c r="J17" i="5"/>
  <c r="I17" i="5"/>
  <c r="M16" i="5"/>
  <c r="N16" i="5" s="1"/>
  <c r="K16" i="5"/>
  <c r="J16" i="5"/>
  <c r="I16" i="5"/>
  <c r="M15" i="5"/>
  <c r="N15" i="5" s="1"/>
  <c r="K15" i="5"/>
  <c r="J15" i="5"/>
  <c r="I15" i="5"/>
  <c r="M14" i="5"/>
  <c r="N14" i="5" s="1"/>
  <c r="K14" i="5"/>
  <c r="J14" i="5"/>
  <c r="I14" i="5"/>
  <c r="M12" i="5"/>
  <c r="N12" i="5" s="1"/>
  <c r="K12" i="5"/>
  <c r="J12" i="5"/>
  <c r="I12" i="5"/>
  <c r="I60" i="11"/>
  <c r="I59" i="11"/>
  <c r="I58" i="11"/>
  <c r="I57" i="11"/>
  <c r="I11" i="11"/>
  <c r="N466" i="8"/>
  <c r="M466" i="8"/>
  <c r="N476" i="8"/>
  <c r="M476" i="8"/>
  <c r="N475" i="8"/>
  <c r="M475" i="8"/>
  <c r="N474" i="8"/>
  <c r="M474" i="8"/>
  <c r="N473" i="8"/>
  <c r="M473" i="8"/>
  <c r="N470" i="8"/>
  <c r="M470" i="8"/>
  <c r="N480" i="8"/>
  <c r="M480" i="8"/>
  <c r="N478" i="8"/>
  <c r="M478" i="8"/>
  <c r="N477" i="8"/>
  <c r="M477" i="8"/>
  <c r="N469" i="8"/>
  <c r="M469" i="8"/>
  <c r="N468" i="8"/>
  <c r="M468" i="8"/>
  <c r="N467" i="8"/>
  <c r="M467" i="8"/>
  <c r="N464" i="8"/>
  <c r="M464" i="8"/>
  <c r="N463" i="8"/>
  <c r="M463" i="8"/>
  <c r="N462" i="8"/>
  <c r="M462" i="8"/>
  <c r="N460" i="8"/>
  <c r="M460" i="8"/>
  <c r="L460" i="8"/>
  <c r="N457" i="8"/>
  <c r="L457" i="8"/>
  <c r="N458" i="8"/>
  <c r="M458" i="8"/>
  <c r="L458" i="8"/>
  <c r="N456" i="8"/>
  <c r="L456" i="8"/>
  <c r="N454" i="8"/>
  <c r="M454" i="8"/>
  <c r="L454" i="8"/>
  <c r="N453" i="8"/>
  <c r="M453" i="8"/>
  <c r="L453" i="8"/>
  <c r="N452" i="8"/>
  <c r="M452" i="8"/>
  <c r="L452" i="8"/>
  <c r="N449" i="8"/>
  <c r="M449" i="8"/>
  <c r="N450" i="8"/>
  <c r="M450" i="8"/>
  <c r="L450" i="8"/>
  <c r="N448" i="8"/>
  <c r="M448" i="8"/>
  <c r="N441" i="8"/>
  <c r="M441" i="8"/>
  <c r="L441" i="8"/>
  <c r="N440" i="8"/>
  <c r="M440" i="8"/>
  <c r="L440" i="8"/>
  <c r="N439" i="8"/>
  <c r="M439" i="8"/>
  <c r="L439" i="8"/>
  <c r="N438" i="8"/>
  <c r="L438" i="8"/>
  <c r="N429" i="8"/>
  <c r="M429" i="8"/>
  <c r="N428" i="8"/>
  <c r="M428" i="8"/>
  <c r="N427" i="8"/>
  <c r="M427" i="8"/>
  <c r="N426" i="8"/>
  <c r="M426" i="8"/>
  <c r="N425" i="8"/>
  <c r="M425" i="8"/>
  <c r="N423" i="8"/>
  <c r="M423" i="8"/>
  <c r="N422" i="8"/>
  <c r="M422" i="8"/>
  <c r="L422" i="8"/>
  <c r="N421" i="8"/>
  <c r="M421" i="8"/>
  <c r="L421" i="8"/>
  <c r="N420" i="8"/>
  <c r="M420" i="8"/>
  <c r="L420" i="8"/>
  <c r="N419" i="8"/>
  <c r="M419" i="8"/>
  <c r="L419" i="8"/>
  <c r="N418" i="8"/>
  <c r="M418" i="8"/>
  <c r="L418" i="8"/>
  <c r="N417" i="8"/>
  <c r="M417" i="8"/>
  <c r="L417" i="8"/>
  <c r="N416" i="8"/>
  <c r="M416" i="8"/>
  <c r="L416" i="8"/>
  <c r="N411" i="8"/>
  <c r="M411" i="8"/>
  <c r="N410" i="8"/>
  <c r="M410" i="8"/>
  <c r="N385" i="8"/>
  <c r="M385" i="8"/>
  <c r="L385" i="8"/>
  <c r="N384" i="8"/>
  <c r="M384" i="8"/>
  <c r="L384" i="8"/>
  <c r="N383" i="8"/>
  <c r="M383" i="8"/>
  <c r="L383" i="8"/>
  <c r="N382" i="8"/>
  <c r="M382" i="8"/>
  <c r="L382" i="8"/>
  <c r="L381" i="8"/>
  <c r="N378" i="8"/>
  <c r="M378" i="8"/>
  <c r="L378" i="8"/>
  <c r="N377" i="8"/>
  <c r="M377" i="8"/>
  <c r="L377" i="8"/>
  <c r="N376" i="8"/>
  <c r="M376" i="8"/>
  <c r="L376" i="8"/>
  <c r="N379" i="8"/>
  <c r="M379" i="8"/>
  <c r="L379" i="8"/>
  <c r="N374" i="8"/>
  <c r="M374" i="8"/>
  <c r="L374" i="8"/>
  <c r="N371" i="8"/>
  <c r="M371" i="8"/>
  <c r="N370" i="8"/>
  <c r="M370" i="8"/>
  <c r="L368" i="8"/>
  <c r="N367" i="8"/>
  <c r="M367" i="8"/>
  <c r="L367" i="8"/>
  <c r="N366" i="8"/>
  <c r="M366" i="8"/>
  <c r="L366" i="8"/>
  <c r="N365" i="8"/>
  <c r="M365" i="8"/>
  <c r="L365" i="8"/>
  <c r="N364" i="8"/>
  <c r="M364" i="8"/>
  <c r="L364" i="8"/>
  <c r="N362" i="8"/>
  <c r="M362" i="8"/>
  <c r="N361" i="8"/>
  <c r="M361" i="8"/>
  <c r="N360" i="8"/>
  <c r="M360" i="8"/>
  <c r="N359" i="8"/>
  <c r="M359" i="8"/>
  <c r="N358" i="8"/>
  <c r="M358" i="8"/>
  <c r="N357" i="8"/>
  <c r="M357" i="8"/>
  <c r="N356" i="8"/>
  <c r="M356" i="8"/>
  <c r="N354" i="8"/>
  <c r="M354" i="8"/>
  <c r="N353" i="8"/>
  <c r="M353" i="8"/>
  <c r="N352" i="8"/>
  <c r="M352" i="8"/>
  <c r="N350" i="8"/>
  <c r="M350" i="8"/>
  <c r="N348" i="8"/>
  <c r="M348" i="8"/>
  <c r="N347" i="8"/>
  <c r="M347" i="8"/>
  <c r="N346" i="8"/>
  <c r="M346" i="8"/>
  <c r="N344" i="8"/>
  <c r="M344" i="8"/>
  <c r="N343" i="8"/>
  <c r="M343" i="8"/>
  <c r="N342" i="8"/>
  <c r="M342" i="8"/>
  <c r="N341" i="8"/>
  <c r="M341" i="8"/>
  <c r="N340" i="8"/>
  <c r="M340" i="8"/>
  <c r="N339" i="8"/>
  <c r="M339" i="8"/>
  <c r="N338" i="8"/>
  <c r="N337" i="8"/>
  <c r="N314" i="8"/>
  <c r="M314" i="8"/>
  <c r="N299" i="8"/>
  <c r="M299" i="8"/>
  <c r="L299" i="8"/>
  <c r="N298" i="8"/>
  <c r="M298" i="8"/>
  <c r="L298" i="8"/>
  <c r="N297" i="8"/>
  <c r="M297" i="8"/>
  <c r="L297" i="8"/>
  <c r="N296" i="8"/>
  <c r="M296" i="8"/>
  <c r="L296" i="8"/>
  <c r="N295" i="8"/>
  <c r="M295" i="8"/>
  <c r="L295" i="8"/>
  <c r="N294" i="8"/>
  <c r="M294" i="8"/>
  <c r="L294" i="8"/>
  <c r="L292" i="8"/>
  <c r="L291" i="8"/>
  <c r="L287" i="8"/>
  <c r="L286" i="8"/>
  <c r="L285" i="8"/>
  <c r="N283" i="8"/>
  <c r="M283" i="8"/>
  <c r="L283" i="8"/>
  <c r="L289" i="8"/>
  <c r="L284" i="8"/>
  <c r="N281" i="8"/>
  <c r="M281" i="8"/>
  <c r="L281" i="8"/>
  <c r="N280" i="8"/>
  <c r="L280" i="8"/>
  <c r="N279" i="8"/>
  <c r="N278" i="8"/>
  <c r="M278" i="8"/>
  <c r="N276" i="8"/>
  <c r="M276" i="8"/>
  <c r="N275" i="8"/>
  <c r="M275" i="8"/>
  <c r="N274" i="8"/>
  <c r="M274" i="8"/>
  <c r="N272" i="8"/>
  <c r="M272" i="8"/>
  <c r="N271" i="8"/>
  <c r="M271" i="8"/>
  <c r="N265" i="8"/>
  <c r="M265" i="8"/>
  <c r="N259" i="8"/>
  <c r="M259" i="8"/>
  <c r="N257" i="8"/>
  <c r="M257" i="8"/>
  <c r="N255" i="8"/>
  <c r="M255" i="8"/>
  <c r="N253" i="8"/>
  <c r="M253" i="8"/>
  <c r="N250" i="8"/>
  <c r="M250" i="8"/>
  <c r="N249" i="8"/>
  <c r="M249" i="8"/>
  <c r="N245" i="8"/>
  <c r="M245" i="8"/>
  <c r="N243" i="8"/>
  <c r="M243" i="8"/>
  <c r="N240" i="8"/>
  <c r="M240" i="8"/>
  <c r="N236" i="8"/>
  <c r="M236" i="8"/>
  <c r="N234" i="8"/>
  <c r="M234" i="8"/>
  <c r="N231" i="8"/>
  <c r="M231" i="8"/>
  <c r="N230" i="8"/>
  <c r="M230" i="8"/>
  <c r="N227" i="8"/>
  <c r="M227" i="8"/>
  <c r="N226" i="8"/>
  <c r="M226" i="8"/>
  <c r="N225" i="8"/>
  <c r="M225" i="8"/>
  <c r="N220" i="8"/>
  <c r="M220" i="8"/>
  <c r="N219" i="8"/>
  <c r="M219" i="8"/>
  <c r="N218" i="8"/>
  <c r="M218" i="8"/>
  <c r="N217" i="8"/>
  <c r="M217" i="8"/>
  <c r="N215" i="8"/>
  <c r="N211" i="8"/>
  <c r="M211" i="8"/>
  <c r="L211" i="8"/>
  <c r="N208" i="8"/>
  <c r="M208" i="8"/>
  <c r="L208" i="8"/>
  <c r="N207" i="8"/>
  <c r="M207" i="8"/>
  <c r="L207" i="8"/>
  <c r="N203" i="8"/>
  <c r="M203" i="8"/>
  <c r="L203" i="8"/>
  <c r="N202" i="8"/>
  <c r="M202" i="8"/>
  <c r="L202" i="8"/>
  <c r="N201" i="8"/>
  <c r="M201" i="8"/>
  <c r="L201" i="8"/>
  <c r="N205" i="8"/>
  <c r="M205" i="8"/>
  <c r="L205" i="8"/>
  <c r="N199" i="8"/>
  <c r="M199" i="8"/>
  <c r="L199" i="8"/>
  <c r="N198" i="8"/>
  <c r="M198" i="8"/>
  <c r="L198" i="8"/>
  <c r="N193" i="8"/>
  <c r="M193" i="8"/>
  <c r="L193" i="8"/>
  <c r="N197" i="8"/>
  <c r="M197" i="8"/>
  <c r="L197" i="8"/>
  <c r="N195" i="8"/>
  <c r="M195" i="8"/>
  <c r="L195" i="8"/>
  <c r="N194" i="8"/>
  <c r="M194" i="8"/>
  <c r="L194" i="8"/>
  <c r="N192" i="8"/>
  <c r="M192" i="8"/>
  <c r="L192" i="8"/>
  <c r="N191" i="8"/>
  <c r="M191" i="8"/>
  <c r="L191" i="8"/>
  <c r="N186" i="8"/>
  <c r="M186" i="8"/>
  <c r="L186" i="8"/>
  <c r="N179" i="8"/>
  <c r="M179" i="8"/>
  <c r="L179" i="8"/>
  <c r="N182" i="8"/>
  <c r="M182" i="8"/>
  <c r="L182" i="8"/>
  <c r="N181" i="8"/>
  <c r="M181" i="8"/>
  <c r="L181" i="8"/>
  <c r="N180" i="8"/>
  <c r="M180" i="8"/>
  <c r="L180" i="8"/>
  <c r="N174" i="8"/>
  <c r="M174" i="8"/>
  <c r="N173" i="8"/>
  <c r="M173" i="8"/>
  <c r="N171" i="8"/>
  <c r="M171" i="8"/>
  <c r="N169" i="8"/>
  <c r="M169" i="8"/>
  <c r="N168" i="8"/>
  <c r="M168" i="8"/>
  <c r="N165" i="8"/>
  <c r="M165" i="8"/>
  <c r="N164" i="8"/>
  <c r="M164" i="8"/>
  <c r="L164" i="8"/>
  <c r="N163" i="8"/>
  <c r="M163" i="8"/>
  <c r="L163" i="8"/>
  <c r="N161" i="8"/>
  <c r="M161" i="8"/>
  <c r="L161" i="8"/>
  <c r="L155" i="8"/>
  <c r="L157" i="8"/>
  <c r="N156" i="8"/>
  <c r="M156" i="8"/>
  <c r="L156" i="8"/>
  <c r="N154" i="8"/>
  <c r="M154" i="8"/>
  <c r="L154" i="8"/>
  <c r="N152" i="8"/>
  <c r="M152" i="8"/>
  <c r="N151" i="8"/>
  <c r="M151" i="8"/>
  <c r="N145" i="8"/>
  <c r="M145" i="8"/>
  <c r="N144" i="8"/>
  <c r="M144" i="8"/>
  <c r="N136" i="8"/>
  <c r="M136" i="8"/>
  <c r="N133" i="8"/>
  <c r="M133" i="8"/>
  <c r="N130" i="8"/>
  <c r="M130" i="8"/>
  <c r="L130" i="8"/>
  <c r="N121" i="8"/>
  <c r="M121" i="8"/>
  <c r="N119" i="8"/>
  <c r="M119" i="8"/>
  <c r="N111" i="8"/>
  <c r="M111" i="8"/>
  <c r="N106" i="8"/>
  <c r="M106" i="8"/>
  <c r="N105" i="8"/>
  <c r="M105" i="8"/>
  <c r="N100" i="8"/>
  <c r="M100" i="8"/>
  <c r="L100" i="8"/>
  <c r="N99" i="8"/>
  <c r="M99" i="8"/>
  <c r="L99" i="8"/>
  <c r="N98" i="8"/>
  <c r="M98" i="8"/>
  <c r="L98" i="8"/>
  <c r="N95" i="8"/>
  <c r="M95" i="8"/>
  <c r="N93" i="8"/>
  <c r="M93" i="8"/>
  <c r="N92" i="8"/>
  <c r="M92" i="8"/>
  <c r="N91" i="8"/>
  <c r="M91" i="8"/>
  <c r="N88" i="8"/>
  <c r="M88" i="8"/>
  <c r="L88" i="8"/>
  <c r="N87" i="8"/>
  <c r="M87" i="8"/>
  <c r="L87" i="8"/>
  <c r="N86" i="8"/>
  <c r="M86" i="8"/>
  <c r="L86" i="8"/>
  <c r="N85" i="8"/>
  <c r="M85" i="8"/>
  <c r="L85" i="8"/>
  <c r="N84" i="8"/>
  <c r="M84" i="8"/>
  <c r="L84" i="8"/>
  <c r="M82" i="8"/>
  <c r="N82" i="8" s="1"/>
  <c r="L82" i="8"/>
  <c r="N79" i="8"/>
  <c r="L79" i="8"/>
  <c r="N73" i="8"/>
  <c r="M73" i="8"/>
  <c r="N72" i="8"/>
  <c r="M72" i="8"/>
  <c r="N71" i="8"/>
  <c r="M71" i="8"/>
  <c r="N63" i="8"/>
  <c r="M63" i="8"/>
  <c r="N56" i="8"/>
  <c r="M56" i="8"/>
  <c r="N59" i="8"/>
  <c r="M59" i="8"/>
  <c r="L59" i="8"/>
  <c r="N58" i="8"/>
  <c r="M58" i="8"/>
  <c r="L58" i="8"/>
  <c r="N57" i="8"/>
  <c r="M57" i="8"/>
  <c r="L57" i="8"/>
  <c r="N55" i="8"/>
  <c r="M55" i="8"/>
  <c r="N53" i="8"/>
  <c r="M53" i="8"/>
  <c r="L53" i="8"/>
  <c r="N52" i="8"/>
  <c r="M52" i="8"/>
  <c r="L52" i="8"/>
  <c r="N51" i="8"/>
  <c r="M51" i="8"/>
  <c r="L51" i="8"/>
  <c r="N48" i="8"/>
  <c r="M48" i="8"/>
  <c r="L48" i="8"/>
  <c r="M47" i="8"/>
  <c r="N47" i="8" s="1"/>
  <c r="L47" i="8"/>
  <c r="N44" i="8"/>
  <c r="M44" i="8"/>
  <c r="L44" i="8"/>
  <c r="N42" i="8"/>
  <c r="M42" i="8"/>
  <c r="N39" i="8"/>
  <c r="M39" i="8"/>
  <c r="L39" i="8"/>
  <c r="N38" i="8"/>
  <c r="M38" i="8"/>
  <c r="L38" i="8"/>
  <c r="N37" i="8"/>
  <c r="M37" i="8"/>
  <c r="L37" i="8"/>
  <c r="M36" i="8"/>
  <c r="N36" i="8" s="1"/>
  <c r="L36" i="8"/>
  <c r="M35" i="8"/>
  <c r="N35" i="8" s="1"/>
  <c r="L35" i="8"/>
  <c r="M34" i="8"/>
  <c r="N34" i="8" s="1"/>
  <c r="L34" i="8"/>
  <c r="M33" i="8"/>
  <c r="N33" i="8" s="1"/>
  <c r="L33" i="8"/>
  <c r="N32" i="8"/>
  <c r="M32" i="8"/>
  <c r="L32" i="8"/>
  <c r="N31" i="8"/>
  <c r="M31" i="8"/>
  <c r="L31" i="8"/>
  <c r="N28" i="8"/>
  <c r="L28" i="8"/>
  <c r="L24" i="8"/>
  <c r="L23" i="8"/>
  <c r="N22" i="8"/>
  <c r="L22" i="8"/>
  <c r="L21" i="8"/>
  <c r="N18" i="8"/>
  <c r="M18" i="8"/>
  <c r="L16" i="8"/>
  <c r="M15" i="8"/>
  <c r="N15" i="8" s="1"/>
  <c r="L15" i="8"/>
  <c r="M13" i="8"/>
  <c r="N13" i="8" s="1"/>
  <c r="L13" i="8"/>
  <c r="M20" i="8"/>
  <c r="N20" i="8" s="1"/>
  <c r="L20" i="8"/>
  <c r="N19" i="8"/>
  <c r="M19" i="8"/>
  <c r="L19" i="8"/>
  <c r="N12" i="8"/>
  <c r="M12" i="8"/>
  <c r="L12" i="8"/>
  <c r="N14" i="8"/>
  <c r="M14" i="8"/>
  <c r="L14" i="8"/>
  <c r="M129" i="6"/>
  <c r="N129" i="6" s="1"/>
  <c r="M126" i="6"/>
  <c r="N126" i="6" s="1"/>
  <c r="M125" i="6"/>
  <c r="N125" i="6" s="1"/>
  <c r="M76" i="6"/>
  <c r="M72" i="6"/>
  <c r="M68" i="6"/>
  <c r="M67" i="6"/>
  <c r="M65" i="6"/>
  <c r="N65" i="6" s="1"/>
  <c r="M64" i="6"/>
  <c r="N64" i="6" s="1"/>
  <c r="M63" i="6"/>
  <c r="N63" i="6" s="1"/>
  <c r="M60" i="6"/>
  <c r="N60" i="6" s="1"/>
  <c r="M59" i="6"/>
  <c r="N59" i="6" s="1"/>
  <c r="M58" i="6"/>
  <c r="N58" i="6" s="1"/>
  <c r="M57" i="6"/>
  <c r="N57" i="6" s="1"/>
  <c r="M56" i="6"/>
  <c r="N56" i="6" s="1"/>
  <c r="M54" i="6"/>
  <c r="N54" i="6" s="1"/>
  <c r="M53" i="6"/>
  <c r="N53" i="6" s="1"/>
  <c r="M51" i="6"/>
  <c r="N51" i="6" s="1"/>
  <c r="M39" i="6"/>
  <c r="M38" i="6"/>
  <c r="M30" i="6"/>
  <c r="N30" i="6" s="1"/>
  <c r="M28" i="6"/>
  <c r="N28" i="6" s="1"/>
  <c r="M27" i="6"/>
  <c r="N27" i="6" s="1"/>
  <c r="M26" i="6"/>
  <c r="N26" i="6" s="1"/>
  <c r="M23" i="6"/>
  <c r="M16" i="6"/>
  <c r="M22" i="6"/>
  <c r="L22" i="6"/>
  <c r="M21" i="6"/>
  <c r="L21" i="6"/>
  <c r="N20" i="6"/>
  <c r="M20" i="6"/>
  <c r="L20" i="6"/>
  <c r="M19" i="6"/>
  <c r="L19" i="6"/>
  <c r="M17" i="6"/>
  <c r="L17" i="6"/>
  <c r="M15" i="6"/>
  <c r="L15" i="6"/>
  <c r="M18" i="6"/>
  <c r="L18" i="6"/>
  <c r="M14" i="6"/>
  <c r="L14" i="6"/>
  <c r="M13" i="6"/>
  <c r="L13" i="6"/>
  <c r="M12" i="6"/>
  <c r="L12" i="6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O25" i="10" l="1"/>
  <c r="P25" i="10" s="1"/>
  <c r="S25" i="10" s="1"/>
  <c r="T25" i="10" s="1"/>
  <c r="O37" i="10"/>
  <c r="P37" i="10" s="1"/>
  <c r="S37" i="10" s="1"/>
  <c r="T37" i="10" s="1"/>
  <c r="O121" i="10"/>
  <c r="P121" i="10" s="1"/>
  <c r="S121" i="10" s="1"/>
  <c r="T121" i="10" s="1"/>
  <c r="O125" i="10"/>
  <c r="P125" i="10" s="1"/>
  <c r="S125" i="10" s="1"/>
  <c r="T125" i="10" s="1"/>
  <c r="O129" i="10"/>
  <c r="P129" i="10" s="1"/>
  <c r="S129" i="10" s="1"/>
  <c r="T129" i="10" s="1"/>
  <c r="O132" i="10"/>
  <c r="P132" i="10" s="1"/>
  <c r="S132" i="10" s="1"/>
  <c r="T132" i="10" s="1"/>
  <c r="O262" i="10"/>
  <c r="P262" i="10" s="1"/>
  <c r="S262" i="10" s="1"/>
  <c r="T262" i="10" s="1"/>
  <c r="O119" i="10"/>
  <c r="P119" i="10" s="1"/>
  <c r="S119" i="10" s="1"/>
  <c r="T119" i="10" s="1"/>
  <c r="O107" i="10"/>
  <c r="P107" i="10" s="1"/>
  <c r="S107" i="10" s="1"/>
  <c r="T107" i="10" s="1"/>
  <c r="O250" i="10"/>
  <c r="P250" i="10" s="1"/>
  <c r="S250" i="10" s="1"/>
  <c r="T250" i="10" s="1"/>
  <c r="O186" i="10"/>
  <c r="P186" i="10" s="1"/>
  <c r="S186" i="10" s="1"/>
  <c r="T186" i="10" s="1"/>
  <c r="O190" i="10"/>
  <c r="P190" i="10" s="1"/>
  <c r="S190" i="10" s="1"/>
  <c r="T190" i="10" s="1"/>
  <c r="O194" i="10"/>
  <c r="P194" i="10" s="1"/>
  <c r="S194" i="10" s="1"/>
  <c r="T194" i="10" s="1"/>
  <c r="O198" i="10"/>
  <c r="P198" i="10" s="1"/>
  <c r="S198" i="10" s="1"/>
  <c r="T198" i="10" s="1"/>
  <c r="O202" i="10"/>
  <c r="P202" i="10" s="1"/>
  <c r="S202" i="10" s="1"/>
  <c r="T202" i="10" s="1"/>
  <c r="O221" i="10"/>
  <c r="P221" i="10" s="1"/>
  <c r="S221" i="10" s="1"/>
  <c r="T221" i="10" s="1"/>
  <c r="O229" i="10"/>
  <c r="P229" i="10" s="1"/>
  <c r="S229" i="10" s="1"/>
  <c r="T229" i="10" s="1"/>
  <c r="O238" i="10"/>
  <c r="P238" i="10" s="1"/>
  <c r="S238" i="10" s="1"/>
  <c r="T238" i="10" s="1"/>
  <c r="O242" i="10"/>
  <c r="P242" i="10" s="1"/>
  <c r="S242" i="10" s="1"/>
  <c r="T242" i="10" s="1"/>
  <c r="O246" i="10"/>
  <c r="P246" i="10" s="1"/>
  <c r="S246" i="10" s="1"/>
  <c r="T246" i="10" s="1"/>
  <c r="O253" i="10"/>
  <c r="P253" i="10" s="1"/>
  <c r="S253" i="10" s="1"/>
  <c r="T253" i="10" s="1"/>
  <c r="O264" i="10"/>
  <c r="P264" i="10" s="1"/>
  <c r="S264" i="10" s="1"/>
  <c r="T264" i="10" s="1"/>
  <c r="O50" i="10"/>
  <c r="P50" i="10" s="1"/>
  <c r="S50" i="10" s="1"/>
  <c r="T50" i="10" s="1"/>
  <c r="O118" i="10"/>
  <c r="P118" i="10" s="1"/>
  <c r="S118" i="10" s="1"/>
  <c r="T118" i="10" s="1"/>
  <c r="O249" i="10"/>
  <c r="P249" i="10" s="1"/>
  <c r="S249" i="10" s="1"/>
  <c r="T249" i="10" s="1"/>
  <c r="O17" i="10"/>
  <c r="P17" i="10" s="1"/>
  <c r="S17" i="10" s="1"/>
  <c r="T17" i="10" s="1"/>
  <c r="O21" i="10"/>
  <c r="P21" i="10" s="1"/>
  <c r="S21" i="10" s="1"/>
  <c r="T21" i="10" s="1"/>
  <c r="O26" i="10"/>
  <c r="P26" i="10" s="1"/>
  <c r="S26" i="10" s="1"/>
  <c r="T26" i="10" s="1"/>
  <c r="O44" i="10"/>
  <c r="P44" i="10" s="1"/>
  <c r="S44" i="10" s="1"/>
  <c r="T44" i="10" s="1"/>
  <c r="O48" i="10"/>
  <c r="P48" i="10" s="1"/>
  <c r="S48" i="10" s="1"/>
  <c r="T48" i="10" s="1"/>
  <c r="O53" i="10"/>
  <c r="P53" i="10" s="1"/>
  <c r="S53" i="10" s="1"/>
  <c r="T53" i="10" s="1"/>
  <c r="O57" i="10"/>
  <c r="P57" i="10" s="1"/>
  <c r="S57" i="10" s="1"/>
  <c r="T57" i="10" s="1"/>
  <c r="O61" i="10"/>
  <c r="P61" i="10" s="1"/>
  <c r="S61" i="10" s="1"/>
  <c r="T61" i="10" s="1"/>
  <c r="O65" i="10"/>
  <c r="P65" i="10" s="1"/>
  <c r="S65" i="10" s="1"/>
  <c r="T65" i="10" s="1"/>
  <c r="O69" i="10"/>
  <c r="P69" i="10" s="1"/>
  <c r="S69" i="10" s="1"/>
  <c r="T69" i="10" s="1"/>
  <c r="O73" i="10"/>
  <c r="P73" i="10" s="1"/>
  <c r="S73" i="10" s="1"/>
  <c r="T73" i="10" s="1"/>
  <c r="O77" i="10"/>
  <c r="P77" i="10" s="1"/>
  <c r="S77" i="10" s="1"/>
  <c r="T77" i="10" s="1"/>
  <c r="O85" i="10"/>
  <c r="P85" i="10" s="1"/>
  <c r="S85" i="10" s="1"/>
  <c r="T85" i="10" s="1"/>
  <c r="O90" i="10"/>
  <c r="P90" i="10" s="1"/>
  <c r="S90" i="10" s="1"/>
  <c r="T90" i="10" s="1"/>
  <c r="O94" i="10"/>
  <c r="P94" i="10" s="1"/>
  <c r="S94" i="10" s="1"/>
  <c r="T94" i="10" s="1"/>
  <c r="O51" i="10"/>
  <c r="P51" i="10" s="1"/>
  <c r="S51" i="10" s="1"/>
  <c r="T51" i="10" s="1"/>
  <c r="O214" i="10"/>
  <c r="P214" i="10" s="1"/>
  <c r="S214" i="10" s="1"/>
  <c r="T214" i="10" s="1"/>
  <c r="O247" i="10"/>
  <c r="P247" i="10" s="1"/>
  <c r="S247" i="10" s="1"/>
  <c r="T247" i="10" s="1"/>
  <c r="O117" i="10"/>
  <c r="P117" i="10" s="1"/>
  <c r="S117" i="10" s="1"/>
  <c r="T117" i="10" s="1"/>
  <c r="O39" i="10"/>
  <c r="P39" i="10" s="1"/>
  <c r="S39" i="10" s="1"/>
  <c r="T39" i="10" s="1"/>
  <c r="O122" i="10"/>
  <c r="P122" i="10" s="1"/>
  <c r="S122" i="10" s="1"/>
  <c r="T122" i="10" s="1"/>
  <c r="O126" i="10"/>
  <c r="P126" i="10" s="1"/>
  <c r="S126" i="10" s="1"/>
  <c r="T126" i="10" s="1"/>
  <c r="O130" i="10"/>
  <c r="P130" i="10" s="1"/>
  <c r="S130" i="10" s="1"/>
  <c r="T130" i="10" s="1"/>
  <c r="O133" i="10"/>
  <c r="P133" i="10" s="1"/>
  <c r="S133" i="10" s="1"/>
  <c r="T133" i="10" s="1"/>
  <c r="O265" i="10"/>
  <c r="P265" i="10" s="1"/>
  <c r="S265" i="10" s="1"/>
  <c r="T265" i="10" s="1"/>
  <c r="O40" i="10"/>
  <c r="P40" i="10" s="1"/>
  <c r="S40" i="10" s="1"/>
  <c r="T40" i="10" s="1"/>
  <c r="O261" i="10"/>
  <c r="P261" i="10" s="1"/>
  <c r="S261" i="10" s="1"/>
  <c r="T261" i="10" s="1"/>
  <c r="O116" i="10"/>
  <c r="P116" i="10" s="1"/>
  <c r="S116" i="10" s="1"/>
  <c r="T116" i="10" s="1"/>
  <c r="O104" i="10"/>
  <c r="P104" i="10" s="1"/>
  <c r="S104" i="10" s="1"/>
  <c r="T104" i="10" s="1"/>
  <c r="O33" i="10"/>
  <c r="P33" i="10" s="1"/>
  <c r="S33" i="10" s="1"/>
  <c r="T33" i="10" s="1"/>
  <c r="O183" i="10"/>
  <c r="P183" i="10" s="1"/>
  <c r="S183" i="10" s="1"/>
  <c r="T183" i="10" s="1"/>
  <c r="O187" i="10"/>
  <c r="P187" i="10" s="1"/>
  <c r="S187" i="10" s="1"/>
  <c r="T187" i="10" s="1"/>
  <c r="O191" i="10"/>
  <c r="P191" i="10" s="1"/>
  <c r="S191" i="10" s="1"/>
  <c r="T191" i="10" s="1"/>
  <c r="O195" i="10"/>
  <c r="P195" i="10" s="1"/>
  <c r="S195" i="10" s="1"/>
  <c r="T195" i="10" s="1"/>
  <c r="O199" i="10"/>
  <c r="P199" i="10" s="1"/>
  <c r="S199" i="10" s="1"/>
  <c r="T199" i="10" s="1"/>
  <c r="O203" i="10"/>
  <c r="P203" i="10" s="1"/>
  <c r="S203" i="10" s="1"/>
  <c r="T203" i="10" s="1"/>
  <c r="O207" i="10"/>
  <c r="P207" i="10" s="1"/>
  <c r="S207" i="10" s="1"/>
  <c r="T207" i="10" s="1"/>
  <c r="O211" i="10"/>
  <c r="P211" i="10" s="1"/>
  <c r="S211" i="10" s="1"/>
  <c r="T211" i="10" s="1"/>
  <c r="O218" i="10"/>
  <c r="P218" i="10" s="1"/>
  <c r="S218" i="10" s="1"/>
  <c r="T218" i="10" s="1"/>
  <c r="O222" i="10"/>
  <c r="P222" i="10" s="1"/>
  <c r="S222" i="10" s="1"/>
  <c r="T222" i="10" s="1"/>
  <c r="O226" i="10"/>
  <c r="P226" i="10" s="1"/>
  <c r="S226" i="10" s="1"/>
  <c r="T226" i="10" s="1"/>
  <c r="O230" i="10"/>
  <c r="P230" i="10" s="1"/>
  <c r="S230" i="10" s="1"/>
  <c r="T230" i="10" s="1"/>
  <c r="O234" i="10"/>
  <c r="P234" i="10" s="1"/>
  <c r="S234" i="10" s="1"/>
  <c r="T234" i="10" s="1"/>
  <c r="O239" i="10"/>
  <c r="P239" i="10" s="1"/>
  <c r="S239" i="10" s="1"/>
  <c r="T239" i="10" s="1"/>
  <c r="O243" i="10"/>
  <c r="P243" i="10" s="1"/>
  <c r="S243" i="10" s="1"/>
  <c r="T243" i="10" s="1"/>
  <c r="O254" i="10"/>
  <c r="P254" i="10" s="1"/>
  <c r="S254" i="10" s="1"/>
  <c r="T254" i="10" s="1"/>
  <c r="O27" i="10"/>
  <c r="P27" i="10" s="1"/>
  <c r="S27" i="10" s="1"/>
  <c r="T27" i="10" s="1"/>
  <c r="O29" i="10"/>
  <c r="P29" i="10" s="1"/>
  <c r="S29" i="10" s="1"/>
  <c r="T29" i="10" s="1"/>
  <c r="O115" i="10"/>
  <c r="P115" i="10" s="1"/>
  <c r="S115" i="10" s="1"/>
  <c r="T115" i="10" s="1"/>
  <c r="O103" i="10"/>
  <c r="P103" i="10" s="1"/>
  <c r="S103" i="10" s="1"/>
  <c r="T103" i="10" s="1"/>
  <c r="O233" i="10"/>
  <c r="P233" i="10" s="1"/>
  <c r="S233" i="10" s="1"/>
  <c r="T233" i="10" s="1"/>
  <c r="O225" i="10"/>
  <c r="P225" i="10" s="1"/>
  <c r="S225" i="10" s="1"/>
  <c r="T225" i="10" s="1"/>
  <c r="O14" i="10"/>
  <c r="P14" i="10" s="1"/>
  <c r="S14" i="10" s="1"/>
  <c r="T14" i="10" s="1"/>
  <c r="O49" i="10"/>
  <c r="P49" i="10" s="1"/>
  <c r="S49" i="10" s="1"/>
  <c r="T49" i="10" s="1"/>
  <c r="O78" i="10"/>
  <c r="P78" i="10" s="1"/>
  <c r="S78" i="10" s="1"/>
  <c r="T78" i="10" s="1"/>
  <c r="O102" i="10"/>
  <c r="P102" i="10" s="1"/>
  <c r="S102" i="10" s="1"/>
  <c r="T102" i="10" s="1"/>
  <c r="O135" i="10"/>
  <c r="P135" i="10" s="1"/>
  <c r="S135" i="10" s="1"/>
  <c r="T135" i="10" s="1"/>
  <c r="O260" i="10"/>
  <c r="P260" i="10" s="1"/>
  <c r="S260" i="10" s="1"/>
  <c r="T260" i="10" s="1"/>
  <c r="O101" i="10"/>
  <c r="P101" i="10" s="1"/>
  <c r="S101" i="10" s="1"/>
  <c r="T101" i="10" s="1"/>
  <c r="O184" i="10"/>
  <c r="P184" i="10" s="1"/>
  <c r="S184" i="10" s="1"/>
  <c r="T184" i="10" s="1"/>
  <c r="O188" i="10"/>
  <c r="P188" i="10" s="1"/>
  <c r="S188" i="10" s="1"/>
  <c r="T188" i="10" s="1"/>
  <c r="O192" i="10"/>
  <c r="P192" i="10" s="1"/>
  <c r="S192" i="10" s="1"/>
  <c r="T192" i="10" s="1"/>
  <c r="O196" i="10"/>
  <c r="P196" i="10" s="1"/>
  <c r="S196" i="10" s="1"/>
  <c r="T196" i="10" s="1"/>
  <c r="O200" i="10"/>
  <c r="P200" i="10" s="1"/>
  <c r="S200" i="10" s="1"/>
  <c r="T200" i="10" s="1"/>
  <c r="O204" i="10"/>
  <c r="P204" i="10" s="1"/>
  <c r="S204" i="10" s="1"/>
  <c r="T204" i="10" s="1"/>
  <c r="O208" i="10"/>
  <c r="P208" i="10" s="1"/>
  <c r="S208" i="10" s="1"/>
  <c r="T208" i="10" s="1"/>
  <c r="O215" i="10"/>
  <c r="P215" i="10" s="1"/>
  <c r="S215" i="10" s="1"/>
  <c r="T215" i="10" s="1"/>
  <c r="O219" i="10"/>
  <c r="P219" i="10" s="1"/>
  <c r="S219" i="10" s="1"/>
  <c r="T219" i="10" s="1"/>
  <c r="O223" i="10"/>
  <c r="P223" i="10" s="1"/>
  <c r="S223" i="10" s="1"/>
  <c r="T223" i="10" s="1"/>
  <c r="O227" i="10"/>
  <c r="P227" i="10" s="1"/>
  <c r="S227" i="10" s="1"/>
  <c r="T227" i="10" s="1"/>
  <c r="O231" i="10"/>
  <c r="P231" i="10" s="1"/>
  <c r="S231" i="10" s="1"/>
  <c r="T231" i="10" s="1"/>
  <c r="O235" i="10"/>
  <c r="P235" i="10" s="1"/>
  <c r="S235" i="10" s="1"/>
  <c r="T235" i="10" s="1"/>
  <c r="O240" i="10"/>
  <c r="P240" i="10" s="1"/>
  <c r="S240" i="10" s="1"/>
  <c r="T240" i="10" s="1"/>
  <c r="O244" i="10"/>
  <c r="P244" i="10" s="1"/>
  <c r="S244" i="10" s="1"/>
  <c r="T244" i="10" s="1"/>
  <c r="O255" i="10"/>
  <c r="P255" i="10" s="1"/>
  <c r="S255" i="10" s="1"/>
  <c r="T255" i="10" s="1"/>
  <c r="O267" i="10"/>
  <c r="P267" i="10" s="1"/>
  <c r="S267" i="10" s="1"/>
  <c r="T267" i="10" s="1"/>
  <c r="O32" i="10"/>
  <c r="P32" i="10" s="1"/>
  <c r="S32" i="10" s="1"/>
  <c r="T32" i="10" s="1"/>
  <c r="O213" i="10"/>
  <c r="P213" i="10" s="1"/>
  <c r="S213" i="10" s="1"/>
  <c r="T213" i="10" s="1"/>
  <c r="O112" i="10"/>
  <c r="P112" i="10" s="1"/>
  <c r="S112" i="10" s="1"/>
  <c r="T112" i="10" s="1"/>
  <c r="O100" i="10"/>
  <c r="P100" i="10" s="1"/>
  <c r="S100" i="10" s="1"/>
  <c r="T100" i="10" s="1"/>
  <c r="O210" i="10"/>
  <c r="P210" i="10" s="1"/>
  <c r="S210" i="10" s="1"/>
  <c r="T210" i="10" s="1"/>
  <c r="O18" i="10"/>
  <c r="P18" i="10" s="1"/>
  <c r="S18" i="10" s="1"/>
  <c r="T18" i="10" s="1"/>
  <c r="O54" i="10"/>
  <c r="P54" i="10" s="1"/>
  <c r="S54" i="10" s="1"/>
  <c r="T54" i="10" s="1"/>
  <c r="O70" i="10"/>
  <c r="P70" i="10" s="1"/>
  <c r="S70" i="10" s="1"/>
  <c r="T70" i="10" s="1"/>
  <c r="O95" i="10"/>
  <c r="P95" i="10" s="1"/>
  <c r="S95" i="10" s="1"/>
  <c r="T95" i="10" s="1"/>
  <c r="O30" i="10"/>
  <c r="P30" i="10" s="1"/>
  <c r="S30" i="10" s="1"/>
  <c r="T30" i="10" s="1"/>
  <c r="O114" i="10"/>
  <c r="P114" i="10" s="1"/>
  <c r="S114" i="10" s="1"/>
  <c r="T114" i="10" s="1"/>
  <c r="O34" i="10"/>
  <c r="P34" i="10" s="1"/>
  <c r="S34" i="10" s="1"/>
  <c r="T34" i="10" s="1"/>
  <c r="O123" i="10"/>
  <c r="P123" i="10" s="1"/>
  <c r="S123" i="10" s="1"/>
  <c r="T123" i="10" s="1"/>
  <c r="O31" i="10"/>
  <c r="P31" i="10" s="1"/>
  <c r="S31" i="10" s="1"/>
  <c r="T31" i="10" s="1"/>
  <c r="O15" i="10"/>
  <c r="P15" i="10" s="1"/>
  <c r="S15" i="10" s="1"/>
  <c r="T15" i="10" s="1"/>
  <c r="O19" i="10"/>
  <c r="P19" i="10" s="1"/>
  <c r="S19" i="10" s="1"/>
  <c r="T19" i="10" s="1"/>
  <c r="O23" i="10"/>
  <c r="P23" i="10" s="1"/>
  <c r="S23" i="10" s="1"/>
  <c r="T23" i="10" s="1"/>
  <c r="O35" i="10"/>
  <c r="P35" i="10" s="1"/>
  <c r="S35" i="10" s="1"/>
  <c r="T35" i="10" s="1"/>
  <c r="O42" i="10"/>
  <c r="P42" i="10" s="1"/>
  <c r="S42" i="10" s="1"/>
  <c r="T42" i="10" s="1"/>
  <c r="O46" i="10"/>
  <c r="P46" i="10" s="1"/>
  <c r="S46" i="10" s="1"/>
  <c r="T46" i="10" s="1"/>
  <c r="O55" i="10"/>
  <c r="P55" i="10" s="1"/>
  <c r="S55" i="10" s="1"/>
  <c r="T55" i="10" s="1"/>
  <c r="O59" i="10"/>
  <c r="P59" i="10" s="1"/>
  <c r="S59" i="10" s="1"/>
  <c r="T59" i="10" s="1"/>
  <c r="O67" i="10"/>
  <c r="P67" i="10" s="1"/>
  <c r="S67" i="10" s="1"/>
  <c r="T67" i="10" s="1"/>
  <c r="O71" i="10"/>
  <c r="P71" i="10" s="1"/>
  <c r="S71" i="10" s="1"/>
  <c r="T71" i="10" s="1"/>
  <c r="O75" i="10"/>
  <c r="P75" i="10" s="1"/>
  <c r="S75" i="10" s="1"/>
  <c r="T75" i="10" s="1"/>
  <c r="O79" i="10"/>
  <c r="P79" i="10" s="1"/>
  <c r="S79" i="10" s="1"/>
  <c r="T79" i="10" s="1"/>
  <c r="O83" i="10"/>
  <c r="P83" i="10" s="1"/>
  <c r="S83" i="10" s="1"/>
  <c r="T83" i="10" s="1"/>
  <c r="O88" i="10"/>
  <c r="P88" i="10" s="1"/>
  <c r="S88" i="10" s="1"/>
  <c r="T88" i="10" s="1"/>
  <c r="O92" i="10"/>
  <c r="P92" i="10" s="1"/>
  <c r="S92" i="10" s="1"/>
  <c r="T92" i="10" s="1"/>
  <c r="O28" i="10"/>
  <c r="P28" i="10" s="1"/>
  <c r="S28" i="10" s="1"/>
  <c r="T28" i="10" s="1"/>
  <c r="O111" i="10"/>
  <c r="P111" i="10" s="1"/>
  <c r="S111" i="10" s="1"/>
  <c r="T111" i="10" s="1"/>
  <c r="O99" i="10"/>
  <c r="P99" i="10" s="1"/>
  <c r="S99" i="10" s="1"/>
  <c r="T99" i="10" s="1"/>
  <c r="O206" i="10"/>
  <c r="P206" i="10" s="1"/>
  <c r="S206" i="10" s="1"/>
  <c r="T206" i="10" s="1"/>
  <c r="O22" i="10"/>
  <c r="P22" i="10" s="1"/>
  <c r="S22" i="10" s="1"/>
  <c r="T22" i="10" s="1"/>
  <c r="O45" i="10"/>
  <c r="P45" i="10" s="1"/>
  <c r="S45" i="10" s="1"/>
  <c r="T45" i="10" s="1"/>
  <c r="O58" i="10"/>
  <c r="P58" i="10" s="1"/>
  <c r="S58" i="10" s="1"/>
  <c r="T58" i="10" s="1"/>
  <c r="O74" i="10"/>
  <c r="P74" i="10" s="1"/>
  <c r="S74" i="10" s="1"/>
  <c r="T74" i="10" s="1"/>
  <c r="O91" i="10"/>
  <c r="P91" i="10" s="1"/>
  <c r="S91" i="10" s="1"/>
  <c r="T91" i="10" s="1"/>
  <c r="O41" i="10"/>
  <c r="P41" i="10" s="1"/>
  <c r="S41" i="10" s="1"/>
  <c r="T41" i="10" s="1"/>
  <c r="O120" i="10"/>
  <c r="P120" i="10" s="1"/>
  <c r="S120" i="10" s="1"/>
  <c r="T120" i="10" s="1"/>
  <c r="O124" i="10"/>
  <c r="P124" i="10" s="1"/>
  <c r="S124" i="10" s="1"/>
  <c r="T124" i="10" s="1"/>
  <c r="O128" i="10"/>
  <c r="P128" i="10" s="1"/>
  <c r="S128" i="10" s="1"/>
  <c r="T128" i="10" s="1"/>
  <c r="O131" i="10"/>
  <c r="P131" i="10" s="1"/>
  <c r="S131" i="10" s="1"/>
  <c r="T131" i="10" s="1"/>
  <c r="O259" i="10"/>
  <c r="P259" i="10" s="1"/>
  <c r="S259" i="10" s="1"/>
  <c r="T259" i="10" s="1"/>
  <c r="O110" i="10"/>
  <c r="P110" i="10" s="1"/>
  <c r="S110" i="10" s="1"/>
  <c r="T110" i="10" s="1"/>
  <c r="O98" i="10"/>
  <c r="P98" i="10" s="1"/>
  <c r="S98" i="10" s="1"/>
  <c r="T98" i="10" s="1"/>
  <c r="O217" i="10"/>
  <c r="P217" i="10" s="1"/>
  <c r="S217" i="10" s="1"/>
  <c r="T217" i="10" s="1"/>
  <c r="O66" i="10"/>
  <c r="P66" i="10" s="1"/>
  <c r="S66" i="10" s="1"/>
  <c r="T66" i="10" s="1"/>
  <c r="O86" i="10"/>
  <c r="P86" i="10" s="1"/>
  <c r="S86" i="10" s="1"/>
  <c r="T86" i="10" s="1"/>
  <c r="O266" i="10"/>
  <c r="P266" i="10" s="1"/>
  <c r="S266" i="10" s="1"/>
  <c r="T266" i="10" s="1"/>
  <c r="O127" i="10"/>
  <c r="P127" i="10" s="1"/>
  <c r="S127" i="10" s="1"/>
  <c r="T127" i="10" s="1"/>
  <c r="O24" i="10"/>
  <c r="P24" i="10" s="1"/>
  <c r="S24" i="10" s="1"/>
  <c r="T24" i="10" s="1"/>
  <c r="O36" i="10"/>
  <c r="P36" i="10" s="1"/>
  <c r="S36" i="10" s="1"/>
  <c r="T36" i="10" s="1"/>
  <c r="O185" i="10"/>
  <c r="P185" i="10" s="1"/>
  <c r="S185" i="10" s="1"/>
  <c r="T185" i="10" s="1"/>
  <c r="O189" i="10"/>
  <c r="P189" i="10" s="1"/>
  <c r="S189" i="10" s="1"/>
  <c r="T189" i="10" s="1"/>
  <c r="O193" i="10"/>
  <c r="P193" i="10" s="1"/>
  <c r="S193" i="10" s="1"/>
  <c r="T193" i="10" s="1"/>
  <c r="O197" i="10"/>
  <c r="P197" i="10" s="1"/>
  <c r="S197" i="10" s="1"/>
  <c r="T197" i="10" s="1"/>
  <c r="O201" i="10"/>
  <c r="P201" i="10" s="1"/>
  <c r="S201" i="10" s="1"/>
  <c r="T201" i="10" s="1"/>
  <c r="O205" i="10"/>
  <c r="P205" i="10" s="1"/>
  <c r="S205" i="10" s="1"/>
  <c r="T205" i="10" s="1"/>
  <c r="O209" i="10"/>
  <c r="P209" i="10" s="1"/>
  <c r="S209" i="10" s="1"/>
  <c r="T209" i="10" s="1"/>
  <c r="O216" i="10"/>
  <c r="P216" i="10" s="1"/>
  <c r="S216" i="10" s="1"/>
  <c r="T216" i="10" s="1"/>
  <c r="O220" i="10"/>
  <c r="P220" i="10" s="1"/>
  <c r="S220" i="10" s="1"/>
  <c r="T220" i="10" s="1"/>
  <c r="O224" i="10"/>
  <c r="P224" i="10" s="1"/>
  <c r="S224" i="10" s="1"/>
  <c r="T224" i="10" s="1"/>
  <c r="O228" i="10"/>
  <c r="P228" i="10" s="1"/>
  <c r="S228" i="10" s="1"/>
  <c r="T228" i="10" s="1"/>
  <c r="O232" i="10"/>
  <c r="P232" i="10" s="1"/>
  <c r="S232" i="10" s="1"/>
  <c r="T232" i="10" s="1"/>
  <c r="O237" i="10"/>
  <c r="P237" i="10" s="1"/>
  <c r="S237" i="10" s="1"/>
  <c r="T237" i="10" s="1"/>
  <c r="O241" i="10"/>
  <c r="P241" i="10" s="1"/>
  <c r="S241" i="10" s="1"/>
  <c r="T241" i="10" s="1"/>
  <c r="O245" i="10"/>
  <c r="P245" i="10" s="1"/>
  <c r="S245" i="10" s="1"/>
  <c r="T245" i="10" s="1"/>
  <c r="O252" i="10"/>
  <c r="P252" i="10" s="1"/>
  <c r="S252" i="10" s="1"/>
  <c r="T252" i="10" s="1"/>
  <c r="O256" i="10"/>
  <c r="P256" i="10" s="1"/>
  <c r="S256" i="10" s="1"/>
  <c r="T256" i="10" s="1"/>
  <c r="O212" i="10"/>
  <c r="P212" i="10" s="1"/>
  <c r="S212" i="10" s="1"/>
  <c r="T212" i="10" s="1"/>
  <c r="O109" i="10"/>
  <c r="P109" i="10" s="1"/>
  <c r="S109" i="10" s="1"/>
  <c r="T109" i="10" s="1"/>
  <c r="O16" i="10"/>
  <c r="P16" i="10" s="1"/>
  <c r="S16" i="10" s="1"/>
  <c r="T16" i="10" s="1"/>
  <c r="O20" i="10"/>
  <c r="P20" i="10" s="1"/>
  <c r="S20" i="10" s="1"/>
  <c r="T20" i="10" s="1"/>
  <c r="O43" i="10"/>
  <c r="P43" i="10" s="1"/>
  <c r="S43" i="10" s="1"/>
  <c r="T43" i="10" s="1"/>
  <c r="O47" i="10"/>
  <c r="P47" i="10" s="1"/>
  <c r="S47" i="10" s="1"/>
  <c r="T47" i="10" s="1"/>
  <c r="O52" i="10"/>
  <c r="P52" i="10" s="1"/>
  <c r="S52" i="10" s="1"/>
  <c r="T52" i="10" s="1"/>
  <c r="O56" i="10"/>
  <c r="P56" i="10" s="1"/>
  <c r="S56" i="10" s="1"/>
  <c r="T56" i="10" s="1"/>
  <c r="O60" i="10"/>
  <c r="P60" i="10" s="1"/>
  <c r="S60" i="10" s="1"/>
  <c r="T60" i="10" s="1"/>
  <c r="O64" i="10"/>
  <c r="P64" i="10" s="1"/>
  <c r="S64" i="10" s="1"/>
  <c r="T64" i="10" s="1"/>
  <c r="O68" i="10"/>
  <c r="P68" i="10" s="1"/>
  <c r="S68" i="10" s="1"/>
  <c r="T68" i="10" s="1"/>
  <c r="O76" i="10"/>
  <c r="P76" i="10" s="1"/>
  <c r="S76" i="10" s="1"/>
  <c r="T76" i="10" s="1"/>
  <c r="O80" i="10"/>
  <c r="P80" i="10" s="1"/>
  <c r="S80" i="10" s="1"/>
  <c r="T80" i="10" s="1"/>
  <c r="O84" i="10"/>
  <c r="P84" i="10" s="1"/>
  <c r="S84" i="10" s="1"/>
  <c r="T84" i="10" s="1"/>
  <c r="O89" i="10"/>
  <c r="P89" i="10" s="1"/>
  <c r="S89" i="10" s="1"/>
  <c r="T89" i="10" s="1"/>
  <c r="O93" i="10"/>
  <c r="P93" i="10" s="1"/>
  <c r="S93" i="10" s="1"/>
  <c r="T93" i="10" s="1"/>
  <c r="O236" i="10"/>
  <c r="P236" i="10" s="1"/>
  <c r="S236" i="10" s="1"/>
  <c r="T236" i="10" s="1"/>
  <c r="O248" i="10"/>
  <c r="P248" i="10" s="1"/>
  <c r="S248" i="10" s="1"/>
  <c r="T248" i="10" s="1"/>
  <c r="O38" i="10"/>
  <c r="P38" i="10" s="1"/>
  <c r="S38" i="10" s="1"/>
  <c r="T38" i="10" s="1"/>
  <c r="O108" i="10"/>
  <c r="P108" i="10" s="1"/>
  <c r="S108" i="10" s="1"/>
  <c r="T108" i="10" s="1"/>
  <c r="O251" i="10"/>
  <c r="P251" i="10" s="1"/>
  <c r="S251" i="10" s="1"/>
  <c r="T251" i="10" s="1"/>
  <c r="I48" i="12"/>
  <c r="C33" i="4" s="1"/>
  <c r="C34" i="4" s="1"/>
  <c r="I107" i="5"/>
  <c r="C25" i="4" s="1"/>
  <c r="O41" i="36"/>
  <c r="P41" i="36" s="1"/>
  <c r="S41" i="36" s="1"/>
  <c r="T41" i="36" s="1"/>
  <c r="O46" i="36"/>
  <c r="P46" i="36" s="1"/>
  <c r="S46" i="36" s="1"/>
  <c r="T46" i="36" s="1"/>
  <c r="O42" i="36"/>
  <c r="P42" i="36" s="1"/>
  <c r="S42" i="36" s="1"/>
  <c r="T42" i="36" s="1"/>
  <c r="M47" i="36"/>
  <c r="C44" i="4" s="1"/>
  <c r="L29" i="1"/>
  <c r="C21" i="4" s="1"/>
  <c r="M181" i="10"/>
  <c r="C38" i="4" s="1"/>
  <c r="M278" i="10"/>
  <c r="C42" i="4" s="1"/>
  <c r="M257" i="10"/>
  <c r="C40" i="4" s="1"/>
  <c r="I101" i="11"/>
  <c r="C28" i="4" s="1"/>
  <c r="T37" i="36"/>
  <c r="C7" i="5"/>
  <c r="C7" i="11"/>
  <c r="C7" i="1"/>
  <c r="C7" i="8"/>
  <c r="C7" i="12"/>
  <c r="D7" i="6"/>
  <c r="E7" i="36"/>
  <c r="L45" i="8"/>
  <c r="C26" i="4" s="1"/>
  <c r="C8" i="11"/>
  <c r="F8" i="10"/>
  <c r="C8" i="5"/>
  <c r="C8" i="12"/>
  <c r="E8" i="36"/>
  <c r="C8" i="1"/>
  <c r="C8" i="8"/>
  <c r="L483" i="8"/>
  <c r="C27" i="4" s="1"/>
  <c r="L130" i="6"/>
  <c r="C24" i="4" s="1"/>
  <c r="C29" i="4" l="1"/>
  <c r="P71" i="36"/>
  <c r="S71" i="36" s="1"/>
  <c r="T71" i="36" s="1"/>
  <c r="C47" i="4"/>
  <c r="P72" i="36" l="1"/>
  <c r="S72" i="36" s="1"/>
  <c r="T72" i="36" s="1"/>
  <c r="P73" i="36" l="1"/>
  <c r="S73" i="36" s="1"/>
  <c r="T73" i="36" s="1"/>
  <c r="P74" i="36" l="1"/>
  <c r="S74" i="36" s="1"/>
  <c r="T74" i="36" s="1"/>
  <c r="P80" i="36" l="1"/>
  <c r="S80" i="36" s="1"/>
  <c r="T80" i="36" s="1"/>
  <c r="P81" i="36" l="1"/>
  <c r="S81" i="36" s="1"/>
  <c r="T81" i="36" s="1"/>
  <c r="P82" i="36" l="1"/>
  <c r="S82" i="36" s="1"/>
  <c r="T82" i="36" s="1"/>
  <c r="P83" i="36" l="1"/>
  <c r="S83" i="36" s="1"/>
  <c r="T83" i="36" s="1"/>
  <c r="P85" i="36" l="1"/>
  <c r="S85" i="36" s="1"/>
  <c r="T85" i="36" s="1"/>
  <c r="P86" i="36" l="1"/>
  <c r="S86" i="36" s="1"/>
  <c r="T86" i="36" s="1"/>
  <c r="P87" i="36" l="1"/>
  <c r="S87" i="36" s="1"/>
  <c r="T87" i="36" s="1"/>
  <c r="P67" i="36" l="1"/>
  <c r="S67" i="36" s="1"/>
  <c r="T67" i="36" s="1"/>
  <c r="P88" i="36" l="1"/>
  <c r="S88" i="36" s="1"/>
  <c r="T88" i="36" s="1"/>
  <c r="P89" i="36" l="1"/>
  <c r="S89" i="36" s="1"/>
  <c r="T89" i="36" s="1"/>
  <c r="P90" i="36" l="1"/>
  <c r="S90" i="36" s="1"/>
  <c r="T90" i="36" s="1"/>
  <c r="P91" i="36" l="1"/>
  <c r="S91" i="36" s="1"/>
  <c r="T91" i="36" s="1"/>
  <c r="P93" i="36" l="1"/>
  <c r="P94" i="36" l="1"/>
  <c r="S94" i="36" s="1"/>
  <c r="T94" i="36" s="1"/>
  <c r="P95" i="36"/>
  <c r="S95" i="36" s="1"/>
  <c r="T95" i="3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tc={43797561-ED3B-466E-B557-6F507D9C9334}</author>
    <author>Wayne Parker</author>
    <author>tc={5E74397A-332D-4639-8D6E-B1F217A264E7}</author>
    <author>tc={F61CCB19-D339-452C-B7F1-21ECED0138C7}</author>
    <author>tc={31519146-F81D-4A2C-A244-5492CBED9BA7}</author>
  </authors>
  <commentList>
    <comment ref="C2" authorId="0" shapeId="0" xr:uid="{43797561-ED3B-466E-B557-6F507D9C9334}">
      <text>
        <t>[Threaded comment]
Your version of Excel allows you to read this threaded comment; however, any edits to it will get removed if the file is opened in a newer version of Excel. Learn more: https://go.microsoft.com/fwlink/?linkid=870924
Comment:
    Insert average daily billable residents</t>
      </text>
    </comment>
    <comment ref="E8" authorId="1" shapeId="0" xr:uid="{1C270D48-7E4B-4092-AC9F-EB6F5E0D4081}">
      <text>
        <r>
          <rPr>
            <sz val="9"/>
            <color indexed="17"/>
            <rFont val="Tahoma"/>
            <family val="2"/>
          </rPr>
          <t>Target set at $23.80</t>
        </r>
        <r>
          <rPr>
            <b/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Tahoma"/>
            <family val="2"/>
          </rPr>
          <t xml:space="preserve">Below the Maximum target spend </t>
        </r>
        <r>
          <rPr>
            <b/>
            <sz val="9"/>
            <color indexed="10"/>
            <rFont val="Tahoma"/>
            <family val="2"/>
          </rPr>
          <t>$24.60 .</t>
        </r>
      </text>
    </comment>
    <comment ref="C9" authorId="2" shapeId="0" xr:uid="{5E74397A-332D-4639-8D6E-B1F217A264E7}">
      <text>
        <t>[Threaded comment]
Your version of Excel allows you to read this threaded comment; however, any edits to it will get removed if the file is opened in a newer version of Excel. Learn more: https://go.microsoft.com/fwlink/?linkid=870924
Comment:
    Insert Email</t>
      </text>
    </comment>
    <comment ref="C10" authorId="3" shapeId="0" xr:uid="{F61CCB19-D339-452C-B7F1-21ECED0138C7}">
      <text>
        <t>[Threaded comment]
Your version of Excel allows you to read this threaded comment; however, any edits to it will get removed if the file is opened in a newer version of Excel. Learn more: https://go.microsoft.com/fwlink/?linkid=870924
Comment:
    Insert Mobile #</t>
      </text>
    </comment>
    <comment ref="C15" authorId="4" shapeId="0" xr:uid="{31519146-F81D-4A2C-A244-5492CBED9BA7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 Deliver Times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Tiow Hong Lee</author>
  </authors>
  <commentList>
    <comment ref="J21" authorId="0" shapeId="0" xr:uid="{E06C82BF-6DA9-44D0-9C2F-CC4563DF5800}">
      <text>
        <r>
          <rPr>
            <b/>
            <sz val="9"/>
            <color indexed="81"/>
            <rFont val="Tahoma"/>
            <family val="2"/>
          </rPr>
          <t xml:space="preserve">Ctn weight 8kg = $4.00kg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7" authorId="0" shapeId="0" xr:uid="{6E16D234-DBBE-4ECF-855F-10818679B5AD}">
      <text>
        <r>
          <rPr>
            <b/>
            <sz val="9"/>
            <color indexed="81"/>
            <rFont val="Tahoma"/>
            <family val="2"/>
          </rPr>
          <t>Bunch weight 175gm = $11.40kg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tc={B43F0517-65E0-4D93-BAB9-3BAE5C74D398}</author>
  </authors>
  <commentList>
    <comment ref="I7" authorId="0" shapeId="0" xr:uid="{B43F0517-65E0-4D93-BAB9-3BAE5C74D398}">
      <text>
        <t>[Threaded comment]
Your version of Excel allows you to read this threaded comment; however, any edits to it will get removed if the file is opened in a newer version of Excel. Learn more: https://go.microsoft.com/fwlink/?linkid=870924
Comment:
    Insert LL Number</t>
      </text>
    </comment>
  </commentList>
</comments>
</file>

<file path=xl/sharedStrings.xml><?xml version="1.0" encoding="utf-8"?>
<sst xmlns="http://schemas.openxmlformats.org/spreadsheetml/2006/main" count="5313" uniqueCount="2302">
  <si>
    <r>
      <t>PROJECTED AVERAGE DAILY RESIDENTS</t>
    </r>
    <r>
      <rPr>
        <b/>
        <sz val="7"/>
        <color rgb="FFFF0000"/>
        <rFont val="Calibri Light"/>
        <family val="2"/>
        <scheme val="major"/>
      </rPr>
      <t>(7days)</t>
    </r>
  </si>
  <si>
    <t>BUDGET - FOOD, CATERING CONSUMABLES</t>
  </si>
  <si>
    <t>Food and Catering Consumables</t>
  </si>
  <si>
    <t>Includes Crib Room Supplies</t>
  </si>
  <si>
    <t>WEEKLY BUDGET SPEND - FOOD, CATERING CONSUMABLES</t>
  </si>
  <si>
    <t>BUDGET - CLEANING CONSUMABLE AND CHEMICALS</t>
  </si>
  <si>
    <t>Cleaning Consumables, Chemicals</t>
  </si>
  <si>
    <t>Includes Sanitary Bin Consumables</t>
  </si>
  <si>
    <t>WEEKLY BUDGET SPEND - CLEANING CONSUMABLE AND CHEMICALS</t>
  </si>
  <si>
    <t>BUDGET - LAUNDRY LINEN SERVICE</t>
  </si>
  <si>
    <t>Laundry/Linen Service</t>
  </si>
  <si>
    <t>WEEKLY BUDGET SPEND - LAUNDRY LINEN SERVICE</t>
  </si>
  <si>
    <t>(Excludeds Margin)</t>
  </si>
  <si>
    <t>GG EMAIL</t>
  </si>
  <si>
    <t>ian.shotam@programmed.com.au</t>
  </si>
  <si>
    <t>GG PHONE</t>
  </si>
  <si>
    <t>0499 751 187</t>
  </si>
  <si>
    <t>SITE</t>
  </si>
  <si>
    <t>GOLDEN GROVE</t>
  </si>
  <si>
    <t>MANAGERS NAME</t>
  </si>
  <si>
    <t>Ian Shotam</t>
  </si>
  <si>
    <t>DATE - ORDER PLACED</t>
  </si>
  <si>
    <t>DATE - DELIVERY PERTH - FREIGHT LINES, 12-26 RIVERSDALE RD, WELSHPOOL WA 6100</t>
  </si>
  <si>
    <t>DATE - ESTIMATED ARRIVAL SITE</t>
  </si>
  <si>
    <t>PRODUCT</t>
  </si>
  <si>
    <t>SPEND</t>
  </si>
  <si>
    <t>BEEF/LAMB/PORK</t>
  </si>
  <si>
    <t>POULTRY</t>
  </si>
  <si>
    <t>SMALL GOODS</t>
  </si>
  <si>
    <t>SEAFOOD</t>
  </si>
  <si>
    <t>DAIRY &amp; EGGS</t>
  </si>
  <si>
    <t>FROZEN</t>
  </si>
  <si>
    <t>FRUIT AND VEG</t>
  </si>
  <si>
    <t>BEVERAGE</t>
  </si>
  <si>
    <t>DRY GOODS</t>
  </si>
  <si>
    <t>CONSUMABLES</t>
  </si>
  <si>
    <t>WEEKLY SPEND</t>
  </si>
  <si>
    <t>CLEANING CONSUMBLES</t>
  </si>
  <si>
    <t>CHEMICALS</t>
  </si>
  <si>
    <t>RETAIL</t>
  </si>
  <si>
    <t xml:space="preserve">ICE CREAMS </t>
  </si>
  <si>
    <t xml:space="preserve">Classic Meats </t>
  </si>
  <si>
    <r>
      <t>Eoghan Ryan</t>
    </r>
    <r>
      <rPr>
        <sz val="12"/>
        <color rgb="FF414042"/>
        <rFont val="Calibri"/>
        <family val="2"/>
        <scheme val="minor"/>
      </rPr>
      <t xml:space="preserve"> </t>
    </r>
  </si>
  <si>
    <t>Eoghan.Ryan@classicmeats.com.au</t>
  </si>
  <si>
    <t xml:space="preserve">08 6246 7810 </t>
  </si>
  <si>
    <t>Total Food Distributors</t>
  </si>
  <si>
    <t xml:space="preserve">Select Fresh </t>
  </si>
  <si>
    <t>Aven Wachmer</t>
  </si>
  <si>
    <t>aven@selectfresh.com.au</t>
  </si>
  <si>
    <t>9455-4652</t>
  </si>
  <si>
    <t xml:space="preserve">Orders </t>
  </si>
  <si>
    <t>admin@selectfresh.com.au</t>
  </si>
  <si>
    <t>Campbells/Metcash</t>
  </si>
  <si>
    <t>Matthew Siddell</t>
  </si>
  <si>
    <t>matthew.siddell@metcashfg.com</t>
  </si>
  <si>
    <t>0415 533 087</t>
  </si>
  <si>
    <t>LTA</t>
  </si>
  <si>
    <t>Keiran Bain</t>
  </si>
  <si>
    <t>keiran@liquortradersaustralia.com.au</t>
  </si>
  <si>
    <t>0438 510 554</t>
  </si>
  <si>
    <t>SELECT FRESH</t>
  </si>
  <si>
    <t>EMAIL TO</t>
  </si>
  <si>
    <t>ORDER NUMBER</t>
  </si>
  <si>
    <t>FRUIT AND VEGETABLES</t>
  </si>
  <si>
    <t>FRUIT</t>
  </si>
  <si>
    <t>CODE</t>
  </si>
  <si>
    <t>UNIT 
SIZE</t>
  </si>
  <si>
    <t>STOCK ON HAND</t>
  </si>
  <si>
    <t>STOCK IN TRANSIT</t>
  </si>
  <si>
    <t>STOCK ORDERED</t>
  </si>
  <si>
    <t>UNIT PRICE</t>
  </si>
  <si>
    <t>KG</t>
  </si>
  <si>
    <t>PORTION</t>
  </si>
  <si>
    <t>SINWA PRICE 14.09.20</t>
  </si>
  <si>
    <t>SAVINGS</t>
  </si>
  <si>
    <t>Apples Green 12kg Carton</t>
  </si>
  <si>
    <t>APPGR</t>
  </si>
  <si>
    <t>CTN</t>
  </si>
  <si>
    <t>Apples Pink Ladys Carton</t>
  </si>
  <si>
    <t>APPPL</t>
  </si>
  <si>
    <t>Apples Red In Season 12kg Carton</t>
  </si>
  <si>
    <t>APPRR</t>
  </si>
  <si>
    <t>Avocadoes KG</t>
  </si>
  <si>
    <t>AVOK</t>
  </si>
  <si>
    <t>Banana Large Semi Ripe 15kg Carton</t>
  </si>
  <si>
    <t>BANSR</t>
  </si>
  <si>
    <t>Grapefruit Pink KG (IMPORTED)</t>
  </si>
  <si>
    <t>GRAFPK</t>
  </si>
  <si>
    <t xml:space="preserve">Grapes Red 10kg Carton </t>
  </si>
  <si>
    <t>GRARGR</t>
  </si>
  <si>
    <t xml:space="preserve">Grape White 10kg CARTON </t>
  </si>
  <si>
    <t>GRAWS</t>
  </si>
  <si>
    <t>Kiwi Fruit EA (IMPORTED)</t>
  </si>
  <si>
    <t>KIWE</t>
  </si>
  <si>
    <t>Each</t>
  </si>
  <si>
    <t>Lemons KG</t>
  </si>
  <si>
    <t>LEMK</t>
  </si>
  <si>
    <t>Limes KG</t>
  </si>
  <si>
    <t>LIMK</t>
  </si>
  <si>
    <t>Mandarins 10kg Carton (AUS)</t>
  </si>
  <si>
    <t>MANR</t>
  </si>
  <si>
    <t>Melon Watermelon Seedless KG</t>
  </si>
  <si>
    <t>MELWSK</t>
  </si>
  <si>
    <t>Melons Rockmelon 14kg Carton</t>
  </si>
  <si>
    <t>MELRR</t>
  </si>
  <si>
    <t>Melons Honeydew 14kg Carton</t>
  </si>
  <si>
    <t>MELHR</t>
  </si>
  <si>
    <t>Nectarines 10kg CTN (Product of Australia)</t>
  </si>
  <si>
    <t>NECR</t>
  </si>
  <si>
    <t>Oranges Navel 15kg Carton</t>
  </si>
  <si>
    <t>ORANR</t>
  </si>
  <si>
    <t>Passion fruit EA</t>
  </si>
  <si>
    <t>PASE</t>
  </si>
  <si>
    <t>Paw Paw 10kg Carton</t>
  </si>
  <si>
    <t>PAWR</t>
  </si>
  <si>
    <t>Peaches 10kg CTN (Product of Australia</t>
  </si>
  <si>
    <t>PEACR</t>
  </si>
  <si>
    <t>Pears 15kg Carton</t>
  </si>
  <si>
    <t>PEAR</t>
  </si>
  <si>
    <t>Pineapple 10kg Carton</t>
  </si>
  <si>
    <t>PIN10R</t>
  </si>
  <si>
    <t>Pineapple Gold 10kg Carton</t>
  </si>
  <si>
    <t>PINGR</t>
  </si>
  <si>
    <t>Plums 10kg Ctn</t>
  </si>
  <si>
    <t>PLUMR</t>
  </si>
  <si>
    <t>Strawberries Punnet</t>
  </si>
  <si>
    <t>STRSP</t>
  </si>
  <si>
    <t>Punnets</t>
  </si>
  <si>
    <t>VEGETABLES</t>
  </si>
  <si>
    <t>Alfalfa</t>
  </si>
  <si>
    <t>SPRAP</t>
  </si>
  <si>
    <t>Asparagus 5kg Carton</t>
  </si>
  <si>
    <t>ASPR</t>
  </si>
  <si>
    <t>Bean Shoots 1kg Bag</t>
  </si>
  <si>
    <t>BSHK</t>
  </si>
  <si>
    <t>Brussel Sprouts KG</t>
  </si>
  <si>
    <t>BRUK</t>
  </si>
  <si>
    <t>Cabbage EA</t>
  </si>
  <si>
    <t>CABGE</t>
  </si>
  <si>
    <t>Cabbage Red EA</t>
  </si>
  <si>
    <t>CABRE</t>
  </si>
  <si>
    <t>Cabbage Chinese EA</t>
  </si>
  <si>
    <t>CABCE</t>
  </si>
  <si>
    <t>Capsicum Green KG</t>
  </si>
  <si>
    <t>CAPGK</t>
  </si>
  <si>
    <t>Capsicum Red KG</t>
  </si>
  <si>
    <t>CAPRK</t>
  </si>
  <si>
    <t>Capsicum Yellow KG</t>
  </si>
  <si>
    <t>CAPYK</t>
  </si>
  <si>
    <t>Carrots 15kg Carton</t>
  </si>
  <si>
    <t>CARMR</t>
  </si>
  <si>
    <t>Carrots Baby Bunch</t>
  </si>
  <si>
    <t>CARBE</t>
  </si>
  <si>
    <t>Bunch</t>
  </si>
  <si>
    <t>Cauliflower EA</t>
  </si>
  <si>
    <t>CAUE</t>
  </si>
  <si>
    <t>Celery EA</t>
  </si>
  <si>
    <t>CELB</t>
  </si>
  <si>
    <t>Chillies Red KG</t>
  </si>
  <si>
    <t>CHIRK</t>
  </si>
  <si>
    <t>Chillies Green KG</t>
  </si>
  <si>
    <t>CHIGK</t>
  </si>
  <si>
    <t>Chinese Veg Choy Sum Carton (20 Bun)</t>
  </si>
  <si>
    <t>CVCSR</t>
  </si>
  <si>
    <t>Chinese Veg Kai Lan Carton (20 Bun)</t>
  </si>
  <si>
    <t>CVKLR</t>
  </si>
  <si>
    <t>Chinese Veg Bok Choy Carton (20 Bun)</t>
  </si>
  <si>
    <t>CVBCR</t>
  </si>
  <si>
    <t>Chinese Veg Pak Choy Carton (20 Bun)</t>
  </si>
  <si>
    <t>CVPCR</t>
  </si>
  <si>
    <t>Cucumber Burpless EA</t>
  </si>
  <si>
    <t>CUCCE</t>
  </si>
  <si>
    <t>Eggplant 10kg Carton</t>
  </si>
  <si>
    <t>EGGPR</t>
  </si>
  <si>
    <t>Garlic Peeled 5kg Carton</t>
  </si>
  <si>
    <t>GARPR</t>
  </si>
  <si>
    <t>Ginger</t>
  </si>
  <si>
    <t>GINK</t>
  </si>
  <si>
    <t>Leeks EA</t>
  </si>
  <si>
    <t>LEEE</t>
  </si>
  <si>
    <t>Lettuce Iceberg Each</t>
  </si>
  <si>
    <t>LETIE</t>
  </si>
  <si>
    <t>Lettuce Cos Each</t>
  </si>
  <si>
    <t>LETCE</t>
  </si>
  <si>
    <t>Lettuce Mesculin 1kg Carton</t>
  </si>
  <si>
    <t>LETMR</t>
  </si>
  <si>
    <t>Mushrooms KG</t>
  </si>
  <si>
    <t>MUSK</t>
  </si>
  <si>
    <t>Onions Brown 10kg Bag</t>
  </si>
  <si>
    <t>ONIB10R</t>
  </si>
  <si>
    <t>BAG</t>
  </si>
  <si>
    <t>Onions White 10kg Bag</t>
  </si>
  <si>
    <t>ONIW</t>
  </si>
  <si>
    <t>Onions Red 10kg Bag</t>
  </si>
  <si>
    <t>ONIRR</t>
  </si>
  <si>
    <t>Parsnips KG</t>
  </si>
  <si>
    <t>PARK</t>
  </si>
  <si>
    <t>Potatoes Large 10kg Bag</t>
  </si>
  <si>
    <t>POTPR</t>
  </si>
  <si>
    <t>Potatoes Chats 10kg Bag</t>
  </si>
  <si>
    <t>POTCR</t>
  </si>
  <si>
    <t>Potatoes Gourmet 15kg Bag</t>
  </si>
  <si>
    <t>POTGR</t>
  </si>
  <si>
    <t>Potatoes Sweet 15kg Carton</t>
  </si>
  <si>
    <t>SWPGR</t>
  </si>
  <si>
    <t>Pumpkin Butternut KG</t>
  </si>
  <si>
    <t>PUMBK</t>
  </si>
  <si>
    <t>Radish</t>
  </si>
  <si>
    <t>RADE</t>
  </si>
  <si>
    <t>Rhubarb</t>
  </si>
  <si>
    <t>RHUK</t>
  </si>
  <si>
    <t>Snow Peas KG</t>
  </si>
  <si>
    <t>SNOK</t>
  </si>
  <si>
    <t>Spring Onion Bunch</t>
  </si>
  <si>
    <t>SPRB</t>
  </si>
  <si>
    <t>Squash Yellow 5kg Carton</t>
  </si>
  <si>
    <t>SQUYR</t>
  </si>
  <si>
    <t>Swedes KG</t>
  </si>
  <si>
    <t>SWEK</t>
  </si>
  <si>
    <t>Turnips</t>
  </si>
  <si>
    <t>TURK</t>
  </si>
  <si>
    <t>Zucchini EACH</t>
  </si>
  <si>
    <t>ZUCE</t>
  </si>
  <si>
    <t>EACH</t>
  </si>
  <si>
    <t>Tomatoes Medium Semi Ripe 10kg Carton</t>
  </si>
  <si>
    <t>TOMMRR</t>
  </si>
  <si>
    <t>Tomatoes Cherry Tray - 15 Count</t>
  </si>
  <si>
    <t>TOMCR</t>
  </si>
  <si>
    <t>Tray</t>
  </si>
  <si>
    <t>Onion Brown Peeled 10kg Ctn</t>
  </si>
  <si>
    <t>ONIBPER</t>
  </si>
  <si>
    <t>Onion Red Peeled 10kg Ctn</t>
  </si>
  <si>
    <t>ONIRSAR</t>
  </si>
  <si>
    <t>Carrot Peeled 10kg Bag</t>
  </si>
  <si>
    <t>CARP10R</t>
  </si>
  <si>
    <t>HERBS</t>
  </si>
  <si>
    <t xml:space="preserve">SPEND </t>
  </si>
  <si>
    <t>Basil 1kg Carton</t>
  </si>
  <si>
    <t>HBASR</t>
  </si>
  <si>
    <t>Chives</t>
  </si>
  <si>
    <t>HCHI</t>
  </si>
  <si>
    <t>Coriander 1kg Carton</t>
  </si>
  <si>
    <t>HCORR</t>
  </si>
  <si>
    <t>Dill</t>
  </si>
  <si>
    <t>HDIL</t>
  </si>
  <si>
    <t>Pkt</t>
  </si>
  <si>
    <t>Fennel</t>
  </si>
  <si>
    <t>HFEN</t>
  </si>
  <si>
    <t>Lemon Grass</t>
  </si>
  <si>
    <t>HLEM</t>
  </si>
  <si>
    <t>Lime Leaves</t>
  </si>
  <si>
    <t>HLIM</t>
  </si>
  <si>
    <t>Mint</t>
  </si>
  <si>
    <t>HMIN</t>
  </si>
  <si>
    <t>Oregano</t>
  </si>
  <si>
    <t>HORE</t>
  </si>
  <si>
    <t>Parsley Italian</t>
  </si>
  <si>
    <t>HPARI</t>
  </si>
  <si>
    <t>Parsley</t>
  </si>
  <si>
    <t>HPAR</t>
  </si>
  <si>
    <t>Rosemary</t>
  </si>
  <si>
    <t>HROS</t>
  </si>
  <si>
    <t>Sage</t>
  </si>
  <si>
    <t>HSAG</t>
  </si>
  <si>
    <t>Tarragon</t>
  </si>
  <si>
    <t>HTAR</t>
  </si>
  <si>
    <t>Thyme</t>
  </si>
  <si>
    <t>HTHY</t>
  </si>
  <si>
    <t>Watercress</t>
  </si>
  <si>
    <t>HWATP</t>
  </si>
  <si>
    <t>CLASSIC MEATS</t>
  </si>
  <si>
    <t>BEEF_LAMB_PORK_POULTRY</t>
  </si>
  <si>
    <t>BEEF CUT</t>
  </si>
  <si>
    <t xml:space="preserve">BEEF BLADE DICED </t>
  </si>
  <si>
    <t xml:space="preserve">BEEF BLADE WHOLE </t>
  </si>
  <si>
    <t>BEEF BRISKET</t>
  </si>
  <si>
    <t>BEEF CORNED</t>
  </si>
  <si>
    <t>BEEF CUBE ROLL *YP*</t>
  </si>
  <si>
    <t>BEEF CHUCK</t>
  </si>
  <si>
    <t>BEEF EYE ROUND</t>
  </si>
  <si>
    <t>BEEF MINCE 85CL</t>
  </si>
  <si>
    <t>BEEF OSSO BUCCO</t>
  </si>
  <si>
    <t>BEEF OYSTER BLADE</t>
  </si>
  <si>
    <t xml:space="preserve">BEEF RUMP </t>
  </si>
  <si>
    <t>BEEF SAUSAGES BREAKFAST (THICK)</t>
  </si>
  <si>
    <t>BEEF SAUSAGES BBQ (THIN)</t>
  </si>
  <si>
    <t>BEEF SIRLOIN ON THE BONE *GF* HAND CUT</t>
  </si>
  <si>
    <t xml:space="preserve">BEEF SHORT RIBS </t>
  </si>
  <si>
    <t>BEEF STRIPLOIN</t>
  </si>
  <si>
    <t>BEEF STRIPLOIN MSA GRADE</t>
  </si>
  <si>
    <t>BEEF STRIPLOIN *GF* HAND CUT</t>
  </si>
  <si>
    <t xml:space="preserve">BEEF T/BONE </t>
  </si>
  <si>
    <t>BEEF TENDERLOIN *YG*</t>
  </si>
  <si>
    <t>BEEF STRIPS</t>
  </si>
  <si>
    <t>BEEF TOPSIDE</t>
  </si>
  <si>
    <t>BEEF TOPSIDE HAND DICED</t>
  </si>
  <si>
    <t>LAMB CUT</t>
  </si>
  <si>
    <t xml:space="preserve">LAMB BACKSTRAP </t>
  </si>
  <si>
    <t>MUTTON BACKSTRAP</t>
  </si>
  <si>
    <t xml:space="preserve">LAMB DICED </t>
  </si>
  <si>
    <t xml:space="preserve">LAMB FOREQUARTER CHOPS </t>
  </si>
  <si>
    <t xml:space="preserve">LAMB LOIN CHOPS </t>
  </si>
  <si>
    <t>LAMB LEG BONED &amp; ROLLED (2.5KG AVERAGE)</t>
  </si>
  <si>
    <t xml:space="preserve">LAMB MINCE </t>
  </si>
  <si>
    <t>LAMB SHOULDER BONED &amp; ROLLED (3.0KG AVERAGE)</t>
  </si>
  <si>
    <t>LAMB RACK S/FRENCHED 4 RIB</t>
  </si>
  <si>
    <t xml:space="preserve">LAMB RACK C/ON </t>
  </si>
  <si>
    <t xml:space="preserve">LAMB SHANK B/IN </t>
  </si>
  <si>
    <t>LAMB TOPSIDE HAND DICED</t>
  </si>
  <si>
    <t>PORK CUT</t>
  </si>
  <si>
    <t xml:space="preserve">PORK BELLY B/LESS </t>
  </si>
  <si>
    <t>PORK BELLY FINGERS</t>
  </si>
  <si>
    <t>PORK COLLAR BUTT (2KG AVERAGE)</t>
  </si>
  <si>
    <t>PORK DICED</t>
  </si>
  <si>
    <t xml:space="preserve">PORK FILLET </t>
  </si>
  <si>
    <t>PORK LEG BONED &amp; ROLLED (3KG AVERAGE)</t>
  </si>
  <si>
    <t>PORK LEG CORNED BONED &amp; ROLLED (3KG AVERAGE)</t>
  </si>
  <si>
    <t>PORK LOIN BONED &amp; ROLLED (3KG AVERAGE)</t>
  </si>
  <si>
    <t xml:space="preserve">PORK LOIN CHOPS </t>
  </si>
  <si>
    <t xml:space="preserve">PORK MINCE </t>
  </si>
  <si>
    <t xml:space="preserve">PORK RIBS </t>
  </si>
  <si>
    <t xml:space="preserve">PORK SAUSAGE MEAT </t>
  </si>
  <si>
    <t xml:space="preserve">PORK SAUSAGES THICK </t>
  </si>
  <si>
    <t xml:space="preserve">PORK SAUSAGES THIN </t>
  </si>
  <si>
    <t>PORK TOPSIDE HAND DICED</t>
  </si>
  <si>
    <t>POULTRY RAW</t>
  </si>
  <si>
    <t>CHICKEN B/IN PIECES  FRZ (12-15KG)</t>
  </si>
  <si>
    <t>CHICKEN BREAST B/L S/L MV (12-15KG)</t>
  </si>
  <si>
    <t>CHICKEN BREAST SCHNITZEL</t>
  </si>
  <si>
    <t>CHICKEN DICED (5KG-BAG)</t>
  </si>
  <si>
    <t>CHICKEN DRUMMETTES MV/VACX (2KG-BAG)</t>
  </si>
  <si>
    <t>CHICKEN DRUMSTICK VAC FRZ (12-15KG)</t>
  </si>
  <si>
    <t>CHICKEN MARYLAND B/IN S/ON MV/VAC (2KG-BAG)</t>
  </si>
  <si>
    <t>CHICKEN MINCE</t>
  </si>
  <si>
    <t>CHICKEN TENDERLOINS</t>
  </si>
  <si>
    <t>CHICKEN THIGH B/L S/L</t>
  </si>
  <si>
    <t>CHICKEN THIGH B/IN (12-15kg)</t>
  </si>
  <si>
    <t>CHICKEN THIGH SCHNITZEL (120G-5KG CTN)</t>
  </si>
  <si>
    <t>CHICKEN THIGH STRIPS</t>
  </si>
  <si>
    <t xml:space="preserve">CHICKEN SAUSAGE CHIPOLATA </t>
  </si>
  <si>
    <t xml:space="preserve">CHICKEN SAUSAGE </t>
  </si>
  <si>
    <t>CHICKEN WHOLE FRZ # 10-13</t>
  </si>
  <si>
    <t xml:space="preserve">CHICKEN WINGS </t>
  </si>
  <si>
    <t>DUCK WHOLE</t>
  </si>
  <si>
    <t>TURKEY BREAST B&amp;R S/L</t>
  </si>
  <si>
    <t>BIDFOODS</t>
  </si>
  <si>
    <t xml:space="preserve">BRAND </t>
  </si>
  <si>
    <t xml:space="preserve">PKT SIZE </t>
  </si>
  <si>
    <t>UOM</t>
  </si>
  <si>
    <t>CTN SIZE</t>
  </si>
  <si>
    <t>Bacon Middle Rindless Gas Flushed</t>
  </si>
  <si>
    <t>Caterers Choice</t>
  </si>
  <si>
    <t>2.5 Kg</t>
  </si>
  <si>
    <t>Chicken Roll</t>
  </si>
  <si>
    <t>Ingham</t>
  </si>
  <si>
    <t>3 Kg</t>
  </si>
  <si>
    <t>Chipolatas Pork</t>
  </si>
  <si>
    <t>Primo</t>
  </si>
  <si>
    <t>1.5 Kg</t>
  </si>
  <si>
    <t>Chorizo Spanish</t>
  </si>
  <si>
    <t>Hans</t>
  </si>
  <si>
    <t>2 Kg</t>
  </si>
  <si>
    <t>Frankfurts Skinless 10" (big Dog)</t>
  </si>
  <si>
    <t>1.8 Kg</t>
  </si>
  <si>
    <t>Ham Champagne Half B/less (app 4.1kg)</t>
  </si>
  <si>
    <t>Kg</t>
  </si>
  <si>
    <t>Ham Virginian Boneless (app 3.5kg) Double Smoked</t>
  </si>
  <si>
    <t>Hot Dogs All American 190mm 8"</t>
  </si>
  <si>
    <t>Kransky Cheese</t>
  </si>
  <si>
    <t>Don</t>
  </si>
  <si>
    <t>Kransky Chilli Cheese</t>
  </si>
  <si>
    <t>Mortadella (app 4.5kg)</t>
  </si>
  <si>
    <t>481404</t>
  </si>
  <si>
    <t>Melosi</t>
  </si>
  <si>
    <t>4.5 KG</t>
  </si>
  <si>
    <t>Pepperoni Sliced Vac Pack</t>
  </si>
  <si>
    <t>Kr Castlemaine</t>
  </si>
  <si>
    <t>1 Kg</t>
  </si>
  <si>
    <t>Polony Round Full</t>
  </si>
  <si>
    <t>Dorsogna</t>
  </si>
  <si>
    <t>Prosciutto Sliced</t>
  </si>
  <si>
    <t>500 Gr</t>
  </si>
  <si>
    <t>Salami Hungarian Mild Sliced</t>
  </si>
  <si>
    <t>Salami Mild Thinly Sliced</t>
  </si>
  <si>
    <t>Silverside Sliced</t>
  </si>
  <si>
    <t>Strassburg</t>
  </si>
  <si>
    <t xml:space="preserve">BRAND
</t>
  </si>
  <si>
    <t xml:space="preserve">PKT SIZE
</t>
  </si>
  <si>
    <t xml:space="preserve">UOM
</t>
  </si>
  <si>
    <t xml:space="preserve">CTN SIZE 
</t>
  </si>
  <si>
    <t>Hoki S/f Flt S/less 4/6 (115-175gr)</t>
  </si>
  <si>
    <t>Amaltal</t>
  </si>
  <si>
    <t>6.8 KG</t>
  </si>
  <si>
    <t>Sweetlip Flt 100/200 S/less</t>
  </si>
  <si>
    <t>Pacific West</t>
  </si>
  <si>
    <t>5 KG</t>
  </si>
  <si>
    <t xml:space="preserve">Emperor Flt S/less 100/200 </t>
  </si>
  <si>
    <t xml:space="preserve">Barramundi Flt 200/300 S/less </t>
  </si>
  <si>
    <t>Seacrest</t>
  </si>
  <si>
    <t xml:space="preserve">Whiting Crumbed Fillets (msc) </t>
  </si>
  <si>
    <t>Seafrost</t>
  </si>
  <si>
    <t>3 KG</t>
  </si>
  <si>
    <t xml:space="preserve">Squid Tubes U/10 Super Tender </t>
  </si>
  <si>
    <t xml:space="preserve">Marinara Seafood Mix </t>
  </si>
  <si>
    <t>10 KG</t>
  </si>
  <si>
    <t xml:space="preserve">Prawns Wh Ckd 10/15 Xl Black Tiger Australian </t>
  </si>
  <si>
    <t>Pacific Reef Fisheries</t>
  </si>
  <si>
    <t xml:space="preserve">Prawn Peeled &amp; Ckd 100/200 Iqf Vannamei </t>
  </si>
  <si>
    <t xml:space="preserve">Prawn Meat Raw 31/35 Vannamei </t>
  </si>
  <si>
    <t>8 KG</t>
  </si>
  <si>
    <t xml:space="preserve">Mussels In Half Shell Large </t>
  </si>
  <si>
    <t xml:space="preserve">Sea Products </t>
  </si>
  <si>
    <t>12 KG</t>
  </si>
  <si>
    <t>Oysters Pacific Medium Half Shell</t>
  </si>
  <si>
    <t>Kia Ora</t>
  </si>
  <si>
    <t>10 doz</t>
  </si>
  <si>
    <t>Smoked Salmon Sliced Atlantic</t>
  </si>
  <si>
    <t xml:space="preserve">Fish Fingers Crumbed (msc) </t>
  </si>
  <si>
    <t xml:space="preserve">Squid Salt &amp; Pepper China </t>
  </si>
  <si>
    <t>Global Seafood</t>
  </si>
  <si>
    <t xml:space="preserve">Prawn Cutlet Crumbed 16/20 </t>
  </si>
  <si>
    <t xml:space="preserve">Salmon Portions S/less 200gr (app 25/ctn) </t>
  </si>
  <si>
    <t xml:space="preserve">Fish Cakes  </t>
  </si>
  <si>
    <t>2 KG</t>
  </si>
  <si>
    <t>BUTTER &amp; MARGARINE</t>
  </si>
  <si>
    <t>Butter P/c</t>
  </si>
  <si>
    <t>Lurpak</t>
  </si>
  <si>
    <t>100 X 8gr</t>
  </si>
  <si>
    <t>Butter Unsalted</t>
  </si>
  <si>
    <t>Margarine P/c Canola</t>
  </si>
  <si>
    <t>Meadow Lea</t>
  </si>
  <si>
    <t>250 X 10gr</t>
  </si>
  <si>
    <t>Margarine P/c Lactose &amp; Salt Free</t>
  </si>
  <si>
    <t>Margarine P/c Original</t>
  </si>
  <si>
    <t>Margarine Spread Catering</t>
  </si>
  <si>
    <t>10 Kg</t>
  </si>
  <si>
    <t>CHEESE</t>
  </si>
  <si>
    <t>Cheese Blue Danish Wedges</t>
  </si>
  <si>
    <t>Dansk Valg</t>
  </si>
  <si>
    <t>100 Gr</t>
  </si>
  <si>
    <t>Cheese Brie Long Life</t>
  </si>
  <si>
    <t>La Monique</t>
  </si>
  <si>
    <t>125 Gr</t>
  </si>
  <si>
    <t>Cheese Camembert Long Life</t>
  </si>
  <si>
    <t>Cheese Cheddar Smoked</t>
  </si>
  <si>
    <t>Margaret River</t>
  </si>
  <si>
    <t>1.25 Kg</t>
  </si>
  <si>
    <t>Cheese Cream</t>
  </si>
  <si>
    <t>Anchor</t>
  </si>
  <si>
    <t>Cheese Cubes Tasty</t>
  </si>
  <si>
    <t>Cheese Edam (app 3kg)</t>
  </si>
  <si>
    <t>Katelijn</t>
  </si>
  <si>
    <t>Cheese Gouda (app 3kg)</t>
  </si>
  <si>
    <t>Cheese Fetta</t>
  </si>
  <si>
    <t>Borrello</t>
  </si>
  <si>
    <t>Cheese Goats French Chevre</t>
  </si>
  <si>
    <t>1 KG</t>
  </si>
  <si>
    <t>Cheese Haloumi Block Cyprus</t>
  </si>
  <si>
    <t>Kalos</t>
  </si>
  <si>
    <t>Cheese Shredded Mexican Blend</t>
  </si>
  <si>
    <t>Las Tapas</t>
  </si>
  <si>
    <t>Cheese Mozzarella Shredded</t>
  </si>
  <si>
    <t>Cheese Parmesan Shredded</t>
  </si>
  <si>
    <t>Alfinas</t>
  </si>
  <si>
    <t>Cheese Ricotta</t>
  </si>
  <si>
    <t>Perfect</t>
  </si>
  <si>
    <t>EA</t>
  </si>
  <si>
    <t>Cheese Shredded Tasty Premium</t>
  </si>
  <si>
    <t>Cheese Slices Natural Tasty 96's (coon/cheer)</t>
  </si>
  <si>
    <t>Cheer (coon)</t>
  </si>
  <si>
    <t xml:space="preserve">Cheese Slices Swiss </t>
  </si>
  <si>
    <t>Mainland</t>
  </si>
  <si>
    <t>Cheese Slices Tasty 90's</t>
  </si>
  <si>
    <t>Cheese Smoked Dutch App 2.7kg Ea (app 11.6kg Ctn)</t>
  </si>
  <si>
    <t>Frico</t>
  </si>
  <si>
    <t>2.4 KG</t>
  </si>
  <si>
    <t>Cream Culinary (cooking)</t>
  </si>
  <si>
    <t>1 Lt</t>
  </si>
  <si>
    <t>Dip Baba Ghanoush</t>
  </si>
  <si>
    <t>Wombat Valley</t>
  </si>
  <si>
    <t>Dip Beetroot &amp; Fetta</t>
  </si>
  <si>
    <t xml:space="preserve">Dip Hommus Beetroot </t>
  </si>
  <si>
    <t>Dip Hommus</t>
  </si>
  <si>
    <t>Black Swan</t>
  </si>
  <si>
    <t>Pesto Basil Gluten Free (fresh)</t>
  </si>
  <si>
    <t>Casa De Mare</t>
  </si>
  <si>
    <t>EGGS</t>
  </si>
  <si>
    <t>Eggs Large Bulk (180 Eggs) 50-59gr Filler</t>
  </si>
  <si>
    <t>15 Doz</t>
  </si>
  <si>
    <t>UHT MILK- cream</t>
  </si>
  <si>
    <t>Milk Uht Full Cream</t>
  </si>
  <si>
    <t>12 X 1 Lt</t>
  </si>
  <si>
    <t>Milk Uht Skim</t>
  </si>
  <si>
    <t>Milk Almond Uht So Good</t>
  </si>
  <si>
    <t>So Good</t>
  </si>
  <si>
    <t>Ea 1 Lt</t>
  </si>
  <si>
    <t>Milk Soya  So Good</t>
  </si>
  <si>
    <t>Milk Uht Full Cream Lactose Free</t>
  </si>
  <si>
    <t>Milk Uht Low Fat Lactose Free</t>
  </si>
  <si>
    <t>Cream Whipped Aerosol</t>
  </si>
  <si>
    <t>Emborg</t>
  </si>
  <si>
    <t>Coconut Cream Tetra</t>
  </si>
  <si>
    <t>Garden Supreme</t>
  </si>
  <si>
    <t xml:space="preserve">BROWNES DAIRY </t>
  </si>
  <si>
    <t>MILK_CREAM_YOGHURT</t>
  </si>
  <si>
    <t>DAIRY TUBES FOR 22.7L</t>
  </si>
  <si>
    <t>BROWNES</t>
  </si>
  <si>
    <t>2 UNITS</t>
  </si>
  <si>
    <t>BRN MILK REG BIB 10L WHITE CAP</t>
  </si>
  <si>
    <t>10 LTS</t>
  </si>
  <si>
    <t>MILK HI LO BROWNES</t>
  </si>
  <si>
    <t>2L</t>
  </si>
  <si>
    <t>MILK FULL CREAM BROWNES</t>
  </si>
  <si>
    <t>CREAM THICKENED BROWNES</t>
  </si>
  <si>
    <t>5L</t>
  </si>
  <si>
    <t xml:space="preserve">LIGHT SOUR CREAM 1KG </t>
  </si>
  <si>
    <t>1L</t>
  </si>
  <si>
    <t>DELUXE CREAMY VANILLA</t>
  </si>
  <si>
    <t>5KG</t>
  </si>
  <si>
    <t>NATURAL TRADITIONAL</t>
  </si>
  <si>
    <t>NATURAL PEACHES &amp; CREAM</t>
  </si>
  <si>
    <t>NATURAL MIXED BERRIES</t>
  </si>
  <si>
    <t>LOW FAT STRAWBERRY</t>
  </si>
  <si>
    <t>LOW FAT NATURAL</t>
  </si>
  <si>
    <t xml:space="preserve">NATURAL GREEK </t>
  </si>
  <si>
    <t>LACTOSE FREE MANGO</t>
  </si>
  <si>
    <t>BREAD AND BAKERY</t>
  </si>
  <si>
    <t xml:space="preserve">CTN SIZE
</t>
  </si>
  <si>
    <t>Bread Baguette Parisienne White P/b</t>
  </si>
  <si>
    <t>Bakers</t>
  </si>
  <si>
    <t>Bread Naan Plain</t>
  </si>
  <si>
    <t>Mission Foods</t>
  </si>
  <si>
    <t>Bread Pita Pockets Plain</t>
  </si>
  <si>
    <t>Bread Rolls Dinner Multigrain F/b</t>
  </si>
  <si>
    <t>Speedibake</t>
  </si>
  <si>
    <t>Bread Rolls Dinner White (9570)</t>
  </si>
  <si>
    <t>Bread Rolls Hot Dog 7" (9611)</t>
  </si>
  <si>
    <t>Tip Top</t>
  </si>
  <si>
    <t xml:space="preserve">Bread Rolls Multigrain Jumbo </t>
  </si>
  <si>
    <t>Suprima Bakeries</t>
  </si>
  <si>
    <t>Bread Rolls Round Jumbo White</t>
  </si>
  <si>
    <t>Bread Rolls Round Wholemeal Jumbo</t>
  </si>
  <si>
    <t>Bread Rolls Turkish Plain P/b</t>
  </si>
  <si>
    <t>Quality Bakers Artisan</t>
  </si>
  <si>
    <t>Bread Rolls Turkish Round</t>
  </si>
  <si>
    <t>Bread Vienna White</t>
  </si>
  <si>
    <t>Bread White Gluten Free Abbotts</t>
  </si>
  <si>
    <t>Bread Raisin Toast Frozen</t>
  </si>
  <si>
    <t>Mighty Soft</t>
  </si>
  <si>
    <t>Bread Multigrain Frozen</t>
  </si>
  <si>
    <t>Bread White Toast Frozen</t>
  </si>
  <si>
    <t>Bread Wholemeal Frozen</t>
  </si>
  <si>
    <t>Buns Lotus Leaf Bao Large</t>
  </si>
  <si>
    <t>Hakka</t>
  </si>
  <si>
    <t>Cookies Anzac *</t>
  </si>
  <si>
    <t>Bakels</t>
  </si>
  <si>
    <t>Cookies Choc Chip 5kg *</t>
  </si>
  <si>
    <t>Cookies Double Choc 5kg *</t>
  </si>
  <si>
    <t>Croissants Jumbo Preproofed *</t>
  </si>
  <si>
    <t>Pastryhouse</t>
  </si>
  <si>
    <t>Croissants Pain Chocolate Rtb *</t>
  </si>
  <si>
    <t>Schulstad</t>
  </si>
  <si>
    <t>Crumpets Round Plain</t>
  </si>
  <si>
    <t>Golden</t>
  </si>
  <si>
    <t>Muffins English Traditional</t>
  </si>
  <si>
    <t>Danish 4 Variety  *</t>
  </si>
  <si>
    <t>Pavlova Slab Vanilla  *</t>
  </si>
  <si>
    <t>The Country Chef Baker Co</t>
  </si>
  <si>
    <t>Pastry Fillo</t>
  </si>
  <si>
    <t>Antoniou</t>
  </si>
  <si>
    <t>Pastry Puff Roll Dispenser #31248</t>
  </si>
  <si>
    <t>Pampas</t>
  </si>
  <si>
    <t>Pizza Bases Slab</t>
  </si>
  <si>
    <t>Scrolls Cinnamon Large *</t>
  </si>
  <si>
    <t>Tart Shells 102mm 4" Unbaked Sweet</t>
  </si>
  <si>
    <t>Tart Shells 70mm 2.75" Deep Unbaked</t>
  </si>
  <si>
    <t>Tartlet Shell Savoury Square 50mm</t>
  </si>
  <si>
    <t>Readybake</t>
  </si>
  <si>
    <t>Tortillas Flour 10"</t>
  </si>
  <si>
    <t>Eggs Scrambled Mix</t>
  </si>
  <si>
    <t>Sunnyqueen</t>
  </si>
  <si>
    <t xml:space="preserve">Egg pulp Whole Frozen Sunny Queen </t>
  </si>
  <si>
    <t>10kg</t>
  </si>
  <si>
    <t>Blackberries Iqf Caterers Choice</t>
  </si>
  <si>
    <t>Berries Mixed Iqf</t>
  </si>
  <si>
    <t>Raspberries Iqf Caterers Choice</t>
  </si>
  <si>
    <t>Strawberries Iqf Caterers Choice</t>
  </si>
  <si>
    <t>PASTA</t>
  </si>
  <si>
    <t>Pasta Cannelloni Spinach &amp; Ricotta *</t>
  </si>
  <si>
    <t>Seven Star</t>
  </si>
  <si>
    <t>2.1 Kg</t>
  </si>
  <si>
    <t>Pasta Gnocchi Potato</t>
  </si>
  <si>
    <t>Pastabella</t>
  </si>
  <si>
    <t>Pasta Lasagne Beef Premium *</t>
  </si>
  <si>
    <t>2.6 Kg</t>
  </si>
  <si>
    <t>Pasta Lasagne Chicken &amp; Mushroom *</t>
  </si>
  <si>
    <t>Pasta Lasagne Vegetable *</t>
  </si>
  <si>
    <t>Pasta Ravioli Beef</t>
  </si>
  <si>
    <t>Pasta Tortellini Chicken</t>
  </si>
  <si>
    <t>Pasta Ravioli Pumpkin</t>
  </si>
  <si>
    <t>Pasta Ravioli Spinach &amp; Ricotta</t>
  </si>
  <si>
    <t>Pasta Tortellini Beef</t>
  </si>
  <si>
    <t xml:space="preserve"> </t>
  </si>
  <si>
    <t>Burger Patties Beef Par Cooked</t>
  </si>
  <si>
    <t>Angel Bay</t>
  </si>
  <si>
    <t>60 X 120gr</t>
  </si>
  <si>
    <t>Burger Patties Vegetable</t>
  </si>
  <si>
    <t>I &amp; J</t>
  </si>
  <si>
    <t>36 X 113.5gr</t>
  </si>
  <si>
    <t>Chicken &amp; Garlic Balls</t>
  </si>
  <si>
    <t>Chiko</t>
  </si>
  <si>
    <t>Chicken Tenders Sweet Chilli (18 X 55gr App)</t>
  </si>
  <si>
    <t>Steggles</t>
  </si>
  <si>
    <t>Chicken Wing Dings Devil 66gr Fully Cooked</t>
  </si>
  <si>
    <t>Falafel Balls Mini 15gr Gluten Free</t>
  </si>
  <si>
    <t>Guacamole</t>
  </si>
  <si>
    <t>Simpson</t>
  </si>
  <si>
    <t>Dim Sim ChickenLarge</t>
  </si>
  <si>
    <t>48 X 110gr</t>
  </si>
  <si>
    <t>Dim Sims Mini Chicken</t>
  </si>
  <si>
    <t>53 X 19gr</t>
  </si>
  <si>
    <t>Dim Sims Mini Beef</t>
  </si>
  <si>
    <t>Noodles Singapore</t>
  </si>
  <si>
    <t>Samos Cocktail</t>
  </si>
  <si>
    <t>96 x 15gr</t>
  </si>
  <si>
    <t>Spring Rolls Cocktail</t>
  </si>
  <si>
    <t>PIES</t>
  </si>
  <si>
    <t>Pasties Vegetable *</t>
  </si>
  <si>
    <t>Herbert Adams</t>
  </si>
  <si>
    <t>12 X 175gr</t>
  </si>
  <si>
    <t>Pasties Classic *</t>
  </si>
  <si>
    <t>Four N 20</t>
  </si>
  <si>
    <t>Rolls Spinach &amp; Ricotta Hib *</t>
  </si>
  <si>
    <t>Mrs Macs</t>
  </si>
  <si>
    <t>16 X 140gr</t>
  </si>
  <si>
    <t>Sausage Rolls King Size *</t>
  </si>
  <si>
    <t>24 X 180gr</t>
  </si>
  <si>
    <t>Pies Traveller Classic Meat *</t>
  </si>
  <si>
    <t>24 X 160gr</t>
  </si>
  <si>
    <t>Pies Beef Halal *</t>
  </si>
  <si>
    <t>Pies Chunky Angus Beef *</t>
  </si>
  <si>
    <t>Pies Meat *</t>
  </si>
  <si>
    <t>24 X 175gr</t>
  </si>
  <si>
    <t>Pies Beef &amp; Mushroom Hib *</t>
  </si>
  <si>
    <t>Pies Chicken &amp; Vegetable Hib *</t>
  </si>
  <si>
    <t>Pies Pepper Steak Hib *</t>
  </si>
  <si>
    <t>Pies Potato Top Beef Hib *</t>
  </si>
  <si>
    <t>12 X 190gr</t>
  </si>
  <si>
    <t>Sausage Roll Cocktail</t>
  </si>
  <si>
    <t>PATTIES</t>
  </si>
  <si>
    <t>72 x 37.5gr</t>
  </si>
  <si>
    <t>PIES PARTY PATTIES</t>
  </si>
  <si>
    <t>72X46GR</t>
  </si>
  <si>
    <t>Onions Chopped</t>
  </si>
  <si>
    <t>Edgell</t>
  </si>
  <si>
    <t>Beans Butter Yellow Cross Cut</t>
  </si>
  <si>
    <t>Beans Whole Baby</t>
  </si>
  <si>
    <t>Broccoli Australian Iqf</t>
  </si>
  <si>
    <t>Brussel Sprouts</t>
  </si>
  <si>
    <t>Carrots Baby Whole</t>
  </si>
  <si>
    <t>Carrots Bias Cut</t>
  </si>
  <si>
    <t>Carrots Diced</t>
  </si>
  <si>
    <t>Carrots Rings</t>
  </si>
  <si>
    <t>Cauliflower</t>
  </si>
  <si>
    <t>Corn Cobs Super Sweet 50's</t>
  </si>
  <si>
    <t>4.5 Kg</t>
  </si>
  <si>
    <t>Corn Kernels</t>
  </si>
  <si>
    <t>Peas</t>
  </si>
  <si>
    <t>Peas Corn &amp; Capsicum</t>
  </si>
  <si>
    <t>Vegetables Melange Mix</t>
  </si>
  <si>
    <t>Vegetables Mixed</t>
  </si>
  <si>
    <t>Vegetables Panache Mix</t>
  </si>
  <si>
    <t xml:space="preserve">ICE CREAM </t>
  </si>
  <si>
    <t xml:space="preserve">ICE CREAM GOLD LABEL MINT CHOC </t>
  </si>
  <si>
    <t>EVEREST</t>
  </si>
  <si>
    <t>10 Lt</t>
  </si>
  <si>
    <t xml:space="preserve">ICE CREAM GOLD LABEL VANILLA </t>
  </si>
  <si>
    <t xml:space="preserve">ICE CREAM GOLD LABEL VANILLA REDUCED FAT </t>
  </si>
  <si>
    <t xml:space="preserve">ICE CREAM VANILLA </t>
  </si>
  <si>
    <t>BULLA</t>
  </si>
  <si>
    <t>ICE CREAM BANANA  </t>
  </si>
  <si>
    <t>COUNTRY STYLE</t>
  </si>
  <si>
    <t xml:space="preserve">ICE CREAM MANGO </t>
  </si>
  <si>
    <t>11 Lt</t>
  </si>
  <si>
    <t>VEGETABLES POTATO</t>
  </si>
  <si>
    <t>Chips 7mm Shoestring Fries</t>
  </si>
  <si>
    <t>Mydibel</t>
  </si>
  <si>
    <t>4 X 2.5kg</t>
  </si>
  <si>
    <t>Potato Gems</t>
  </si>
  <si>
    <t>Potato Mash</t>
  </si>
  <si>
    <t>Farm Frites</t>
  </si>
  <si>
    <t>Potato Wedges Seasoned</t>
  </si>
  <si>
    <t>Hash Browns Triangles Chunky</t>
  </si>
  <si>
    <t>Chips 11mm Fries</t>
  </si>
  <si>
    <t>4 X 2.5 Kg</t>
  </si>
  <si>
    <t>CHOCOLATE_COFFEE_TEA</t>
  </si>
  <si>
    <t>BRAND</t>
  </si>
  <si>
    <t>PKT SIZE</t>
  </si>
  <si>
    <t>Chocolate Drinking Cafe Blend</t>
  </si>
  <si>
    <t>Cadbury</t>
  </si>
  <si>
    <t>1.75 Kg</t>
  </si>
  <si>
    <t>Cocoa Powder Caterers Choice</t>
  </si>
  <si>
    <t xml:space="preserve"> Caterers Choice</t>
  </si>
  <si>
    <t>Pkt 1 Kg</t>
  </si>
  <si>
    <t>Coffee Beans Italian Blend</t>
  </si>
  <si>
    <t>Aurora</t>
  </si>
  <si>
    <t>Coffee Granulated Foodservice Blend Nescafe</t>
  </si>
  <si>
    <t>Nescafe</t>
  </si>
  <si>
    <t>Coffee P/c Blend 43 Instant Sachets</t>
  </si>
  <si>
    <t>1000 X 1.7gr</t>
  </si>
  <si>
    <t>Coffee Instant Decaffeinated Nescafe</t>
  </si>
  <si>
    <t xml:space="preserve"> 375 Gr</t>
  </si>
  <si>
    <t>Coffee P/c Decaffeinated Sachets</t>
  </si>
  <si>
    <t>280 X 1.7gr</t>
  </si>
  <si>
    <t>MILO (1.9KG)</t>
  </si>
  <si>
    <t xml:space="preserve"> 1.9 Kg</t>
  </si>
  <si>
    <t>Milo P/c Sachets</t>
  </si>
  <si>
    <t>100 X 20gr</t>
  </si>
  <si>
    <t>Tea Bags Env Chamomile Sir Thomas 62052263 Lipton</t>
  </si>
  <si>
    <t>Lipton</t>
  </si>
  <si>
    <t>Pkt 25's</t>
  </si>
  <si>
    <t>Tea Bags Env Earl Grey Sir Thomas 62052262 Lipton</t>
  </si>
  <si>
    <t>Tea Bags Env English Breakfast Sir Thomas 62052260 Lipton</t>
  </si>
  <si>
    <t>Tea Bags Env Green Sir Thomas 62052269 Lipton</t>
  </si>
  <si>
    <t>Tea Bags Env Jasmine Green Sir Thomas 62052267 Lipton</t>
  </si>
  <si>
    <t>Tea Bags Env Lemon Sir Thomas 62052272 Lipton</t>
  </si>
  <si>
    <t>Tea Bags Env Peppermint Sir Thomas 62052264 Lipton</t>
  </si>
  <si>
    <t>Tea Bags Env Yellow Label 67821666 Lipton</t>
  </si>
  <si>
    <t>Ctn 1200's</t>
  </si>
  <si>
    <t>CORDIALS_JUICE</t>
  </si>
  <si>
    <t>Cordial Diet Lemon Edlyn</t>
  </si>
  <si>
    <t>Edlyn</t>
  </si>
  <si>
    <t>Btl 2 Lt</t>
  </si>
  <si>
    <t>Cordial Diet Orange Edlyn</t>
  </si>
  <si>
    <t>Cordial Diet Tropical Edlyn</t>
  </si>
  <si>
    <t>Cordial Orange Edlyn</t>
  </si>
  <si>
    <t>Cordial Raspberry Edlyn</t>
  </si>
  <si>
    <t>Cordial Lime Concentrate Ultra Smart Edlyn</t>
  </si>
  <si>
    <t>Juice Apple Long Life 100% Juicee Crush</t>
  </si>
  <si>
    <t>Juicee Crush</t>
  </si>
  <si>
    <t>Juice Orange Long Life 100% Juicee Crush</t>
  </si>
  <si>
    <t>Juice Pineapple 100% Nas Pet Golden Circle</t>
  </si>
  <si>
    <t>Golden Circle</t>
  </si>
  <si>
    <t>Juice 10 Fruits 99% Juicee Crush</t>
  </si>
  <si>
    <t>Juice Apple &amp; Mango</t>
  </si>
  <si>
    <t>Juice Tomato 100% Ctop Tetra</t>
  </si>
  <si>
    <t>Just Juice</t>
  </si>
  <si>
    <t>Btl 1 Lt</t>
  </si>
  <si>
    <t>Juice Lemon</t>
  </si>
  <si>
    <t xml:space="preserve">Juice Lime 100% </t>
  </si>
  <si>
    <t>BREAKFAST BEANS AND SPAGHETTI</t>
  </si>
  <si>
    <t xml:space="preserve">BAKED BEANS </t>
  </si>
  <si>
    <t>Riviana</t>
  </si>
  <si>
    <t>2.7 Kg</t>
  </si>
  <si>
    <t>Spaghetti In Tomato &amp; Cheese Sauce</t>
  </si>
  <si>
    <t>Heinz</t>
  </si>
  <si>
    <t>2.95 Kg</t>
  </si>
  <si>
    <t>BAKING</t>
  </si>
  <si>
    <t>Baking Powder Anchor</t>
  </si>
  <si>
    <t>Tin 125 Gr</t>
  </si>
  <si>
    <t>Bicarbonate Soda  Krio Krush</t>
  </si>
  <si>
    <t>Krio Krush</t>
  </si>
  <si>
    <t>Tin 1 Kg</t>
  </si>
  <si>
    <t>Coconut Desiccated Fine Culpepers</t>
  </si>
  <si>
    <t>Cupepers</t>
  </si>
  <si>
    <t>Coconut Shredded (longthread) Caterers Choice</t>
  </si>
  <si>
    <t>Caters Choice</t>
  </si>
  <si>
    <t>Cous Cous Caterers Choice</t>
  </si>
  <si>
    <t>Gelatine Davis</t>
  </si>
  <si>
    <t>Davis</t>
  </si>
  <si>
    <t>Pkt 500 Gr</t>
  </si>
  <si>
    <t>Polenta Caterers Choice</t>
  </si>
  <si>
    <t>Sago (tapioca) Caterers Choice</t>
  </si>
  <si>
    <t>Yeast Dry Mauripan Mauri</t>
  </si>
  <si>
    <t>BISCUITS</t>
  </si>
  <si>
    <t>Biscuits P/c 101 Shortbread Cream / Scotch Finger *</t>
  </si>
  <si>
    <t>Arnotts</t>
  </si>
  <si>
    <t>150 X 35gr</t>
  </si>
  <si>
    <t>Biscuits P/c 188 Milk Coffee / Nice *</t>
  </si>
  <si>
    <t>150's</t>
  </si>
  <si>
    <t>Biscuits P/c 404 Choc Chip / Scotch Finger *</t>
  </si>
  <si>
    <t>140 X 30gr</t>
  </si>
  <si>
    <t>Biscuits P/c Jamz Lemon *</t>
  </si>
  <si>
    <t>Mac's</t>
  </si>
  <si>
    <t>Biscuits P/c Raspberry Jamz *</t>
  </si>
  <si>
    <t>Biscuits P/c Fruit Oat &amp; Cinnamon *</t>
  </si>
  <si>
    <t>eatwell</t>
  </si>
  <si>
    <t>100's</t>
  </si>
  <si>
    <t>Biscuits P/c Shortbread Choc Chip Fancy *</t>
  </si>
  <si>
    <t>Biscuits P/c Twin Butter Shortbread Gluten Free *</t>
  </si>
  <si>
    <t>Cake P/c Fruit Slice *</t>
  </si>
  <si>
    <t>Menumaster</t>
  </si>
  <si>
    <t>120 X 40gr</t>
  </si>
  <si>
    <t>Biscuits Country Cheese Arnotts</t>
  </si>
  <si>
    <t>Ctn 20 X 250 Gr</t>
  </si>
  <si>
    <t>Biscuits P/c 102 Jatz Arnotts</t>
  </si>
  <si>
    <t>Ctn 150's</t>
  </si>
  <si>
    <t>Biscuits Salada Arnotts</t>
  </si>
  <si>
    <t>Ctn 18 X 250 Gr</t>
  </si>
  <si>
    <t>Biscuits Sao Arnotts</t>
  </si>
  <si>
    <t>Pkt 250 Gr</t>
  </si>
  <si>
    <t>Biscuits Cheese Board Assortment Arnotts</t>
  </si>
  <si>
    <t>Ctn 12 X 250 Gr</t>
  </si>
  <si>
    <t>Biscuits Sesame Wheat Arnotts</t>
  </si>
  <si>
    <t>Biscuits Original Rye Ryvita</t>
  </si>
  <si>
    <t>Ctn 10 X 250 Gr</t>
  </si>
  <si>
    <t>Rice Crackers Original Gluten Free Fantastic</t>
  </si>
  <si>
    <t>fantastic</t>
  </si>
  <si>
    <t>Ctn 12 X 100 Gr</t>
  </si>
  <si>
    <t>Biscuits Water Crackers *</t>
  </si>
  <si>
    <t>20 X 125 Gr</t>
  </si>
  <si>
    <t>Ice Cream Cones Waffle Natural B Altimate</t>
  </si>
  <si>
    <t>Altimate</t>
  </si>
  <si>
    <t>Ctn 312's</t>
  </si>
  <si>
    <t>BREADCRUMBS</t>
  </si>
  <si>
    <t>Breadcrumbs Panko Japanese White</t>
  </si>
  <si>
    <t>Breadcrumbs Fine Caterers Choice</t>
  </si>
  <si>
    <t xml:space="preserve"> 10 Kg</t>
  </si>
  <si>
    <t>CEREALS</t>
  </si>
  <si>
    <t>All Bran Kater-6-pak Kelloggs</t>
  </si>
  <si>
    <t>Kelloggs</t>
  </si>
  <si>
    <t>Ctn 6 Kg</t>
  </si>
  <si>
    <t>Coco Pops Kater-6-pak Kelloggs</t>
  </si>
  <si>
    <t>Cornflakes Kater-6-pak Kelloggs</t>
  </si>
  <si>
    <t>Just Right Kater-6-pak Kelloggs</t>
  </si>
  <si>
    <t>Muesli Toasted Classic Trumps</t>
  </si>
  <si>
    <t>Trumps</t>
  </si>
  <si>
    <t>Pkt 1.5 Kg</t>
  </si>
  <si>
    <t>Muesli Natural Swiss Style Uncle Toby</t>
  </si>
  <si>
    <t>Uncle Tobys</t>
  </si>
  <si>
    <t>Nutri Grain Kater-6-pak</t>
  </si>
  <si>
    <t>Oats Rolled Caterers Choice</t>
  </si>
  <si>
    <t>Bag 10 Kg</t>
  </si>
  <si>
    <t>Rice Bubbles Kater-6-pak Kelloggs</t>
  </si>
  <si>
    <t>Special K Kater-6-pak Kelloggs</t>
  </si>
  <si>
    <t>Sustain Kater-6-pak Kelloggs</t>
  </si>
  <si>
    <t>Sultana Bran Kater-6-pak Kelloggs</t>
  </si>
  <si>
    <t>Weet-bix Catering Sanitarium</t>
  </si>
  <si>
    <t>Sanitarium</t>
  </si>
  <si>
    <t>Pkt 1.12 Kg</t>
  </si>
  <si>
    <t>CAKE AND PASTRY MIX</t>
  </si>
  <si>
    <t>Biscuit Crumbs All Purpose Gumnut</t>
  </si>
  <si>
    <t>Gumnut</t>
  </si>
  <si>
    <t>Ctn 12.5 Kg</t>
  </si>
  <si>
    <t>Donut Cake Mix  Allied Pinnacle</t>
  </si>
  <si>
    <t>Allied Pinnacle</t>
  </si>
  <si>
    <t>Cake Mix Carrot Pinnacle</t>
  </si>
  <si>
    <t>Bag 15 Kg</t>
  </si>
  <si>
    <t>Sponge Mix Super Plain Allied Pinnacle</t>
  </si>
  <si>
    <t>Cake Mix All In One Mud Allied Pinnacle</t>
  </si>
  <si>
    <t>Sponge Mix Super Chocolate Allied Pinnacle</t>
  </si>
  <si>
    <t>Sponge Mix Swiss Roll Bakels</t>
  </si>
  <si>
    <t>Muffin Mix Yellow Allied Pinnacle</t>
  </si>
  <si>
    <t>Scone Mix With Buttermilk Allied Pinnacle</t>
  </si>
  <si>
    <t>Cake Mix Cheesecake Pettina Bakels</t>
  </si>
  <si>
    <t>Slice Mix Hedgehog Chocolate Bakels</t>
  </si>
  <si>
    <t>Cake Mix Sticky Date</t>
  </si>
  <si>
    <t>Cake Mix Red Velvet Bakels</t>
  </si>
  <si>
    <t>Cake Mix Utility Allied Pinnacle</t>
  </si>
  <si>
    <t>Chocolate Chocettes Dark Bits Nestle</t>
  </si>
  <si>
    <t>Nestle</t>
  </si>
  <si>
    <t>Ctn 2 X 2.5kg</t>
  </si>
  <si>
    <t>Chocolate Buttons Dark Tuscany Compound Cadbury</t>
  </si>
  <si>
    <t>Ctn 5 Kg</t>
  </si>
  <si>
    <t>Chocolate Buttons Milk Sienna Compound Cadbury</t>
  </si>
  <si>
    <t>Chocolate Buttons White Snowcap Compound Nestle</t>
  </si>
  <si>
    <t>Pettina Choux Paste Mix</t>
  </si>
  <si>
    <t>15 Kg</t>
  </si>
  <si>
    <t>DESSERT MIXES</t>
  </si>
  <si>
    <t>Custard Powder Maize Gluten Free Edlyn</t>
  </si>
  <si>
    <t>Bag 5 Kg</t>
  </si>
  <si>
    <t>Custard Mix No Bake Egg Nestle</t>
  </si>
  <si>
    <t>Tub 2 Kg</t>
  </si>
  <si>
    <t>TUB</t>
  </si>
  <si>
    <t>Custilla Eoi</t>
  </si>
  <si>
    <t>EOI</t>
  </si>
  <si>
    <t>Ctn 15 Kg</t>
  </si>
  <si>
    <t>Dessert Mix Creme Brulee Nestle</t>
  </si>
  <si>
    <t>Mousse Mix Caramel Nestle</t>
  </si>
  <si>
    <t>Pail 1.9 Kg</t>
  </si>
  <si>
    <t>PAIL</t>
  </si>
  <si>
    <t>Mousse Mix Chocolate Nestle</t>
  </si>
  <si>
    <t>Mousse Mix Citrus Nestle</t>
  </si>
  <si>
    <t>Mousse Mix French Vanilla Nestle</t>
  </si>
  <si>
    <t>Pail 1.8 Kg</t>
  </si>
  <si>
    <t>Mousse Mix Mango Nestle</t>
  </si>
  <si>
    <t>Mousse Mix Mixed Berry Nestle</t>
  </si>
  <si>
    <t>Mousse Mix Strawberry Nestle</t>
  </si>
  <si>
    <t>DESSERT TOPPINGS AND FLAVOURINGS cones</t>
  </si>
  <si>
    <t>Sprinkles Nonpareils Fresh Food Indust</t>
  </si>
  <si>
    <t xml:space="preserve"> Fresh Food Indust</t>
  </si>
  <si>
    <t>Hundreds &amp; Thousands  Masterfoods</t>
  </si>
  <si>
    <t>Masterfoods</t>
  </si>
  <si>
    <t>Jar 925 Gr</t>
  </si>
  <si>
    <t>Colouring Pillar Box Red</t>
  </si>
  <si>
    <t>Bingo</t>
  </si>
  <si>
    <t>Btl</t>
  </si>
  <si>
    <t>Colouring Egg Yellow Bingo</t>
  </si>
  <si>
    <t>Essence Vanilla Imitation Anchor</t>
  </si>
  <si>
    <t>Essence Lemon Bingo</t>
  </si>
  <si>
    <t>Btl 500 Ml</t>
  </si>
  <si>
    <t>Essence Parisian Bingo</t>
  </si>
  <si>
    <t>Pie Filling Apple &amp; Raspberry Bakers</t>
  </si>
  <si>
    <t>Pail</t>
  </si>
  <si>
    <t xml:space="preserve">Pie Filling Strawberry </t>
  </si>
  <si>
    <t>6KG</t>
  </si>
  <si>
    <t>Marshmallows White Pascall</t>
  </si>
  <si>
    <t>Pascal</t>
  </si>
  <si>
    <t>Ctn</t>
  </si>
  <si>
    <t xml:space="preserve">Topping Blue Heaven </t>
  </si>
  <si>
    <t>Btl 3 Lt</t>
  </si>
  <si>
    <t>Topping Honeycomb Edlyn</t>
  </si>
  <si>
    <t>Topping Caramel Edlyn</t>
  </si>
  <si>
    <t>Topping Chocolate Edlyn</t>
  </si>
  <si>
    <t>Topping Spearmint Edlyn</t>
  </si>
  <si>
    <t>Topping Strawberry Edlyn</t>
  </si>
  <si>
    <t>Topping Vanilla Edlyn</t>
  </si>
  <si>
    <t>FISH CANNED</t>
  </si>
  <si>
    <t>Tuna Chunks Foil Pouch In Spring Water Fad Free</t>
  </si>
  <si>
    <t>Tuna Chunks In Brine Riviana</t>
  </si>
  <si>
    <t>Brine Riviana</t>
  </si>
  <si>
    <t>Can 1.87 Kg</t>
  </si>
  <si>
    <t>Salmon Pink Caterers Choice</t>
  </si>
  <si>
    <t>Can 415 Gr</t>
  </si>
  <si>
    <t>FLOUR</t>
  </si>
  <si>
    <t>Arrowroot  Caterers Choice</t>
  </si>
  <si>
    <t>CORNFLOUR MAIZE GLUTEN FREE</t>
  </si>
  <si>
    <t>Flour Plain Caterers Choice</t>
  </si>
  <si>
    <t>Flour Rice Caterers Choice</t>
  </si>
  <si>
    <t xml:space="preserve"> 1 Kg</t>
  </si>
  <si>
    <t>Flour Self Raising Caterers Choice</t>
  </si>
  <si>
    <t>Flour Besan Chick Pea Trumps</t>
  </si>
  <si>
    <t xml:space="preserve"> Trumps</t>
  </si>
  <si>
    <t>FRUIT TINNED</t>
  </si>
  <si>
    <t>Pie Apple Diced Pouch Pack</t>
  </si>
  <si>
    <t>Pie Apple Sliced Pouch Pack</t>
  </si>
  <si>
    <t>Dewfresh</t>
  </si>
  <si>
    <t>Apricots Halves In Light Syrup Dewfresh</t>
  </si>
  <si>
    <t xml:space="preserve"> 3 Kg</t>
  </si>
  <si>
    <t>Cherries Dark Pitted In Syrup Dewfresh</t>
  </si>
  <si>
    <t>Mango Sliced Riviana</t>
  </si>
  <si>
    <t>Fruit Salad In Juice Dewfresh</t>
  </si>
  <si>
    <t>Mandarin Segments Riviana</t>
  </si>
  <si>
    <t>Peaches Sliced In Juice Dewfresh</t>
  </si>
  <si>
    <t>Pears Sliced In Juice Dewfresh</t>
  </si>
  <si>
    <t>Pineapple Sliced In Light Syrup Dewfresh</t>
  </si>
  <si>
    <t>3.03 Kg</t>
  </si>
  <si>
    <t>Pineapple Pizza Cut In Light Syrup Dewfresh</t>
  </si>
  <si>
    <t xml:space="preserve"> 3.03 Kg</t>
  </si>
  <si>
    <t>Plums Whole In Juice</t>
  </si>
  <si>
    <t>Spc</t>
  </si>
  <si>
    <t>Prunes Pitted In Juice Spc</t>
  </si>
  <si>
    <t>Two Fruits In Juice Dewfresh</t>
  </si>
  <si>
    <t>FRUIT DRIED GLAZED</t>
  </si>
  <si>
    <t>Apricots Dried Turkish</t>
  </si>
  <si>
    <t>Mixed Fruit Special</t>
  </si>
  <si>
    <t>12 Kg</t>
  </si>
  <si>
    <t>Cherries Glace Red Caterers Choice</t>
  </si>
  <si>
    <t>Currants Caterers Choice</t>
  </si>
  <si>
    <t>Dates Pitted  Caterers Choice</t>
  </si>
  <si>
    <t>Raisins Seedless Trumps</t>
  </si>
  <si>
    <t>Sultanas Imported Caterers Choice</t>
  </si>
  <si>
    <t>GERKINS_ PICKELS_RELISH</t>
  </si>
  <si>
    <t>Antipasto In Olive Oil</t>
  </si>
  <si>
    <t>Olive Oil</t>
  </si>
  <si>
    <t>Pulp Avocado Premium Chunky</t>
  </si>
  <si>
    <t>EDGELL</t>
  </si>
  <si>
    <t>CAPERS WHOLE IN VINEGAR</t>
  </si>
  <si>
    <t> 8963</t>
  </si>
  <si>
    <t>SANDHURST</t>
  </si>
  <si>
    <t>2KG</t>
  </si>
  <si>
    <t>Cucumbers Dill Polski Ogorki</t>
  </si>
  <si>
    <t>Cucumbers Dill Sliced</t>
  </si>
  <si>
    <t>2.9 Kg</t>
  </si>
  <si>
    <t>Eggplant Char Grilled</t>
  </si>
  <si>
    <t>1.9 Kg</t>
  </si>
  <si>
    <t xml:space="preserve">Gherkins Sandwich Stackers </t>
  </si>
  <si>
    <t xml:space="preserve"> Sandhurst</t>
  </si>
  <si>
    <t>Jar 2 Kg</t>
  </si>
  <si>
    <t xml:space="preserve">Gherkins Sliced Sweet Spiced </t>
  </si>
  <si>
    <t>Jar 2.2 Kg</t>
  </si>
  <si>
    <t xml:space="preserve">Jalapeno Peppers Sliced </t>
  </si>
  <si>
    <t>Can 2.8 Kg</t>
  </si>
  <si>
    <t xml:space="preserve">Mint Jelly </t>
  </si>
  <si>
    <t>Jar 3 Kg</t>
  </si>
  <si>
    <t xml:space="preserve">ONIONS PICKLED OLD ENGLISH </t>
  </si>
  <si>
    <t xml:space="preserve">Mustard Pickles Sweet </t>
  </si>
  <si>
    <t>SPRING GULLY</t>
  </si>
  <si>
    <t>Jar 2.6 Kg</t>
  </si>
  <si>
    <t xml:space="preserve">Relish Caramelised Onion </t>
  </si>
  <si>
    <t>Onion Masterfoods</t>
  </si>
  <si>
    <t>Jar 2.75 Kg</t>
  </si>
  <si>
    <t xml:space="preserve">Relish Horseradish  </t>
  </si>
  <si>
    <t>Btl 1 Kg</t>
  </si>
  <si>
    <t>Relish Char Grilled Vegetable</t>
  </si>
  <si>
    <t>Btl 2.5 Kg</t>
  </si>
  <si>
    <t>Wasabi Tube S&amp;b</t>
  </si>
  <si>
    <t>S&amp;b</t>
  </si>
  <si>
    <t>Ctn 10 X 43 Gr</t>
  </si>
  <si>
    <t>GRAVY MAKERS_BOOSTERS</t>
  </si>
  <si>
    <t>Booster Beef Gluten Free Continental</t>
  </si>
  <si>
    <t>CONTINENTAL</t>
  </si>
  <si>
    <t>Tub 8 Kg</t>
  </si>
  <si>
    <t>Booster Chicken Gluten Free</t>
  </si>
  <si>
    <t>Pail 8 Kg</t>
  </si>
  <si>
    <t>Booster Vegetable Gluten Free Knorr</t>
  </si>
  <si>
    <t>Knorr</t>
  </si>
  <si>
    <t>Pail 2.4 Kg</t>
  </si>
  <si>
    <t>Gravy Golden Roast Gluten Free</t>
  </si>
  <si>
    <t>6 Kg</t>
  </si>
  <si>
    <t>Gravy Mix Rich Brown Gluten Free Gravox</t>
  </si>
  <si>
    <t>GRAVOX</t>
  </si>
  <si>
    <t>Pail 7.5 Kg</t>
  </si>
  <si>
    <t>HERBS AND SPICES</t>
  </si>
  <si>
    <t>Bay Leaves Caterers Choice</t>
  </si>
  <si>
    <t>Pkt 100 Gr</t>
  </si>
  <si>
    <t>Basil Leaves Caterers Choice</t>
  </si>
  <si>
    <t>Pkt 300 Gr</t>
  </si>
  <si>
    <t>Seeds Carraway Trumps</t>
  </si>
  <si>
    <t>Pkt 750 Gr</t>
  </si>
  <si>
    <t>Cardamom Ground</t>
  </si>
  <si>
    <t>Groun</t>
  </si>
  <si>
    <t>Cajun Spice Caterers Choice</t>
  </si>
  <si>
    <t>Chilli Powder Hot Trumps</t>
  </si>
  <si>
    <t>Hot Trumps</t>
  </si>
  <si>
    <t>Can 450 Gr</t>
  </si>
  <si>
    <t>Chilli Flakes Trumps</t>
  </si>
  <si>
    <t>Chilli Crushed (wet)</t>
  </si>
  <si>
    <t>Chinese Five Spice Krio Krush</t>
  </si>
  <si>
    <t>Can 500 Gr</t>
  </si>
  <si>
    <t>Seeds Chia Black</t>
  </si>
  <si>
    <t>Cinnamon Quills Krio Krush</t>
  </si>
  <si>
    <t>Ea 200 Gr</t>
  </si>
  <si>
    <t>Cloves Ground Trumps</t>
  </si>
  <si>
    <t>Tub 400 Gr</t>
  </si>
  <si>
    <t>Coriander Ground Caterers Choice</t>
  </si>
  <si>
    <t>Seeds Cumin Whole Caterers Choice</t>
  </si>
  <si>
    <t>Cumin Ground Caterers Choice</t>
  </si>
  <si>
    <t>Paste Korma</t>
  </si>
  <si>
    <t>Knorr Pataks</t>
  </si>
  <si>
    <t>1.05 Kg</t>
  </si>
  <si>
    <t xml:space="preserve">Paste Curry Mild </t>
  </si>
  <si>
    <t>Paste Curry Thai Green Knorr</t>
  </si>
  <si>
    <t>Green Knorr</t>
  </si>
  <si>
    <t>Can 850 Gr</t>
  </si>
  <si>
    <t>Paste Curry Thai Red Knorr</t>
  </si>
  <si>
    <t>Red Knorr</t>
  </si>
  <si>
    <t>Paste Curry Thai Yellow Knorr</t>
  </si>
  <si>
    <t>Yellow Knorr</t>
  </si>
  <si>
    <t>Curry Powder All Purpose Clive Of India</t>
  </si>
  <si>
    <t>Of India</t>
  </si>
  <si>
    <t>Can 3 Kg</t>
  </si>
  <si>
    <t>Freekeh Trumps</t>
  </si>
  <si>
    <t>Pkt 2 Kg</t>
  </si>
  <si>
    <t>Fenugreek Seeds Krio Krush</t>
  </si>
  <si>
    <t>Seeds Fennel Krio Krush</t>
  </si>
  <si>
    <t>Can 300 Gr</t>
  </si>
  <si>
    <t>Garlic Crushed Caterers Choice</t>
  </si>
  <si>
    <t>Bkt 1 Kg</t>
  </si>
  <si>
    <t>Salt Garlic  Krio Krush</t>
  </si>
  <si>
    <t>Can 700 Gr</t>
  </si>
  <si>
    <t>Ginger Ground Trumps</t>
  </si>
  <si>
    <t>Tub 1 Kg</t>
  </si>
  <si>
    <t>Ginger Crushed Caterers Choice</t>
  </si>
  <si>
    <t>Paste Laksa Maggi</t>
  </si>
  <si>
    <t>Maggi</t>
  </si>
  <si>
    <t>Ea 500 Gr</t>
  </si>
  <si>
    <t>Pepper Lemon Masterfoods</t>
  </si>
  <si>
    <t>Jar 680 Gr</t>
  </si>
  <si>
    <t>Herbs Mixed Caterers Choice</t>
  </si>
  <si>
    <t>Paste Miso White Hikari</t>
  </si>
  <si>
    <t>White Hikari</t>
  </si>
  <si>
    <t>Pkt 400 Gr</t>
  </si>
  <si>
    <t>Mixed Spice</t>
  </si>
  <si>
    <t>Nutmeg Ground Caterers Choice</t>
  </si>
  <si>
    <t>Onions Fried (shallots) Dragon&amp;phoenix</t>
  </si>
  <si>
    <t>Fried (shallots) Dragon&amp;phoenix</t>
  </si>
  <si>
    <t>Onion Powder Pure</t>
  </si>
  <si>
    <t>Oregano Leaves Caterers Choice</t>
  </si>
  <si>
    <t>Pappadums Plain Spencers</t>
  </si>
  <si>
    <t>Spencers</t>
  </si>
  <si>
    <t>Pkt 10 X 113gr</t>
  </si>
  <si>
    <t>Paprika Sweet Canister Trumps</t>
  </si>
  <si>
    <t>Canister Trumps</t>
  </si>
  <si>
    <t>Ea 580 Gr</t>
  </si>
  <si>
    <t>Paprika Smokey Krio Krush</t>
  </si>
  <si>
    <t>Parsley Flakes</t>
  </si>
  <si>
    <t>200 Gr</t>
  </si>
  <si>
    <t>Pepper Black Cracked Fine</t>
  </si>
  <si>
    <t>750 Gr</t>
  </si>
  <si>
    <t>Pepper Black Cracked Fine Caterers Choice</t>
  </si>
  <si>
    <t>Peppercorns Black Trumps</t>
  </si>
  <si>
    <t>Tub 550 Gr</t>
  </si>
  <si>
    <t>Pepper Cayenne</t>
  </si>
  <si>
    <t>Peppercorns Black Grinder Saxa</t>
  </si>
  <si>
    <t>Grinder Saxa</t>
  </si>
  <si>
    <t>Ea 45 Gr</t>
  </si>
  <si>
    <t>Peppercorns Green Riviana</t>
  </si>
  <si>
    <t>Can 800 Gr</t>
  </si>
  <si>
    <t>Pepper White Ground Caterers Choice</t>
  </si>
  <si>
    <t>Prawn Crackers Red</t>
  </si>
  <si>
    <t>Double Phoenix</t>
  </si>
  <si>
    <t>Rosemary Leaves (jar) Trumps</t>
  </si>
  <si>
    <t>Leaves (jar) Trumps</t>
  </si>
  <si>
    <t>Sage Leaves</t>
  </si>
  <si>
    <t>Salt Chicken Anchor</t>
  </si>
  <si>
    <t>Salt Sea Natural Grinder Saxa</t>
  </si>
  <si>
    <t>Ea 90 Gr</t>
  </si>
  <si>
    <t>Salt Cooking Iodised Olsson</t>
  </si>
  <si>
    <t>Iodised Olsson</t>
  </si>
  <si>
    <t>Salt Sea Flakes Krio Krush</t>
  </si>
  <si>
    <t>Tin 500 Gr</t>
  </si>
  <si>
    <t>Salt Table</t>
  </si>
  <si>
    <t>Saxa</t>
  </si>
  <si>
    <t>Sambal Oelek Chilli</t>
  </si>
  <si>
    <t>Yeo</t>
  </si>
  <si>
    <t>250 Ml</t>
  </si>
  <si>
    <t>Seeds Sesame Caterers Choice</t>
  </si>
  <si>
    <t>Seasoning Maridor Seafood Maggi</t>
  </si>
  <si>
    <t>Seafood Maggi</t>
  </si>
  <si>
    <t>Seasoning Moroccan Masterfoods</t>
  </si>
  <si>
    <t>Can 755 Gr</t>
  </si>
  <si>
    <t>Seasoning Peri Peri Krio Krush</t>
  </si>
  <si>
    <t>Seasoning Thai Masterfoods</t>
  </si>
  <si>
    <t>Can 445 Gr</t>
  </si>
  <si>
    <t>Coating Crispy Seasoned</t>
  </si>
  <si>
    <t>Kiwistyle</t>
  </si>
  <si>
    <t>5 Kg</t>
  </si>
  <si>
    <t>Star Anise Whole Krio Krush</t>
  </si>
  <si>
    <t>Pkt 200 Gr</t>
  </si>
  <si>
    <t>Paste Tandoori Knorr Pataks</t>
  </si>
  <si>
    <t>Btl 1.15 Kg</t>
  </si>
  <si>
    <t>Paste Tamarind Pantai</t>
  </si>
  <si>
    <t>Pantai</t>
  </si>
  <si>
    <t>Jar 454 Gr</t>
  </si>
  <si>
    <t>Tarragon Leaves Canister Trumps</t>
  </si>
  <si>
    <t>Tub 120 Gr</t>
  </si>
  <si>
    <t>Paste Tom Yum Maggi</t>
  </si>
  <si>
    <t>Yum Maggi</t>
  </si>
  <si>
    <t>Turmeric Ground Caterers Choice</t>
  </si>
  <si>
    <t>Seasoning Tuscan Masterfoods</t>
  </si>
  <si>
    <t>Jar 670 Gr</t>
  </si>
  <si>
    <t>Thyme Leaves Caterers Choice</t>
  </si>
  <si>
    <t>HONEY_JAM_CONSERVES_SPREADS</t>
  </si>
  <si>
    <t>Honey Ezy Serve Wescobee</t>
  </si>
  <si>
    <t>Wescobee</t>
  </si>
  <si>
    <t>Jar 500 Gr</t>
  </si>
  <si>
    <t>Jam Apricot Spread Kraft</t>
  </si>
  <si>
    <t>Kraft</t>
  </si>
  <si>
    <t>Pail 2.5 Kg</t>
  </si>
  <si>
    <t>Maple Syrup Flavoured Cottees</t>
  </si>
  <si>
    <t xml:space="preserve"> Cottees</t>
  </si>
  <si>
    <t>Btl 400 Ml</t>
  </si>
  <si>
    <t>Maple Syrup Flavoured Edlyn</t>
  </si>
  <si>
    <t>Jam Marmalade Kraft</t>
  </si>
  <si>
    <t>Peanut Butter Crunchy  Bega</t>
  </si>
  <si>
    <t xml:space="preserve"> Bega</t>
  </si>
  <si>
    <t>Jar 375 Gr</t>
  </si>
  <si>
    <t>Peanut Butter Smooth  Bega</t>
  </si>
  <si>
    <t>Bkt 2 Kg</t>
  </si>
  <si>
    <t>Peanut Butter SMOOTH  Bega</t>
  </si>
  <si>
    <t>Syrup Golden Bundaberg</t>
  </si>
  <si>
    <t>Bundaberg</t>
  </si>
  <si>
    <t>Jar 1 Kg</t>
  </si>
  <si>
    <t>Syrup Golden SQUEEZE</t>
  </si>
  <si>
    <t>CSR</t>
  </si>
  <si>
    <t>500 GR</t>
  </si>
  <si>
    <t xml:space="preserve">Vegemite </t>
  </si>
  <si>
    <t>Jar 380 Gr</t>
  </si>
  <si>
    <t>JELLY</t>
  </si>
  <si>
    <t>Jelly Lemon</t>
  </si>
  <si>
    <t xml:space="preserve"> 2 Kg</t>
  </si>
  <si>
    <t>Jelly Lime</t>
  </si>
  <si>
    <t xml:space="preserve">Jelly Orange </t>
  </si>
  <si>
    <t xml:space="preserve">Jelly Pineapple </t>
  </si>
  <si>
    <t xml:space="preserve">Jelly Port Wine </t>
  </si>
  <si>
    <t xml:space="preserve">Jelly Raspberry </t>
  </si>
  <si>
    <t xml:space="preserve">Jelly Strawberry </t>
  </si>
  <si>
    <t>MUSTARD</t>
  </si>
  <si>
    <t>Mustard Australian Masterfoods</t>
  </si>
  <si>
    <t xml:space="preserve"> 175 Gr</t>
  </si>
  <si>
    <t>Sauce Mustard American Squeeze Masterfoods</t>
  </si>
  <si>
    <t xml:space="preserve"> 920 Ml</t>
  </si>
  <si>
    <t>Mustard Dijon Masterfoods</t>
  </si>
  <si>
    <t>Horseradish Cream Masterfoods</t>
  </si>
  <si>
    <t>Mustard Hot English Masterfoods</t>
  </si>
  <si>
    <t>Mustard Wholegrain Masterfoods</t>
  </si>
  <si>
    <t>Mustard Dijon Style Masterfoods</t>
  </si>
  <si>
    <t>Mustard French Masterfoods</t>
  </si>
  <si>
    <t>Mustard Pickles Sweet  Masterfoods</t>
  </si>
  <si>
    <t>Mustard Seeded Masterfoods</t>
  </si>
  <si>
    <t xml:space="preserve">1 LITRE SAUCES </t>
  </si>
  <si>
    <t>Mayonnaise Aioli Squeeze Bottle Gluten Free</t>
  </si>
  <si>
    <t>Mayonnaise Aioli Vegan Gluten Free</t>
  </si>
  <si>
    <t>Mayonnaise Basil Pesto Squeeze Gluten Free</t>
  </si>
  <si>
    <t>Mayonnaise Fiery Chipotle</t>
  </si>
  <si>
    <t>Mayonnaise Pepper Gluten Free</t>
  </si>
  <si>
    <t>Mayonnaise Peri Peri Squeeze Bottle Gluten Free</t>
  </si>
  <si>
    <t>Mayonnaise Sriracha Thick</t>
  </si>
  <si>
    <t>Mayonnaise Wasabi Squeeze Bottle Gluten Free</t>
  </si>
  <si>
    <t>Tomato Kasundi</t>
  </si>
  <si>
    <t xml:space="preserve">Dressing Caesar </t>
  </si>
  <si>
    <t>Dressing ranch</t>
  </si>
  <si>
    <t>Sauce Blue Cheese</t>
  </si>
  <si>
    <t>Sauce Burger</t>
  </si>
  <si>
    <t>Sauce Hollandaise</t>
  </si>
  <si>
    <t xml:space="preserve">Sauce Hommus </t>
  </si>
  <si>
    <t>Sauce Tzatziki</t>
  </si>
  <si>
    <t>Sauce Southwest</t>
  </si>
  <si>
    <t>Mayonnaise Homestyle</t>
  </si>
  <si>
    <t>21 Kg</t>
  </si>
  <si>
    <t>SAUCES</t>
  </si>
  <si>
    <t>Relish Horseradish  Masterfoods</t>
  </si>
  <si>
    <t>Ketjap Manis (sweet Soy Sauce) Red Label Abc</t>
  </si>
  <si>
    <t>Label Abc</t>
  </si>
  <si>
    <t>Btl 620 Ml</t>
  </si>
  <si>
    <t>Sauce Barbeque Squeeze Fountain</t>
  </si>
  <si>
    <t>Squeeze Fountain</t>
  </si>
  <si>
    <t>Sauce Barbecue Gluten Free Masterfoods</t>
  </si>
  <si>
    <t>Free Masterfoods</t>
  </si>
  <si>
    <t>Btl 4.7 Kg</t>
  </si>
  <si>
    <t>Dressing Caesar Salad Masterfoods</t>
  </si>
  <si>
    <t>Salad Masterfoods</t>
  </si>
  <si>
    <t>Btl 2.6 Kg</t>
  </si>
  <si>
    <t>Sauce Char Siu Lee Kum Kee</t>
  </si>
  <si>
    <t>Kum Kee</t>
  </si>
  <si>
    <t>Btl 1.1 Kg</t>
  </si>
  <si>
    <t>Sauce Sriracha Hot Chilli A&amp;t Trading</t>
  </si>
  <si>
    <t>A&amp;t Trading</t>
  </si>
  <si>
    <t>Btl 740 Ml</t>
  </si>
  <si>
    <t>Sauce Cranberry Spc</t>
  </si>
  <si>
    <t>Pail 2.25 Kg</t>
  </si>
  <si>
    <t>Sauce Fish Pet Squid</t>
  </si>
  <si>
    <t>Pet Squid</t>
  </si>
  <si>
    <t>Btl 700 Ml</t>
  </si>
  <si>
    <t>Sauce Hoi Sin (5lb Can) Lee Kum Kee</t>
  </si>
  <si>
    <t>Can 2.27 Kg</t>
  </si>
  <si>
    <t>Sauce Hollandaise Garde Dor Tetra Knorr</t>
  </si>
  <si>
    <t>Tetra Knorr</t>
  </si>
  <si>
    <t xml:space="preserve">Sauce H P </t>
  </si>
  <si>
    <t>HP</t>
  </si>
  <si>
    <t>Btl 390 Ml</t>
  </si>
  <si>
    <t>Sauce Mint Fountain</t>
  </si>
  <si>
    <t>Fountain</t>
  </si>
  <si>
    <t>Btl 250 Ml</t>
  </si>
  <si>
    <t>Sauce Mongolian Gluten Free Knorr</t>
  </si>
  <si>
    <t>Free Knorr</t>
  </si>
  <si>
    <t>Btl 2.1 Kg</t>
  </si>
  <si>
    <t>Seasoning Mirin Manjo</t>
  </si>
  <si>
    <t>Manjo</t>
  </si>
  <si>
    <t>Sauce Oyster Lee Kum Kee</t>
  </si>
  <si>
    <t>Btl 2.4 Kg</t>
  </si>
  <si>
    <t>Sauce Plum Spc</t>
  </si>
  <si>
    <t>Pail 1.85 Lt</t>
  </si>
  <si>
    <t>Sauce Rogan Josh Knorr Pataks</t>
  </si>
  <si>
    <t>Btl 2.2 Lt</t>
  </si>
  <si>
    <t>Sauce Satay Zoosh</t>
  </si>
  <si>
    <t>Zoosh</t>
  </si>
  <si>
    <t>Btl 2.85 Kg</t>
  </si>
  <si>
    <t>Sauce Soy Gluten Free</t>
  </si>
  <si>
    <t>Kikkoman</t>
  </si>
  <si>
    <t>1.6 Lt</t>
  </si>
  <si>
    <t>Sauce Steak Fountain</t>
  </si>
  <si>
    <t xml:space="preserve">SauceSweet &amp; Sour Sauce </t>
  </si>
  <si>
    <t>3 Lt</t>
  </si>
  <si>
    <t xml:space="preserve">Sauce Sriracha Hot Chilli </t>
  </si>
  <si>
    <t xml:space="preserve"> A&amp;t Trading</t>
  </si>
  <si>
    <t>Btl 730 Ml</t>
  </si>
  <si>
    <t>Sauce Red Pepper Tabasco</t>
  </si>
  <si>
    <t xml:space="preserve"> Tabasco</t>
  </si>
  <si>
    <t>Btl 150 Ml</t>
  </si>
  <si>
    <t>Sauce Tartare Premium Gluten Free</t>
  </si>
  <si>
    <t>2.3 Kg</t>
  </si>
  <si>
    <t>Sauce Teriyaki Thick Akari</t>
  </si>
  <si>
    <t>Thick Akari</t>
  </si>
  <si>
    <t>Btl 1.8 Lt</t>
  </si>
  <si>
    <t>Sauce Tomato Squeeze Fountain</t>
  </si>
  <si>
    <t>Sauce Tomato Gluten Free Masterfoods</t>
  </si>
  <si>
    <t>Btl 4 Lt</t>
  </si>
  <si>
    <t>Sauce Worcestershire L &amp; Perrin</t>
  </si>
  <si>
    <t>L &amp; Perrin</t>
  </si>
  <si>
    <t>Btl 290 Ml</t>
  </si>
  <si>
    <t>Sauce Worcestershire Gluten Free Fountain</t>
  </si>
  <si>
    <t>NUTS &amp; SEEDS</t>
  </si>
  <si>
    <t>Almonds Flaked Caterers Choice</t>
  </si>
  <si>
    <t>Almonds Slivered</t>
  </si>
  <si>
    <t xml:space="preserve">ALMOND KERNELS NATURAL (1KG) </t>
  </si>
  <si>
    <t>Cashews Raw Caterers Choice</t>
  </si>
  <si>
    <t>Hazelnuts Kernels Caterers Choice</t>
  </si>
  <si>
    <t>Mixed Nuts With Peanuts Roasted &amp; Salted  Caterers Choice</t>
  </si>
  <si>
    <t>Peanuts Granulated Caterers Choice</t>
  </si>
  <si>
    <t>Peanuts Roasted Unsalted Caterers Choice</t>
  </si>
  <si>
    <t>Seeds Pepitas Kernels Pumpkin Caterers Choice</t>
  </si>
  <si>
    <t>Seeds Sunflower Kernels Caterers Choice</t>
  </si>
  <si>
    <t>Walnut Halves &amp; Pieces Usa Caterers Choice</t>
  </si>
  <si>
    <t>OIL</t>
  </si>
  <si>
    <t xml:space="preserve">Oil Canola Cooking Spray </t>
  </si>
  <si>
    <t>450g</t>
  </si>
  <si>
    <t>Oil Olive Pomace Alfinas</t>
  </si>
  <si>
    <t xml:space="preserve"> Alfinas</t>
  </si>
  <si>
    <t xml:space="preserve"> 4 Lt</t>
  </si>
  <si>
    <t>Oil Sesame Yeo</t>
  </si>
  <si>
    <t>2 Lt</t>
  </si>
  <si>
    <t>OIL CANOLA (PLASTIC DRUM)</t>
  </si>
  <si>
    <t>SOPRA</t>
  </si>
  <si>
    <t>20LT</t>
  </si>
  <si>
    <t>OLIVES</t>
  </si>
  <si>
    <t>Olives Black Sliced Riviana</t>
  </si>
  <si>
    <t>Olives Black Pitted Pet Riviana</t>
  </si>
  <si>
    <t>Olives Green Pitted Riviana</t>
  </si>
  <si>
    <t>Olives Kalamata Pitted Kalos</t>
  </si>
  <si>
    <t>KALOS</t>
  </si>
  <si>
    <t>Olives Green Stuffed Pet Riviana</t>
  </si>
  <si>
    <t>Btl 2 Kg</t>
  </si>
  <si>
    <t xml:space="preserve">PORTION CONTROL </t>
  </si>
  <si>
    <t>Dressing P/c Vinegar Squeeze On  Masterfoods</t>
  </si>
  <si>
    <t>Ctn 100 X 10ml</t>
  </si>
  <si>
    <t>Dressing P/c Italian Vinaigrette Squeeze On Masterfoods</t>
  </si>
  <si>
    <t>Ctn 100 X 13gr</t>
  </si>
  <si>
    <t>Mayonnaise P/c Squeeze On  Masterfoods</t>
  </si>
  <si>
    <t>Ctn 100 X 11gr</t>
  </si>
  <si>
    <t>Dressing P/c French Vinaigrette Squeeze On Masterfoods</t>
  </si>
  <si>
    <t>Sauce P/c Barbecue Squeeze On Masterfoods</t>
  </si>
  <si>
    <t>Ctn 100 X 14gr</t>
  </si>
  <si>
    <t>Honey P/c Kraft</t>
  </si>
  <si>
    <t>Tray 50 X 14gr</t>
  </si>
  <si>
    <t>Jam P/c Apricot Tray Zoosh</t>
  </si>
  <si>
    <t>Tray 50 X 13.6gr</t>
  </si>
  <si>
    <t>Jam P/c Marmalade Tray Zoosh</t>
  </si>
  <si>
    <t>6</t>
  </si>
  <si>
    <t>Peanut Butter P/c  Bega</t>
  </si>
  <si>
    <t>Bega</t>
  </si>
  <si>
    <t>Tray 50 X 11gr</t>
  </si>
  <si>
    <t>Jam P/c Plum Tray Zoosh</t>
  </si>
  <si>
    <t xml:space="preserve"> Zoosh</t>
  </si>
  <si>
    <t>Jam P/c Raspberry Tray Zoosh</t>
  </si>
  <si>
    <t>Jam P/c Strawberry Tray Zoosh</t>
  </si>
  <si>
    <t>Sauce P/c Sweet Chilli Thai Squeeze On Masterfoods</t>
  </si>
  <si>
    <t>Vegemite P/c 4.8gr (one Serve) Vegemite</t>
  </si>
  <si>
    <t>Tray 90 X 4.8gr</t>
  </si>
  <si>
    <t>Mustard P/c American Squeeze On Masterfoods</t>
  </si>
  <si>
    <t>Ctn 100's</t>
  </si>
  <si>
    <t>Dressing P/c Caesar Salad Squeeze On Masterfoods</t>
  </si>
  <si>
    <t>Sauce P/c Tomato Squeeze On Masterfoods</t>
  </si>
  <si>
    <t>Sauce P/c Tartare Squeeze On Masterfoods</t>
  </si>
  <si>
    <t>Salt P/c Ism</t>
  </si>
  <si>
    <t>ISM</t>
  </si>
  <si>
    <t>Ctn 2000's</t>
  </si>
  <si>
    <t>Pepper P/c Ism</t>
  </si>
  <si>
    <t>PASTA_NOODLES_RICE</t>
  </si>
  <si>
    <t>Corn Chips Triangle Mission Foods</t>
  </si>
  <si>
    <t xml:space="preserve"> 6 X 750gr</t>
  </si>
  <si>
    <t>Noodles Instant Migoreng</t>
  </si>
  <si>
    <t>Indomie</t>
  </si>
  <si>
    <t>20 X 85gr</t>
  </si>
  <si>
    <t>Noodles Braised Beef</t>
  </si>
  <si>
    <t>Suimin</t>
  </si>
  <si>
    <t>12 X 70gr</t>
  </si>
  <si>
    <t>Noodles Chicken</t>
  </si>
  <si>
    <t>Noodles Curried Prawn</t>
  </si>
  <si>
    <t>Noodles Mi Goreng</t>
  </si>
  <si>
    <t>Noodles Rice Pad Thai Erawan</t>
  </si>
  <si>
    <t>Thai Erawan</t>
  </si>
  <si>
    <t>Seaweed Sheets 125gr Hanabi</t>
  </si>
  <si>
    <t xml:space="preserve"> Hanabi</t>
  </si>
  <si>
    <t>Pkt 50's</t>
  </si>
  <si>
    <t>Pasta Fettuccine No 12 San Remo</t>
  </si>
  <si>
    <t>San Remo</t>
  </si>
  <si>
    <t>Pkt 5 Kg</t>
  </si>
  <si>
    <t>Pasta Linguini No 1 San Remo</t>
  </si>
  <si>
    <t>Pasta Spirals Vegeroni No 121 San Remo</t>
  </si>
  <si>
    <t>Pasta Penne No 18 San Remo</t>
  </si>
  <si>
    <t>Pasta Shells Large No 29 San Remo</t>
  </si>
  <si>
    <t>Pasta Elbows No 35 San Remo</t>
  </si>
  <si>
    <t>Pasta Macaroni No 38 San Remo</t>
  </si>
  <si>
    <t>Pasta Spaghetti No 5 San Remo</t>
  </si>
  <si>
    <t>Pasta Risoni No 47 San Remo</t>
  </si>
  <si>
    <t>Rice Basmati Calico Bag Riviana</t>
  </si>
  <si>
    <t>Bag Riviana</t>
  </si>
  <si>
    <t>Rice Basmati Long Grain Spice Empire</t>
  </si>
  <si>
    <t>Spice Empire</t>
  </si>
  <si>
    <t>Rice Arborio Riviana</t>
  </si>
  <si>
    <t>Rice Calrose Brown Medium Grain Sunrice</t>
  </si>
  <si>
    <t>Grain Sunrice</t>
  </si>
  <si>
    <t>Rice Jasmine Spice Empire</t>
  </si>
  <si>
    <t>Rice White Long Grain Mahatma</t>
  </si>
  <si>
    <t>Grain Mahatma</t>
  </si>
  <si>
    <t>Taco Shells Old Elpaso</t>
  </si>
  <si>
    <t>Old Elpaso</t>
  </si>
  <si>
    <t>Ctn 6 X 135 Gr</t>
  </si>
  <si>
    <t>SOUPS</t>
  </si>
  <si>
    <t>Soup Cup-a Tomato Continental</t>
  </si>
  <si>
    <t>Continental</t>
  </si>
  <si>
    <t xml:space="preserve"> 7 X 4's</t>
  </si>
  <si>
    <t xml:space="preserve">Ctn </t>
  </si>
  <si>
    <t>Soup Cup-a Chicken Noodle Continental</t>
  </si>
  <si>
    <t>Soup Cup-a Hearty Beef Continental</t>
  </si>
  <si>
    <t>Soup Cup-a Cream Of Chicken Continental</t>
  </si>
  <si>
    <t>SALAD DRESSINGS</t>
  </si>
  <si>
    <t>DRESSING</t>
  </si>
  <si>
    <t xml:space="preserve">DRESSING BALSAMIC </t>
  </si>
  <si>
    <t>PRAISE</t>
  </si>
  <si>
    <t>330ml</t>
  </si>
  <si>
    <t xml:space="preserve">DRESSING FRENCH F/FREE </t>
  </si>
  <si>
    <t xml:space="preserve">DRESSING ITALIAN </t>
  </si>
  <si>
    <t>DRESSING COLESLAW</t>
  </si>
  <si>
    <t>300ml</t>
  </si>
  <si>
    <t>Dressing Balsamic Italian Mighty Splash</t>
  </si>
  <si>
    <t xml:space="preserve"> 2.6 Kg</t>
  </si>
  <si>
    <t>Dressing Caesar Salad</t>
  </si>
  <si>
    <t xml:space="preserve"> Masterfoods</t>
  </si>
  <si>
    <t xml:space="preserve">Dressing Coleslaw Gluten Free </t>
  </si>
  <si>
    <t xml:space="preserve"> 2.5 Kg</t>
  </si>
  <si>
    <t xml:space="preserve">Dressing Coriander Ginger &amp; Lime </t>
  </si>
  <si>
    <t xml:space="preserve"> Frenchmaid</t>
  </si>
  <si>
    <t xml:space="preserve">Dressing French Gluten Free </t>
  </si>
  <si>
    <t xml:space="preserve"> 3 Lt</t>
  </si>
  <si>
    <t xml:space="preserve">Dressing Honey Mustard </t>
  </si>
  <si>
    <t xml:space="preserve">Vinegar Red Wine </t>
  </si>
  <si>
    <t>Sandhurst</t>
  </si>
  <si>
    <t>5 Lt</t>
  </si>
  <si>
    <t xml:space="preserve">Vinegar Balsamic </t>
  </si>
  <si>
    <t xml:space="preserve">Vinegar White </t>
  </si>
  <si>
    <t>4 Lt</t>
  </si>
  <si>
    <t>SUGAR</t>
  </si>
  <si>
    <t>Sugar Brown Caterers Choice</t>
  </si>
  <si>
    <t>Sugar Caster Bundaberg</t>
  </si>
  <si>
    <t>Icing Sugar Mixture Caterers Choice</t>
  </si>
  <si>
    <t>Sugar P/c Sticks White Bundaberg</t>
  </si>
  <si>
    <t>White Bundaberg</t>
  </si>
  <si>
    <t>Ctn 2000 X 3gr</t>
  </si>
  <si>
    <t>Sugar P/c Sticks Raw Bundaberg</t>
  </si>
  <si>
    <t>Raw Bundaberg</t>
  </si>
  <si>
    <t>Sweetener P/c Pencil Sticks Equal</t>
  </si>
  <si>
    <t>Sticks Equal</t>
  </si>
  <si>
    <t>Ctn 500's</t>
  </si>
  <si>
    <t>Sugar White Graded Bundaberg</t>
  </si>
  <si>
    <t>Graded Bundaberg</t>
  </si>
  <si>
    <t xml:space="preserve"> 15 Kg</t>
  </si>
  <si>
    <t>Bag</t>
  </si>
  <si>
    <t>TINNED</t>
  </si>
  <si>
    <t xml:space="preserve">ARTICHOKES HEARTS IN BRINE </t>
  </si>
  <si>
    <t>Bean Mix Five Alfinas</t>
  </si>
  <si>
    <t>Five Alfinas</t>
  </si>
  <si>
    <t>Beans Red Kidney Alfinas</t>
  </si>
  <si>
    <t>Kidney Alfinas</t>
  </si>
  <si>
    <t>Beetroot Diced Golden Circle</t>
  </si>
  <si>
    <t>Beetroot Sliced Golden Circle</t>
  </si>
  <si>
    <t>Beetroot Baby Whole Golden Circle</t>
  </si>
  <si>
    <t>Sauce Black Bean Garlic</t>
  </si>
  <si>
    <t>Lee Kum Kee</t>
  </si>
  <si>
    <t>2.268 Kg</t>
  </si>
  <si>
    <t>Champignons Stems &amp; Pieces Riviana</t>
  </si>
  <si>
    <t>Pieces Riviana</t>
  </si>
  <si>
    <t xml:space="preserve"> 2.84 Kg</t>
  </si>
  <si>
    <t>Chick Peas Alfinas</t>
  </si>
  <si>
    <t>Corn Baby Cut Riviana</t>
  </si>
  <si>
    <t>Cut Riviana</t>
  </si>
  <si>
    <t xml:space="preserve"> 2.9 Kg</t>
  </si>
  <si>
    <t>Lentils Green Brown Caterers Choice</t>
  </si>
  <si>
    <t>Chutney Mango Green Label Sharwoods</t>
  </si>
  <si>
    <t>Label Sharwoods</t>
  </si>
  <si>
    <t>Champignons Whole Riviana</t>
  </si>
  <si>
    <t>2.84 Kg</t>
  </si>
  <si>
    <t>Pearl Barley Caterers Choice</t>
  </si>
  <si>
    <t>Peas Yellow Split Culpepers</t>
  </si>
  <si>
    <t>Split Culpepers</t>
  </si>
  <si>
    <t>Quinoa Black Caterers Choice</t>
  </si>
  <si>
    <t>Quinoa Red Caterers Choice</t>
  </si>
  <si>
    <t>Tomatoes Crushed Italian Riviana</t>
  </si>
  <si>
    <t>Italian Riviana</t>
  </si>
  <si>
    <t>Tomato Paste Leggos</t>
  </si>
  <si>
    <t>Leggos</t>
  </si>
  <si>
    <t>Tomatoes Sundried Strips Casa De Mare</t>
  </si>
  <si>
    <t>De Mare</t>
  </si>
  <si>
    <t>Tomatoes Whole Peeled Italian Alfinas</t>
  </si>
  <si>
    <t>Italian Alfinas</t>
  </si>
  <si>
    <t>2.55 Kg</t>
  </si>
  <si>
    <t>Cooking Wine Red 10% Alcohol Caterers Choice</t>
  </si>
  <si>
    <t xml:space="preserve"> 15 Lt</t>
  </si>
  <si>
    <t>Cooking Wine White 10% Alcohol Caterers Choice</t>
  </si>
  <si>
    <t>15 Lt</t>
  </si>
  <si>
    <t>BUNZL</t>
  </si>
  <si>
    <t>CATERING - CONSUMABLES GENERAL</t>
  </si>
  <si>
    <t>A/TEC SOLVEX GLOVE NITR GRN 45CM 8</t>
  </si>
  <si>
    <t>AN37185-8</t>
  </si>
  <si>
    <t>PR</t>
  </si>
  <si>
    <t>A/TEC SOLVEX GLOVE NITR GRN 45CM 9</t>
  </si>
  <si>
    <t>AN37185-9</t>
  </si>
  <si>
    <t>GLOVE CUT 5 RESISTANT BLUE LARGE</t>
  </si>
  <si>
    <t>ARBLC5FPB/L</t>
  </si>
  <si>
    <t>GLOVE CUT 5 RESISTANT BLUE MEDIUM</t>
  </si>
  <si>
    <t>ARBLC5FPB/M</t>
  </si>
  <si>
    <t>KA/MAST GLOVE VINYL PWD BLUE L</t>
  </si>
  <si>
    <t>BZ301/L</t>
  </si>
  <si>
    <t>BX</t>
  </si>
  <si>
    <t>KA/MAST GLOVE VINYL PWD BLUE S</t>
  </si>
  <si>
    <t>BZ301/S</t>
  </si>
  <si>
    <t>KA/MAST GLOVE VINYL PWD BLUE M</t>
  </si>
  <si>
    <t>BZ301/M</t>
  </si>
  <si>
    <t>KA/MAST GLOVE VINYL PWD BLUE XL</t>
  </si>
  <si>
    <t>BZ301/XL</t>
  </si>
  <si>
    <t>KA/MAST NITRAONE GLOVE NIT PF BLU XL</t>
  </si>
  <si>
    <t>BZ401/XL</t>
  </si>
  <si>
    <t>KA/MAST NITRAONE GLOVE NIT PF BLU L</t>
  </si>
  <si>
    <t>BZ401/L</t>
  </si>
  <si>
    <t>KA/MAST NITRAONE GLOVE NIT PF BLU M</t>
  </si>
  <si>
    <t>BZ401/M</t>
  </si>
  <si>
    <t>KA/MAST NITRAONE GLOVE NIT PF BLU S</t>
  </si>
  <si>
    <t>BZ401/S</t>
  </si>
  <si>
    <t>PREMIER GLOVE EXAM VINYL PF CLR  M</t>
  </si>
  <si>
    <t>BZ313/M</t>
  </si>
  <si>
    <t>PREMIER GLOVE EXAM NIT PF VLT/BLU L</t>
  </si>
  <si>
    <t>BZ331/L</t>
  </si>
  <si>
    <t>PREMIER GLOVE EXAM NIT PF VLT/BLU M</t>
  </si>
  <si>
    <t>BZ331/M</t>
  </si>
  <si>
    <t>PREMIER GLOVE EXAM NIT PF VLT/BLU S</t>
  </si>
  <si>
    <t>BZ331/S</t>
  </si>
  <si>
    <t>PREMIER GLOVE EXM NIT PF VLT/BLU XL</t>
  </si>
  <si>
    <t>BZ331/XL</t>
  </si>
  <si>
    <t>PAPER CUP LIDS - HOT 12/16OZ (1000)</t>
  </si>
  <si>
    <t>BZHCL12/16</t>
  </si>
  <si>
    <t>CTN OF 1000</t>
  </si>
  <si>
    <t>PAPER CUPS - HOT DOUBLE WALL HOT 12OZ -(500)</t>
  </si>
  <si>
    <t>KMDWHC12/CCAB</t>
  </si>
  <si>
    <t>CTN OF 500</t>
  </si>
  <si>
    <t>B/BOARD SWICH WEDGE BRN M 123X72X123</t>
  </si>
  <si>
    <t>BIPBBSWMED2</t>
  </si>
  <si>
    <t xml:space="preserve">TAKEAWAY CONTAINERS BIOCANE 750ML BASE (500) </t>
  </si>
  <si>
    <t>BIPBLB750N</t>
  </si>
  <si>
    <t>TAKEWAY CONTAINER LIDS BIOCANE TO SUIT 700-100ML (500)</t>
  </si>
  <si>
    <t>BIPBLBLN</t>
  </si>
  <si>
    <t>WOODEN CUTLERY PACK FORK KNIFE SPOON TEASPOON NAPKIN SALT &amp; PEPPER</t>
  </si>
  <si>
    <t>SUSCUTPKW7A</t>
  </si>
  <si>
    <t xml:space="preserve">CTN OF 400 </t>
  </si>
  <si>
    <t>KA/MAST CONT PP RECT NAT 500ML</t>
  </si>
  <si>
    <t>BZG500</t>
  </si>
  <si>
    <t>KA/MAST LID CONT PP RECT NAT</t>
  </si>
  <si>
    <t>BZGL</t>
  </si>
  <si>
    <t>KA/MAST TRAY 1/2GN DEEP FOIL 3100ML</t>
  </si>
  <si>
    <t>BZHAGN3100</t>
  </si>
  <si>
    <t>KA/MAST LID HOT CUP WHT 8W/12/16OZ</t>
  </si>
  <si>
    <t>KM FOIL LID FOR TRAY HF/GN 2500/3100</t>
  </si>
  <si>
    <t>BZLIDHAGN</t>
  </si>
  <si>
    <t>TOOTHPICK INDIVID WRAPPED</t>
  </si>
  <si>
    <t>ALP460306</t>
  </si>
  <si>
    <t>PKT</t>
  </si>
  <si>
    <t>WOW MP SURFACE ANTIBAC WIPES  1200PK</t>
  </si>
  <si>
    <t>WOWMPC</t>
  </si>
  <si>
    <t>CT</t>
  </si>
  <si>
    <t>BAG FLAT #3 PAP BRN 237X200MM STR</t>
  </si>
  <si>
    <t>DTA421S0010B</t>
  </si>
  <si>
    <t>PK</t>
  </si>
  <si>
    <t>BAG FLAT #1 SQR PAP BRN 187X175 STR</t>
  </si>
  <si>
    <t>DTA530S0010B</t>
  </si>
  <si>
    <t>LABEL DISSOLVABLE PREP MON 49X75MM</t>
  </si>
  <si>
    <t>FD32100</t>
  </si>
  <si>
    <t>RO</t>
  </si>
  <si>
    <t>LABEL DISSOLVABLE PREP TUE 49X75MM</t>
  </si>
  <si>
    <t>FD32200</t>
  </si>
  <si>
    <t>LABEL DISSOLVABLE PREP WED 49X75MM</t>
  </si>
  <si>
    <t>FD32300</t>
  </si>
  <si>
    <t>LABEL DISSOLVABLE PREP THUR 49X75MM</t>
  </si>
  <si>
    <t>FD32400</t>
  </si>
  <si>
    <t>LABEL DISSOLVABLE PREP FRI 49X75MM</t>
  </si>
  <si>
    <t>FD32500</t>
  </si>
  <si>
    <t>LABEL DISSOLVABLE PREP SAT 49X75MM</t>
  </si>
  <si>
    <t>FD32600</t>
  </si>
  <si>
    <t>LABEL DISSOLVABLE PREP SUN 49X75MM</t>
  </si>
  <si>
    <t>FD32700</t>
  </si>
  <si>
    <t>REMOVABLE USE FIRST LABEL CIRCL 24MM</t>
  </si>
  <si>
    <t>FD70100</t>
  </si>
  <si>
    <t>USE FIRST LABEL REMOVABLE 40MM</t>
  </si>
  <si>
    <t>FD70300</t>
  </si>
  <si>
    <t>SUSTAIN FORK WOOD COATED 160MM FSC</t>
  </si>
  <si>
    <t>SUSFWC</t>
  </si>
  <si>
    <t>SUSTAIN KNIFE WOOD COATED 165MM FSC</t>
  </si>
  <si>
    <t>SUSKWC</t>
  </si>
  <si>
    <t>SUSTAIN SPOON WOOD COATED 160MM FSC</t>
  </si>
  <si>
    <t>SUSSWC</t>
  </si>
  <si>
    <t>SUSTAIN T/SPOON WOOD COAT 110MM FSC</t>
  </si>
  <si>
    <t>SUSTSWC</t>
  </si>
  <si>
    <t xml:space="preserve">SUSTAIN PLATE ROUND S/CANE WHT 9IN  </t>
  </si>
  <si>
    <t>SUSPLSCW09</t>
  </si>
  <si>
    <t>SUSTAIN LID RECT PET CLR 500-1000ML</t>
  </si>
  <si>
    <t>SUSRCLIDPET01</t>
  </si>
  <si>
    <t>SUSTAIN CONT RECT S/CANE WHT 500</t>
  </si>
  <si>
    <t>SUSRCSC0500</t>
  </si>
  <si>
    <t>SUSTAIN CONT RECT S/CANE WHT 750ML</t>
  </si>
  <si>
    <t>SUSRCSC0750</t>
  </si>
  <si>
    <t>SUSTAIN STIRRER WOOD 114MM FSC</t>
  </si>
  <si>
    <t>SUSSTW114</t>
  </si>
  <si>
    <t>KA/MAST CLING WRAP 45CM 600M DISP</t>
  </si>
  <si>
    <t>BZ45600</t>
  </si>
  <si>
    <t>KA/MAST BAKING PAPER SHT SIL 405X710</t>
  </si>
  <si>
    <t>BZBPCUT405710</t>
  </si>
  <si>
    <t>KW/MAST KITCHEN TIDY BLK 36L RL50</t>
  </si>
  <si>
    <t>BZ36BLK/R</t>
  </si>
  <si>
    <t>KW/MASTER BIN LINER AP GREY 82LT RL</t>
  </si>
  <si>
    <t>BZ82APG/R</t>
  </si>
  <si>
    <t>KW/MAST BIN LINER HD BLK 82L PACK</t>
  </si>
  <si>
    <t>BZ82HD</t>
  </si>
  <si>
    <t>SCOTHBRITE GRIDDLESCREEN 20/PK.</t>
  </si>
  <si>
    <t>TM200PK</t>
  </si>
  <si>
    <t>GRIDDLE POLISH PAD 46 101X133 CTN=60</t>
  </si>
  <si>
    <t>TM46</t>
  </si>
  <si>
    <t>3M DOODLEBUG HOLDER SWIVEL W/HANDLE</t>
  </si>
  <si>
    <t>TM6472</t>
  </si>
  <si>
    <t>WOW WIPES WALL DISPNSR  WHT 800/1199</t>
  </si>
  <si>
    <t>WOWSWDW</t>
  </si>
  <si>
    <t>KEE-SEAL DISP PIPING BAGS BLUE 535MM</t>
  </si>
  <si>
    <t>ZZ5212212</t>
  </si>
  <si>
    <t>PATTY PAN WHITE #550 50X35MM</t>
  </si>
  <si>
    <t>ZZPP550</t>
  </si>
  <si>
    <t>Patty Pans #550</t>
  </si>
  <si>
    <t>Patty Pans #700</t>
  </si>
  <si>
    <t>ZZPP700</t>
  </si>
  <si>
    <t>Patty Pans #750</t>
  </si>
  <si>
    <t> ZZPP750</t>
  </si>
  <si>
    <t>DOYLEY ROUND 9 INCHES/ 228MM PK250</t>
  </si>
  <si>
    <t>ALP372645</t>
  </si>
  <si>
    <t>Muffin Wrap Parchment Paper</t>
  </si>
  <si>
    <t>CNP60R</t>
  </si>
  <si>
    <t>PREMIER APRON DISP IND/WRP WHT 135CM</t>
  </si>
  <si>
    <t>BZAPRON/MINDV</t>
  </si>
  <si>
    <t>TORK TOWEL ROLL 90MT</t>
  </si>
  <si>
    <t>BW2187951</t>
  </si>
  <si>
    <t>TORK XPRESSNAP N10 CAFE UNV 1PLY NAT</t>
  </si>
  <si>
    <t>BW2307945</t>
  </si>
  <si>
    <t>KW/MAST SCOUR PAD AP GRN 15X10CM</t>
  </si>
  <si>
    <t>KWSAP</t>
  </si>
  <si>
    <t>KW/MAST SCOUR SPONGE AP 150X100MM</t>
  </si>
  <si>
    <t>KWSSAP</t>
  </si>
  <si>
    <t>KW/MAST SCOUR SPONGE PREM 150X115MM</t>
  </si>
  <si>
    <t>KWSSP</t>
  </si>
  <si>
    <t>KWIKMASTER SUPER TOUGH SPONGE</t>
  </si>
  <si>
    <t>KWSTS/10</t>
  </si>
  <si>
    <t>CLEANING - CONSUMABLES</t>
  </si>
  <si>
    <t>Bin Liner Heavy Duty Roll 120-140L</t>
  </si>
  <si>
    <t>BZ140HD/R</t>
  </si>
  <si>
    <t>Carton of 200</t>
  </si>
  <si>
    <t>Bin Liner Heavy Duty Roll 240L</t>
  </si>
  <si>
    <t>BZ240HD/R</t>
  </si>
  <si>
    <t>Carton of 100</t>
  </si>
  <si>
    <t>Bin Liner Heavy Duty Roll 80-82L</t>
  </si>
  <si>
    <t>Bin Liner Kitchen Tidy roll White 27L</t>
  </si>
  <si>
    <t>BZ27/R</t>
  </si>
  <si>
    <t>Carton of 1000</t>
  </si>
  <si>
    <t>WOW MP SURFACE ANTIBAC WIPES  1200PK</t>
  </si>
  <si>
    <t>Carton 4</t>
  </si>
  <si>
    <t>Hand Towel 140m</t>
  </si>
  <si>
    <t>KC44199/SPEC</t>
  </si>
  <si>
    <t>Carton of 8</t>
  </si>
  <si>
    <t>Jasol Titan Toilet Cleaner 750ml</t>
  </si>
  <si>
    <t>JA3000170</t>
  </si>
  <si>
    <t>Carton of 12</t>
  </si>
  <si>
    <t>JM Taski Ultra Damp Mop Red 25CM</t>
  </si>
  <si>
    <t>JD7518553</t>
  </si>
  <si>
    <t>Micro fibre red cloths</t>
  </si>
  <si>
    <t>JD7524115</t>
  </si>
  <si>
    <t>Packet of 20</t>
  </si>
  <si>
    <t>TASKI MYMICRO M/FIBRE CLOTH GREEN</t>
  </si>
  <si>
    <t>JD7524117</t>
  </si>
  <si>
    <t>TASKI MYMICRO M/FIBRE CLOTH RED</t>
  </si>
  <si>
    <t>Carton of 500</t>
  </si>
  <si>
    <t xml:space="preserve">TUF MICROFIBRE CLOTH - BLUE 50PK    </t>
  </si>
  <si>
    <t>EE58015</t>
  </si>
  <si>
    <t>Nitrile Examination Gloves Blue Powder Free Large</t>
  </si>
  <si>
    <t>Box of 300</t>
  </si>
  <si>
    <t>Nitrile Examination Gloves Blue Powder Free Medium</t>
  </si>
  <si>
    <t>Nitrile Examination Gloves Blue Powder Free Small</t>
  </si>
  <si>
    <t>Premium Scouring Sponge 150mm x 115mm</t>
  </si>
  <si>
    <t>Carton of 60</t>
  </si>
  <si>
    <t>Soft Care All Purpose Foam Intellicare 1.3L</t>
  </si>
  <si>
    <t>JD100940173</t>
  </si>
  <si>
    <t>Carton of 4</t>
  </si>
  <si>
    <t>Soft care Fresh Intellicate 1.3L</t>
  </si>
  <si>
    <t>JD100938559</t>
  </si>
  <si>
    <t>Toilet Tidy Set</t>
  </si>
  <si>
    <t>EE10205</t>
  </si>
  <si>
    <t xml:space="preserve">PRIST T/ROLL PREM 2PLY 400SH        </t>
  </si>
  <si>
    <t>PS1001</t>
  </si>
  <si>
    <t>Carton of 48</t>
  </si>
  <si>
    <t>White Soap Pleated 20g</t>
  </si>
  <si>
    <t>RGSPWBS20</t>
  </si>
  <si>
    <t>Natural Earth Soup bars 100g</t>
  </si>
  <si>
    <t>RGEARTHSC100F</t>
  </si>
  <si>
    <t>Tork Premium T/Roll 2 Ply 280sBW2170336</t>
  </si>
  <si>
    <t>BW2170336</t>
  </si>
  <si>
    <t>TITAN TOILET CLEANER 12X750ML</t>
  </si>
  <si>
    <t>Diversey</t>
  </si>
  <si>
    <t>SOFT CARE FRESH IC 1.3L</t>
  </si>
  <si>
    <t>SOFT CARE A/PURPOSE FOAM IC 1.3L</t>
  </si>
  <si>
    <t>SOFT CARE PLUS FOAM IC 1.3L</t>
  </si>
  <si>
    <t>JD100985880</t>
  </si>
  <si>
    <t>TASKI TAPI SHAMPOO 5L</t>
  </si>
  <si>
    <t>JD101100200</t>
  </si>
  <si>
    <t>SOFT CARE LUX 2 IN 1 IC 1.3L</t>
  </si>
  <si>
    <t>JD101100370</t>
  </si>
  <si>
    <t>SOFT CARE SS IC 1.3L</t>
  </si>
  <si>
    <t>JD101100721</t>
  </si>
  <si>
    <t>SOFT CARE M IC HAND SANIT 4X1.3L</t>
  </si>
  <si>
    <t>JD101100722</t>
  </si>
  <si>
    <t>SUMA BIO-FLOOR PLUS 3.78L</t>
  </si>
  <si>
    <t>JD101103121</t>
  </si>
  <si>
    <t>ASSET JF NEUTRALH/SURF CLNR R 2.5L</t>
  </si>
  <si>
    <t>JD4511895</t>
  </si>
  <si>
    <t>SUMA LIGHT D1.2 HAND DISH WASH  5L</t>
  </si>
  <si>
    <t>JD4626140</t>
  </si>
  <si>
    <t>CREAM CLEANSER R7 DISINFECT 12X750ML</t>
  </si>
  <si>
    <t>JD5751129</t>
  </si>
  <si>
    <t>CREW STT TOILET &amp; WR CLNR JF 2.5L</t>
  </si>
  <si>
    <t>JD5771517</t>
  </si>
  <si>
    <t>BREAK UP H/D DEGREASER 5LT</t>
  </si>
  <si>
    <t>JD5827470</t>
  </si>
  <si>
    <t>SUMA RINSE A5 5L</t>
  </si>
  <si>
    <t>JD7010105</t>
  </si>
  <si>
    <t>SUMA SPECIAL L4 20LT</t>
  </si>
  <si>
    <t>JD7010165</t>
  </si>
  <si>
    <t>REVEAL JF CLEANER FLOOR 2.5L</t>
  </si>
  <si>
    <t>JDHH15297</t>
  </si>
  <si>
    <t>SUMA GRILL D9 2 X 5L</t>
  </si>
  <si>
    <t>JDHH15347</t>
  </si>
  <si>
    <t>TASKFORCE JF CLNR DISINFECT H/D 2.5L</t>
  </si>
  <si>
    <t>JDHH15425</t>
  </si>
  <si>
    <t>JD J512 JF R/T 2.5L</t>
  </si>
  <si>
    <t>JDHH15471</t>
  </si>
  <si>
    <t>CLEAN AIR JF DEODORISER 2.5LT</t>
  </si>
  <si>
    <t>JDHH15542</t>
  </si>
  <si>
    <t>K3 Dishwashing Detergent 5L</t>
  </si>
  <si>
    <t>KWK3/5</t>
  </si>
  <si>
    <t>Cleaner Retreat Chlorinated Gel 750m</t>
  </si>
  <si>
    <t>EL5133303</t>
  </si>
  <si>
    <t>KW/MASTER DEOD TABS LAVENDER 4KG 25G</t>
  </si>
  <si>
    <t>KWDTLAV/4</t>
  </si>
  <si>
    <t>KW MANUAL DISHWASHING DETERGENT 5L</t>
  </si>
  <si>
    <t>KW FLOOR CLEANER &amp; DEGREASER HD 5L</t>
  </si>
  <si>
    <t>KWK4/5</t>
  </si>
  <si>
    <t>CONVOCLEAN OVEN CLEANER 10LTR</t>
  </si>
  <si>
    <t>MOFCC10L</t>
  </si>
  <si>
    <t>CONVOCARE RINSE NEUTRALISER 10L</t>
  </si>
  <si>
    <t>MOFCCARE10L</t>
  </si>
  <si>
    <t>Anti Splash urinal screens ocean</t>
  </si>
  <si>
    <t>CLSUROCEAN10</t>
  </si>
  <si>
    <t>PFD</t>
  </si>
  <si>
    <t>PO - XXXXXX</t>
  </si>
  <si>
    <t>BARCODES 
UNIT</t>
  </si>
  <si>
    <t>PORTIONS PER UNIT</t>
  </si>
  <si>
    <t>ORDER BY PACK</t>
  </si>
  <si>
    <t>STOCK ON HAND PACK</t>
  </si>
  <si>
    <t>STOCK IN TRANSIT PACK</t>
  </si>
  <si>
    <t>STOCK ORDERED PACK</t>
  </si>
  <si>
    <t>PACK PRICE</t>
  </si>
  <si>
    <t>COST PER 
PORTION</t>
  </si>
  <si>
    <t>RETAIL PRICE</t>
  </si>
  <si>
    <t>RETAIL PRICE 
EX GST</t>
  </si>
  <si>
    <t>MARGIN EX GST</t>
  </si>
  <si>
    <t>GP Ex GST</t>
  </si>
  <si>
    <t>INDULGENCE</t>
  </si>
  <si>
    <t>CONNOISSEUR Murray River Salted Caramel, Maca 20x114ml</t>
  </si>
  <si>
    <t>CONNOISSEUR Cookies and Cream 20x114ml</t>
  </si>
  <si>
    <t>CONNOISSEUR Montana Mountain Mint 20x114ml</t>
  </si>
  <si>
    <t>CONNOISSEUR Plant Based Vanilla Brownie 20x100ml</t>
  </si>
  <si>
    <t>CONNOISSEUR Vanilla Caramel Brownie 20x100ml</t>
  </si>
  <si>
    <t>CONNOISSEUR Koko Black Van DarkChoc 90mL LP20</t>
  </si>
  <si>
    <t>CONNOISSEUR Salted Pretzel LP20</t>
  </si>
  <si>
    <t>SNACKING</t>
  </si>
  <si>
    <t xml:space="preserve">DRUMSTICK Vanilla 24x119ml </t>
  </si>
  <si>
    <t xml:space="preserve">DRUMSTICK Super Choc 24x119ml </t>
  </si>
  <si>
    <t xml:space="preserve">DRUMSTICK Choc Mint 24x119ml </t>
  </si>
  <si>
    <t xml:space="preserve">DRUMSTICK Boysenberry 24x119ml </t>
  </si>
  <si>
    <t>DRUMSTICK Fudge Hzlnut 24x119ml</t>
  </si>
  <si>
    <t>DRUMSTICK CUA Hokey Pokey LP24</t>
  </si>
  <si>
    <t>MAXIBON - STANDARD</t>
  </si>
  <si>
    <t xml:space="preserve">MAXIBON Vanilla 24x155ml  </t>
  </si>
  <si>
    <t xml:space="preserve">MAXIBON Honeycomb 24x155ml  </t>
  </si>
  <si>
    <t xml:space="preserve">MAXIBON Caramel Rough Nut 24x155ml </t>
  </si>
  <si>
    <t>MAXIBON Monster Cookie 24x155ml</t>
  </si>
  <si>
    <t>MAXIBON Thts Mint 140mL LP24</t>
  </si>
  <si>
    <t>MAXIBON Waffle On LP24</t>
  </si>
  <si>
    <t>OREO</t>
  </si>
  <si>
    <t>OREO Sandwich LP18x118ml</t>
  </si>
  <si>
    <t xml:space="preserve">OREO Stick Sandwich LP xxxxx </t>
  </si>
  <si>
    <t>KIT KAT</t>
  </si>
  <si>
    <t>KIT KAT Stick 20x90ml</t>
  </si>
  <si>
    <t>REFRESHMENT PRODUCTS</t>
  </si>
  <si>
    <t>FROSTY FRUITS Natural Tropical 30x75ml</t>
  </si>
  <si>
    <t xml:space="preserve">LIFESAVERS 24x67ml </t>
  </si>
  <si>
    <t>METCASH</t>
  </si>
  <si>
    <t>TOBACCO</t>
  </si>
  <si>
    <t>LOOSE TOBACCO</t>
  </si>
  <si>
    <t xml:space="preserve">CHAMPION RUBY </t>
  </si>
  <si>
    <t>25/125GM</t>
  </si>
  <si>
    <t xml:space="preserve">PORT ROYAL RR R&amp;W </t>
  </si>
  <si>
    <t>WINFIELD BLUE (TOBACCO) 50GM</t>
  </si>
  <si>
    <t>5/50GM</t>
  </si>
  <si>
    <t>WINFIELD GOLD(TOBACCO) 50GM</t>
  </si>
  <si>
    <t>CIGARETTES</t>
  </si>
  <si>
    <t xml:space="preserve">JPS BLUE </t>
  </si>
  <si>
    <t>20/200GM</t>
  </si>
  <si>
    <t xml:space="preserve">JPS GOLD </t>
  </si>
  <si>
    <t>WINFIELD OPTIMUM CRUSH BLUE</t>
  </si>
  <si>
    <t>30/180GM</t>
  </si>
  <si>
    <t>WINFIELD ORIGINAL BLUE</t>
  </si>
  <si>
    <t>WINFIELD GOLD</t>
  </si>
  <si>
    <t xml:space="preserve">WINFIELD RED </t>
  </si>
  <si>
    <t xml:space="preserve">FILTERS,PAPERS &amp; LIGHTERS </t>
  </si>
  <si>
    <t>BIC LIGHTERS REGULAR</t>
  </si>
  <si>
    <t>Ranch Micro Slim Filters</t>
  </si>
  <si>
    <t>12x130</t>
  </si>
  <si>
    <t>Ranch Menthol Filters</t>
  </si>
  <si>
    <t>12x80</t>
  </si>
  <si>
    <t>Ranch Supa Slim Filters</t>
  </si>
  <si>
    <t>Rizla Blue Double Papers</t>
  </si>
  <si>
    <t>25x100</t>
  </si>
  <si>
    <t>Tally-ho Papers</t>
  </si>
  <si>
    <t>100x50</t>
  </si>
  <si>
    <t>BROWNES DAIRY</t>
  </si>
  <si>
    <t>COFFEE</t>
  </si>
  <si>
    <t xml:space="preserve">HUNT AND BREW AUSTRALIA </t>
  </si>
  <si>
    <t>600ML</t>
  </si>
  <si>
    <t>BRAZIL COFFEE</t>
  </si>
  <si>
    <t>400ML</t>
  </si>
  <si>
    <t>HONDURAS COFFEE</t>
  </si>
  <si>
    <t>COLOMBIA COFFEE</t>
  </si>
  <si>
    <t>PERU MOCHA</t>
  </si>
  <si>
    <t>DOMINICAN REPUBLIC COCOA</t>
  </si>
  <si>
    <t xml:space="preserve">FLAVOURED MILK </t>
  </si>
  <si>
    <t>DOUBLE ESPRESSO</t>
  </si>
  <si>
    <t xml:space="preserve">COFFEE PERCOLATED </t>
  </si>
  <si>
    <t>ICED COFFEE</t>
  </si>
  <si>
    <t xml:space="preserve">ICED COFFEE NO ADDED SUGAR             </t>
  </si>
  <si>
    <t xml:space="preserve">LIGHT ICED COFFEE </t>
  </si>
  <si>
    <t>ORIGINAL MOCHA</t>
  </si>
  <si>
    <t xml:space="preserve">CHOC CHILL </t>
  </si>
  <si>
    <t>BERRY</t>
  </si>
  <si>
    <t xml:space="preserve">BANANA </t>
  </si>
  <si>
    <t>CHOC CHILL</t>
  </si>
  <si>
    <t>TRIPLE ESPRESSO</t>
  </si>
  <si>
    <t xml:space="preserve">ORANGE JUICE </t>
  </si>
  <si>
    <t xml:space="preserve">ORANGE C CARTON              </t>
  </si>
  <si>
    <t>EMMA AND TOMS CLOUDY APPLE</t>
  </si>
  <si>
    <t>350ML</t>
  </si>
  <si>
    <t>EMMA AND TOMS EXTREME C</t>
  </si>
  <si>
    <t>EMMA AND TOMS GREEN POWER</t>
  </si>
  <si>
    <t>EMMA AND TOMS KARMARAMA</t>
  </si>
  <si>
    <t>EMMA AND TOMS STRAIGHT OJ</t>
  </si>
  <si>
    <t>EMMA AND TOMS KICK STARTER</t>
  </si>
  <si>
    <t>KOMBUCHA</t>
  </si>
  <si>
    <t>LO BROS ORANGE &amp; MANGO</t>
  </si>
  <si>
    <t>250ML</t>
  </si>
  <si>
    <t>LO BROS PASSIONFRUIT</t>
  </si>
  <si>
    <t>LO BROS RASPBERRY &amp; LEMON</t>
  </si>
  <si>
    <t>LO BROS GINGER &amp; LEMON</t>
  </si>
  <si>
    <t>LO BROS LEMON LIME &amp; BITTERS</t>
  </si>
  <si>
    <t>LO BROS COLA</t>
  </si>
  <si>
    <t>SODA</t>
  </si>
  <si>
    <t>LO BROS GRAPEFRUIT</t>
  </si>
  <si>
    <t>375ML</t>
  </si>
  <si>
    <t>LO BROS RASPBERRY</t>
  </si>
  <si>
    <t>LO BROS LEMON</t>
  </si>
  <si>
    <t>LO BROS ORANGE</t>
  </si>
  <si>
    <t>PERSONAL CARE</t>
  </si>
  <si>
    <t>Allens Anticol Medicated Throat Lozenges</t>
  </si>
  <si>
    <t>40G</t>
  </si>
  <si>
    <t>Allens Butter Menthol Medicated Lozenges</t>
  </si>
  <si>
    <t>Allens Soothers Blackcurrent Medicated Lozenges</t>
  </si>
  <si>
    <t>Bandaid Regular Tough Strip Bandaid</t>
  </si>
  <si>
    <t>40S</t>
  </si>
  <si>
    <t>Black &amp; Gold Plastic Clothes Pegs Heavy Duty</t>
  </si>
  <si>
    <t>24S</t>
  </si>
  <si>
    <t>Colgate Dental Ribbon Total Tartar Control</t>
  </si>
  <si>
    <t>Colgate Toothbrush Twister Adult Medium</t>
  </si>
  <si>
    <t>Colgate Toothpaste Triple Action</t>
  </si>
  <si>
    <t>160G</t>
  </si>
  <si>
    <t>Fluffy Fab Sft Ult V/SPC</t>
  </si>
  <si>
    <t>500ML</t>
  </si>
  <si>
    <t>Gillette Blue II Plus Disposable Razor</t>
  </si>
  <si>
    <t>Gillette Shaving Foam</t>
  </si>
  <si>
    <t>Imodium Laxative Capsules</t>
  </si>
  <si>
    <t>8S</t>
  </si>
  <si>
    <t>Johnson &amp; Johnson Baby Powder</t>
  </si>
  <si>
    <t>200G</t>
  </si>
  <si>
    <t>Kiwi Brown Black Boot Laces</t>
  </si>
  <si>
    <t>120CM</t>
  </si>
  <si>
    <t>Korbond Playing Cards</t>
  </si>
  <si>
    <t xml:space="preserve">Listerine Fresh Burst Mouthwash </t>
  </si>
  <si>
    <t xml:space="preserve">Listerine Zero Cool Mint Mouthwash </t>
  </si>
  <si>
    <t>Lucas Paw Paw Ointment</t>
  </si>
  <si>
    <t>25ML</t>
  </si>
  <si>
    <t>Lynx Africa Shower Gel</t>
  </si>
  <si>
    <t>Murine Relief Eye Drops</t>
  </si>
  <si>
    <t>15ML</t>
  </si>
  <si>
    <t>Natures Organic Coconut &amp; Lime Conditioner</t>
  </si>
  <si>
    <t>Natures Organic Coconut &amp; Lime Shampoo</t>
  </si>
  <si>
    <t>Nivea Mens Invisible Aerosol Antiperspriant</t>
  </si>
  <si>
    <t>Nivea Repair Lip Care</t>
  </si>
  <si>
    <t>4.8G</t>
  </si>
  <si>
    <t>Nivea Rich Nourishing Moisturiser</t>
  </si>
  <si>
    <t>Nurofen Zavance Tablets</t>
  </si>
  <si>
    <t>12S</t>
  </si>
  <si>
    <t>Nyal Cold &amp; Flu Day and Night Tablets</t>
  </si>
  <si>
    <t>Nyal Cold Sore Cream</t>
  </si>
  <si>
    <t>10G</t>
  </si>
  <si>
    <t>OMO Active Clean Front &amp; Top Loader Powder Concetrate</t>
  </si>
  <si>
    <t>Palmolive Naturals Rich Moisture Milk and Honey</t>
  </si>
  <si>
    <t>Panadol Cold &amp; Flu Decongestant Caplets</t>
  </si>
  <si>
    <t>20S</t>
  </si>
  <si>
    <t>Panadol Tablets</t>
  </si>
  <si>
    <t>Quick-Eze Chewy</t>
  </si>
  <si>
    <t>Redberry Large Black Ponytail Elastics</t>
  </si>
  <si>
    <t>Redberry Large Nail Clippers</t>
  </si>
  <si>
    <t>Redberry Loofa Pad</t>
  </si>
  <si>
    <t>Redberry Slanted Tweezers</t>
  </si>
  <si>
    <t>Redberry Vent Brush</t>
  </si>
  <si>
    <t>Savlon Antiseptic Cream</t>
  </si>
  <si>
    <t>75G</t>
  </si>
  <si>
    <t>Swisspers Face Wipes</t>
  </si>
  <si>
    <t>25S</t>
  </si>
  <si>
    <t>Swisspers Paper Stem Cotton Tips</t>
  </si>
  <si>
    <t>240S</t>
  </si>
  <si>
    <t xml:space="preserve">Vaseline Body Lotion Aloe Fresh </t>
  </si>
  <si>
    <t>225ML</t>
  </si>
  <si>
    <t>Vicks Inhaler</t>
  </si>
  <si>
    <t>1S</t>
  </si>
  <si>
    <t>Voltaren Emulgel</t>
  </si>
  <si>
    <t>50G</t>
  </si>
  <si>
    <t>Zyrtec Tablets 1mg</t>
  </si>
  <si>
    <t>5S</t>
  </si>
  <si>
    <t>Sore Throat Gargle</t>
  </si>
  <si>
    <t>120ML</t>
  </si>
  <si>
    <t>PE Sinus +Pain Relief</t>
  </si>
  <si>
    <t>10S</t>
  </si>
  <si>
    <t>Nyal Decongestant Spray</t>
  </si>
  <si>
    <t xml:space="preserve">SNACK CHIPS </t>
  </si>
  <si>
    <t>Jack Links Original Beef Jerky</t>
  </si>
  <si>
    <t>Jack Links Teriyaki Beef Jerky</t>
  </si>
  <si>
    <t xml:space="preserve">Maggi Cup of Noodles Beef </t>
  </si>
  <si>
    <t>58G</t>
  </si>
  <si>
    <t>Maggi Cup of Noodles Chicken</t>
  </si>
  <si>
    <t>60G</t>
  </si>
  <si>
    <t>Maggi Cup of Noodles Mi Goreng</t>
  </si>
  <si>
    <t>65G</t>
  </si>
  <si>
    <t>Necafe Cappuccino Coffee Mixes</t>
  </si>
  <si>
    <t>10 PACK</t>
  </si>
  <si>
    <t>Nescafe Caramel Coffee Mixes</t>
  </si>
  <si>
    <t>Nescafe Mocha Coffee Mixes</t>
  </si>
  <si>
    <t>Healthier Alternatives, Vegan, Gluten Free &amp; Protein Options</t>
  </si>
  <si>
    <t>Ajitas Barbeque Vegetable Chips</t>
  </si>
  <si>
    <t>100G</t>
  </si>
  <si>
    <t>Ajitas Honey Vege Rice Crackers</t>
  </si>
  <si>
    <t>Ajitas Original Deli Crisp  Chips</t>
  </si>
  <si>
    <t>Musashi Caramel Cookie Crunch Deluxe</t>
  </si>
  <si>
    <t>Musashi Jam Donut Deluxe</t>
  </si>
  <si>
    <t>Musashi Low Carb Choc Brownie</t>
  </si>
  <si>
    <t>90G</t>
  </si>
  <si>
    <t>Musashi Rocky Road</t>
  </si>
  <si>
    <t>Musashi Vanilla Wafer</t>
  </si>
  <si>
    <t>MICROWAVE MEALS</t>
  </si>
  <si>
    <t>McCain Man Size Butter Chicken</t>
  </si>
  <si>
    <t>480G</t>
  </si>
  <si>
    <t>McCain Man Size Spaghetti Meatball</t>
  </si>
  <si>
    <t>500G</t>
  </si>
  <si>
    <t>On The Menu Cheese Burger</t>
  </si>
  <si>
    <t>161G</t>
  </si>
  <si>
    <t>On The Menu Chicken Burger</t>
  </si>
  <si>
    <t>165G</t>
  </si>
  <si>
    <t>On The Menu Roast Chicken Roll</t>
  </si>
  <si>
    <t>184G</t>
  </si>
  <si>
    <t>On The Menu Satay Chicken Roll</t>
  </si>
  <si>
    <t>185G</t>
  </si>
  <si>
    <t xml:space="preserve">CONFECTIONARY &amp; SNACKS </t>
  </si>
  <si>
    <t>Arnotts Chewy Caramel Tim Tam Biscuits</t>
  </si>
  <si>
    <t>175g</t>
  </si>
  <si>
    <t>Arnotts Chocolate Scotch Finger Biscuits</t>
  </si>
  <si>
    <t>250g</t>
  </si>
  <si>
    <t>Arnotts Chocolate Tim Tam Double Coat Biscuits</t>
  </si>
  <si>
    <t>Arnotts Shapes Original BBQ</t>
  </si>
  <si>
    <t>175G</t>
  </si>
  <si>
    <t>Arnotts Shapes Original Cheese and Bacon</t>
  </si>
  <si>
    <t xml:space="preserve">Arnotts Shapes Original Chicken Crimpy </t>
  </si>
  <si>
    <t>Arnotts Shapes Original Pizza</t>
  </si>
  <si>
    <t>Bar Mars</t>
  </si>
  <si>
    <t>47G</t>
  </si>
  <si>
    <t>Bar Snickers</t>
  </si>
  <si>
    <t>44G</t>
  </si>
  <si>
    <t>Bar Twix Twin</t>
  </si>
  <si>
    <t>Burger Rings</t>
  </si>
  <si>
    <t>Cadbury Bar Boost</t>
  </si>
  <si>
    <t>Cadbury Bar Cherry Ripe</t>
  </si>
  <si>
    <t>52G</t>
  </si>
  <si>
    <t>Cadbury Bar Picnic</t>
  </si>
  <si>
    <t>46G</t>
  </si>
  <si>
    <t>Cadbury Bar Twirl</t>
  </si>
  <si>
    <t>39G</t>
  </si>
  <si>
    <t xml:space="preserve">Cadbury Block Dairymilk Caramello Chocolate </t>
  </si>
  <si>
    <t>150G</t>
  </si>
  <si>
    <t>Cadbury Block Dairymilk Chocolate</t>
  </si>
  <si>
    <t>Cadbury Block Dairymilk Fruit &amp; Nut Chocolate</t>
  </si>
  <si>
    <t>Cadbury Block Dairymilk Hazelnut Chocolate</t>
  </si>
  <si>
    <t>Cadbury Block Dairymilk Top Deck Chocolate</t>
  </si>
  <si>
    <t>Cadbury Block Dairymilk Snack Chocolate</t>
  </si>
  <si>
    <t>Cadbury Favourites Box</t>
  </si>
  <si>
    <t>373G</t>
  </si>
  <si>
    <t>Cadbury Frys Turkish Delight</t>
  </si>
  <si>
    <t>55G</t>
  </si>
  <si>
    <t xml:space="preserve">Cadbury Old Gold Dark 70% Cocoa </t>
  </si>
  <si>
    <t>180G</t>
  </si>
  <si>
    <t>Cadbury Old Gold Dark Moccona</t>
  </si>
  <si>
    <t>170G</t>
  </si>
  <si>
    <t xml:space="preserve">Cadbury Old Gold Dark Peppermint </t>
  </si>
  <si>
    <t>Cadbury Old Gold Dark Roast Almond</t>
  </si>
  <si>
    <t>Cheetos Cheese &amp; Bacon</t>
  </si>
  <si>
    <t>Cheezels Cheese Snacks</t>
  </si>
  <si>
    <t>Darrell Lea Milk Chocolate Bullets</t>
  </si>
  <si>
    <t>226G</t>
  </si>
  <si>
    <t>Darrell Lea Milk Chocolate Bullets Raspberry</t>
  </si>
  <si>
    <t>Darrell Lea Twists Milk Chocolate</t>
  </si>
  <si>
    <t>Darrell Lea Twists Raspberry</t>
  </si>
  <si>
    <t>280G</t>
  </si>
  <si>
    <t>Kit Kat Caramel Chunky</t>
  </si>
  <si>
    <t>Kit Kat Chunky</t>
  </si>
  <si>
    <t>M&amp;M's Crispy</t>
  </si>
  <si>
    <t>145G</t>
  </si>
  <si>
    <t>M&amp;M's Peanuts</t>
  </si>
  <si>
    <t xml:space="preserve">Maltesers </t>
  </si>
  <si>
    <t>140G</t>
  </si>
  <si>
    <t>Mars Mars Pods</t>
  </si>
  <si>
    <t>Mars Snickers Pods</t>
  </si>
  <si>
    <t>Mentos Fruit Roll</t>
  </si>
  <si>
    <t>37,5G</t>
  </si>
  <si>
    <t>Mentos Mint Roll</t>
  </si>
  <si>
    <t>37.5G</t>
  </si>
  <si>
    <t>Mentos Spearmint Roll</t>
  </si>
  <si>
    <t>Natural Confect Fruit Salad Jellies</t>
  </si>
  <si>
    <t>220G</t>
  </si>
  <si>
    <t>Natural Confect Fruity Mix Chews</t>
  </si>
  <si>
    <t>Natural Confect Jelly Babies</t>
  </si>
  <si>
    <t>Natural Confect Party Mix</t>
  </si>
  <si>
    <t>Natural Confect Snakes</t>
  </si>
  <si>
    <t>Natural Confect Sour Squirms</t>
  </si>
  <si>
    <t>Nestle Aero Peppermint Block</t>
  </si>
  <si>
    <t>118G</t>
  </si>
  <si>
    <t xml:space="preserve">Nestle Rolo Block </t>
  </si>
  <si>
    <t>Nobbys Salted Cashews</t>
  </si>
  <si>
    <t>Nobbys Salted Peanuts</t>
  </si>
  <si>
    <t>Olympic Snack Cups - Assorted Jellies</t>
  </si>
  <si>
    <t>120G</t>
  </si>
  <si>
    <t>Olympic Snack Cups - Liquorice All Sorts</t>
  </si>
  <si>
    <t>Olympic Snack Cups - Sour Combo</t>
  </si>
  <si>
    <t>Pascall Jet Planes</t>
  </si>
  <si>
    <t>Pascall Pineapple Lumps</t>
  </si>
  <si>
    <t>Primo Mild Salami Stackers</t>
  </si>
  <si>
    <t>Primo Spicy Chorizo Stackers</t>
  </si>
  <si>
    <t>Red Rock Deli Honey Soy Chicken</t>
  </si>
  <si>
    <t>Red Rock Deli Sea Salt</t>
  </si>
  <si>
    <t>Red Rock Deli Sea Salt &amp; Balsamic Vinegar</t>
  </si>
  <si>
    <t>12x90g</t>
  </si>
  <si>
    <t>Red Rock Deli Sweet Chilli &amp; Sour Cream</t>
  </si>
  <si>
    <t xml:space="preserve">Skittles Fruit Share Bag </t>
  </si>
  <si>
    <t>12x200g</t>
  </si>
  <si>
    <t>Skittles Sours</t>
  </si>
  <si>
    <t>12x190g</t>
  </si>
  <si>
    <t>Smiths BBQ Crinkle Cut</t>
  </si>
  <si>
    <t>18x90g</t>
  </si>
  <si>
    <t>Smiths Cheese and Onion Crinkle Cut</t>
  </si>
  <si>
    <t>Smiths Salt and Vinegar Crinkle Cut</t>
  </si>
  <si>
    <t>Twisties Cheese</t>
  </si>
  <si>
    <t>23x90g</t>
  </si>
  <si>
    <t>Twisties Chicken</t>
  </si>
  <si>
    <t>Whittakers Almond Slab</t>
  </si>
  <si>
    <t>50x50g</t>
  </si>
  <si>
    <t>Whittakers Coconut Slab</t>
  </si>
  <si>
    <t xml:space="preserve">Whittakers Peanut Slab </t>
  </si>
  <si>
    <t>Wrigleys Extra Bubblegum Gum Bottle</t>
  </si>
  <si>
    <t>6x64g</t>
  </si>
  <si>
    <t>Wrigleys Extra Peppermint Gum Bottle</t>
  </si>
  <si>
    <t>Wrigleys Extra Spearmint Gum Bottle</t>
  </si>
  <si>
    <t>Wrigleys Extra White Spearmint Gum Bottle</t>
  </si>
  <si>
    <t>Zappo Grape Candy</t>
  </si>
  <si>
    <t>60x26g</t>
  </si>
  <si>
    <t>Zappo Strawberry Candy</t>
  </si>
  <si>
    <t>Zappo Tutti Frutti Candy</t>
  </si>
  <si>
    <t xml:space="preserve">TOILETRIES </t>
  </si>
  <si>
    <t xml:space="preserve">AEROGARD TROPICAL PUMP    </t>
  </si>
  <si>
    <t>135ML</t>
  </si>
  <si>
    <t xml:space="preserve">ASPRO CLEAR X/STRENGTH     </t>
  </si>
  <si>
    <t>16S</t>
  </si>
  <si>
    <t xml:space="preserve">BEROCCA PERF ORIG          </t>
  </si>
  <si>
    <t>15S</t>
  </si>
  <si>
    <t xml:space="preserve">BETADINE ANTISEPTIC LIQUID </t>
  </si>
  <si>
    <t>BLISTEX LIP BLM SPF 30</t>
  </si>
  <si>
    <t>ZYRTEC TABLETS</t>
  </si>
  <si>
    <t xml:space="preserve">COLG T/PASTE TOTAL         </t>
  </si>
  <si>
    <t>40GM</t>
  </si>
  <si>
    <t xml:space="preserve">COLG T/PASTE TOTAL  ADVANCED WHITENING </t>
  </si>
  <si>
    <t>115GM</t>
  </si>
  <si>
    <t xml:space="preserve">COLGATE TOTAL </t>
  </si>
  <si>
    <t xml:space="preserve">COLG T/PASTE TRIPLE ACTION </t>
  </si>
  <si>
    <t>110GM</t>
  </si>
  <si>
    <t>160GM</t>
  </si>
  <si>
    <t xml:space="preserve">COLG T/BRSH Z/ZAG ADLT SOFT </t>
  </si>
  <si>
    <t>SNG</t>
  </si>
  <si>
    <t xml:space="preserve">COLG T/BRSH Z/ZAG ADLT MED </t>
  </si>
  <si>
    <t>COLGATE TWISTER TOOTHBRUSH</t>
  </si>
  <si>
    <t>EASE A COLD COUGH COLD &amp; FLU</t>
  </si>
  <si>
    <t>GILL BLUE 2 PLUS DISP PIVOT</t>
  </si>
  <si>
    <t>GILL VENUS 4DISP  RAZOR</t>
  </si>
  <si>
    <t>4PACK</t>
  </si>
  <si>
    <t xml:space="preserve">GILL MACH 3 BLADES         </t>
  </si>
  <si>
    <t>5PACK</t>
  </si>
  <si>
    <t>GILL SHAVE GEL SENS</t>
  </si>
  <si>
    <t>195GM</t>
  </si>
  <si>
    <t>GILL SHAVE CRM FOAMY SENS</t>
  </si>
  <si>
    <t>250GM</t>
  </si>
  <si>
    <t>HEAD&amp;SHLDR COND SMOOTH SILK</t>
  </si>
  <si>
    <t>200ML</t>
  </si>
  <si>
    <t>HEAD&amp;SHLDR S/POO SMOOTH SILK</t>
  </si>
  <si>
    <t>HEAD&amp;SHLDR 2 IN 1 CLEAN AND BALANCED</t>
  </si>
  <si>
    <t xml:space="preserve">HERB ESSS/POO HYDRATION </t>
  </si>
  <si>
    <t>300ML</t>
  </si>
  <si>
    <t xml:space="preserve">HERB ESS COND HYDRATION </t>
  </si>
  <si>
    <t>IMODIUM AZAPID LAXATIVES</t>
  </si>
  <si>
    <t>6S</t>
  </si>
  <si>
    <t xml:space="preserve">J&amp;J BABY POWDER </t>
  </si>
  <si>
    <t>200GM</t>
  </si>
  <si>
    <t xml:space="preserve">J&amp;J BAND AID TOUGH STRIPS  </t>
  </si>
  <si>
    <t xml:space="preserve">KLNX TISSUE POCKET PK       </t>
  </si>
  <si>
    <t>9S</t>
  </si>
  <si>
    <t>LAUNDRY POWDER COLD  POWER</t>
  </si>
  <si>
    <t>900GM</t>
  </si>
  <si>
    <t>1KG</t>
  </si>
  <si>
    <t>LAUNDRY POWDER FRESH FRANGIPANI</t>
  </si>
  <si>
    <t>LISTERINE TOTAL CARE ZERO</t>
  </si>
  <si>
    <t xml:space="preserve">LISTERINE ZERO </t>
  </si>
  <si>
    <t xml:space="preserve">LISTERINE TOTAL CARE </t>
  </si>
  <si>
    <t>L/STYLE CONDOMS REGULAR</t>
  </si>
  <si>
    <t>PACK</t>
  </si>
  <si>
    <t xml:space="preserve">LYNX ANARCHY 2IN1 S/POO COND </t>
  </si>
  <si>
    <t xml:space="preserve">LYNX SHWR GEL EXCITE    </t>
  </si>
  <si>
    <t>MENTHOLATUM DEEP HEAT RUB</t>
  </si>
  <si>
    <t>100GM</t>
  </si>
  <si>
    <t xml:space="preserve">MURINE EYE DROPS </t>
  </si>
  <si>
    <t>15MKL</t>
  </si>
  <si>
    <t xml:space="preserve">NIVEA SENSITIVE PROTECT </t>
  </si>
  <si>
    <t xml:space="preserve">NUROFEN ZAVANCE TAB </t>
  </si>
  <si>
    <t>256MG 12S</t>
  </si>
  <si>
    <t xml:space="preserve">NUROFEN CAPLETS           </t>
  </si>
  <si>
    <t xml:space="preserve">PALM NAT COND ACTIVE </t>
  </si>
  <si>
    <t xml:space="preserve">PALMERS LIP BALM COCOA BTR </t>
  </si>
  <si>
    <t>4GM</t>
  </si>
  <si>
    <t>PALM MOISTSHOWER MILK</t>
  </si>
  <si>
    <t>100ML</t>
  </si>
  <si>
    <t xml:space="preserve">PALM MEN DEEP CLEAN SHOWER GEL </t>
  </si>
  <si>
    <t>PANADOL CAPLETS OPTIZOR</t>
  </si>
  <si>
    <t>PANADOL CAPLETS RAPID H/PK</t>
  </si>
  <si>
    <t xml:space="preserve">PANADOL CAPLETS RAPID </t>
  </si>
  <si>
    <t>20CAPS</t>
  </si>
  <si>
    <t xml:space="preserve">PANADOL COLD/FLU DECONGST  </t>
  </si>
  <si>
    <t>PANADOL CAPLETS WITH OPTIZORB </t>
  </si>
  <si>
    <t>PEGS WOODEN</t>
  </si>
  <si>
    <t>REDBERRY BRUSH VENT</t>
  </si>
  <si>
    <t>REDBERRY NAIL BRUSH</t>
  </si>
  <si>
    <t>REDBERRY TOENAIL CLIPPERS</t>
  </si>
  <si>
    <t>REDBERRY TWEEZER SLANTED</t>
  </si>
  <si>
    <t xml:space="preserve">RADOX OXYGENATED SHOWER GEL </t>
  </si>
  <si>
    <t xml:space="preserve">RADOX HEAVENLY SHOWER GEL </t>
  </si>
  <si>
    <t xml:space="preserve">REXONA MEN INVISIBLE DRY </t>
  </si>
  <si>
    <t>220ML</t>
  </si>
  <si>
    <t xml:space="preserve">REXONA AP MEN WORKOUT </t>
  </si>
  <si>
    <t xml:space="preserve">REXONA ROLL ON CLASSIC    </t>
  </si>
  <si>
    <t>50ML</t>
  </si>
  <si>
    <t xml:space="preserve">SAVLON ANTISEPTIC CREAM   </t>
  </si>
  <si>
    <t>30GM</t>
  </si>
  <si>
    <t>SOCKS EXPLORER SHORT BLACK 06-10</t>
  </si>
  <si>
    <t>SOCKS EXPLORER SHORT BLACK 11-14</t>
  </si>
  <si>
    <t xml:space="preserve">SORBENT TISSUE WHITE </t>
  </si>
  <si>
    <t>250S</t>
  </si>
  <si>
    <t>STINGOSE GEL TUBE       </t>
  </si>
  <si>
    <t>25GM</t>
  </si>
  <si>
    <t xml:space="preserve">STREPSILS HONEY &amp; LEMON    </t>
  </si>
  <si>
    <t xml:space="preserve">SWISSPERS COTTON TIPS     </t>
  </si>
  <si>
    <t>VASELINE B/LTN NOURISHING</t>
  </si>
  <si>
    <t>VICKS INHALER</t>
  </si>
  <si>
    <t xml:space="preserve">VICKS VAPORUB             </t>
  </si>
  <si>
    <t>50GM</t>
  </si>
  <si>
    <t xml:space="preserve">ZOVIRAX COLD SORE CRM TUBE </t>
  </si>
  <si>
    <t>2GM</t>
  </si>
  <si>
    <t>UTILITIES</t>
  </si>
  <si>
    <t>Moki Micro-USB Syncharge Cable</t>
  </si>
  <si>
    <t>Moki Syncharge Lightning Cable</t>
  </si>
  <si>
    <t>Moki Type C Cable</t>
  </si>
  <si>
    <t>Moki White Dual USB Wall Charger</t>
  </si>
  <si>
    <t>Libra Regular Tampons</t>
  </si>
  <si>
    <t>16s</t>
  </si>
  <si>
    <t>Libra Super Tampons</t>
  </si>
  <si>
    <t>Libra Ultra Thins Wings Regular Pads</t>
  </si>
  <si>
    <t>14s</t>
  </si>
  <si>
    <t>Libra Ultra Thins Wings Super Pads</t>
  </si>
  <si>
    <t>12s</t>
  </si>
  <si>
    <t xml:space="preserve">WATER </t>
  </si>
  <si>
    <t xml:space="preserve">Mt Franklin lightly Sparkling Mineral Water </t>
  </si>
  <si>
    <t>450ml</t>
  </si>
  <si>
    <t xml:space="preserve">Mt Franklin lightly Sparkling Lime Mineral Water </t>
  </si>
  <si>
    <t>1.25L</t>
  </si>
  <si>
    <t>Aussie Natural Spring Water 1.5L</t>
  </si>
  <si>
    <t>8x1.5L</t>
  </si>
  <si>
    <t>Aussie Natural Spring Water 600ml</t>
  </si>
  <si>
    <t>24x600ml</t>
  </si>
  <si>
    <t>JT'S 100% Pure Coconut Water Can</t>
  </si>
  <si>
    <t>24x510ml</t>
  </si>
  <si>
    <t>LIQUOR TRADERS</t>
  </si>
  <si>
    <t>admin@liquortradersaustralia.com.au</t>
  </si>
  <si>
    <t xml:space="preserve">Lic # </t>
  </si>
  <si>
    <t>BEER</t>
  </si>
  <si>
    <t>BARCODE UNIT 
SIZE</t>
  </si>
  <si>
    <t>PORTIONS PER PACK</t>
  </si>
  <si>
    <t>PACK PRICE
28/04/2023</t>
  </si>
  <si>
    <t>ALBY CRISP LAGER</t>
  </si>
  <si>
    <t>CAN</t>
  </si>
  <si>
    <t>BALTER CAPTAIN SENSIBLE</t>
  </si>
  <si>
    <t>CARLTON MID</t>
  </si>
  <si>
    <t>CARLTON ZERO</t>
  </si>
  <si>
    <t>COLONIAL SMALL ALE</t>
  </si>
  <si>
    <t>COOPERS MID</t>
  </si>
  <si>
    <t>FERAL RUNT MID</t>
  </si>
  <si>
    <t>GAGE ROADS HELLO SUNSHINE CIDER 3.5%</t>
  </si>
  <si>
    <t>GAGE ROADS SIDE TRACK XPA 3.5%</t>
  </si>
  <si>
    <t>GAGE ROADS YEAH BOUY 0.0%</t>
  </si>
  <si>
    <t>GREAT NORTHEN SUP/CRSP 3.5%</t>
  </si>
  <si>
    <t>HAHN SUPERDRY 3.5%</t>
  </si>
  <si>
    <t xml:space="preserve">IRON JACK BLK 3.5% </t>
  </si>
  <si>
    <t>NAIL MVP SESSION ALE MID 3.5%</t>
  </si>
  <si>
    <t>PIRATE LIFE SOUTH COAST MID PALE ALE 3.5%</t>
  </si>
  <si>
    <t>XXXX GOLD</t>
  </si>
  <si>
    <t>WINE, MIXERS AND CIDER</t>
  </si>
  <si>
    <t>BROWN BROTHERS PROSECCO</t>
  </si>
  <si>
    <t>BTL</t>
  </si>
  <si>
    <t xml:space="preserve">BILLSONS CREAM SODA 355ML </t>
  </si>
  <si>
    <t xml:space="preserve">BILLSONS FAIRY FLOSS 355ML </t>
  </si>
  <si>
    <t xml:space="preserve">BILLSONS FRUIT TANGLE 355ML </t>
  </si>
  <si>
    <t>BILLSONS R/SHERBET 355ML</t>
  </si>
  <si>
    <t>BILLSONS TROP PUNCH 355ML</t>
  </si>
  <si>
    <t>BUNDY COLA 3.5%</t>
  </si>
  <si>
    <t>CANADIAN CLUB DRY</t>
  </si>
  <si>
    <t>JACOBS CREEK CLASSIC MERLOT (BOTTLE)</t>
  </si>
  <si>
    <t>JACK DANIELS COLA 3.5%</t>
  </si>
  <si>
    <t>JIM BEAM MID &amp; COLA 3.5%</t>
  </si>
  <si>
    <t>J/WALKER COLA 3.5%</t>
  </si>
  <si>
    <t>MATROS GINER BEER</t>
  </si>
  <si>
    <t>OXFORD LANDING SAUV BLANC</t>
  </si>
  <si>
    <t>RUSTY YAK GINGER BEER</t>
  </si>
  <si>
    <t>SMIRNOFF LIME SELTZER 3.5%</t>
  </si>
  <si>
    <t>SOFT DRINKS</t>
  </si>
  <si>
    <t>375ml</t>
  </si>
  <si>
    <t xml:space="preserve">COCA COLA CAN 375ML </t>
  </si>
  <si>
    <t>COCA COLA NO SUGAR CAN 375ML</t>
  </si>
  <si>
    <t>FANTA CANS 375ML</t>
  </si>
  <si>
    <t>SPRITE CANS 375ML</t>
  </si>
  <si>
    <t>600ml</t>
  </si>
  <si>
    <t xml:space="preserve">COCA COLA 600ML </t>
  </si>
  <si>
    <t>PET</t>
  </si>
  <si>
    <t>COCA COLA NO SUGAR 600ML</t>
  </si>
  <si>
    <t>FANTA ORANGE 600ML</t>
  </si>
  <si>
    <t>PEPSI MAX 600ML</t>
  </si>
  <si>
    <t>SOLO 600ML PET</t>
  </si>
  <si>
    <t>SPRITE 600ML</t>
  </si>
  <si>
    <t>SUNKIST 600ML PET</t>
  </si>
  <si>
    <t>1.25LT</t>
  </si>
  <si>
    <t xml:space="preserve">COCA COLA 1.25LT </t>
  </si>
  <si>
    <t>COCA COLA NO SUGAR 1.25LT</t>
  </si>
  <si>
    <t>FANTA ORANGE 1.25L</t>
  </si>
  <si>
    <t xml:space="preserve">PEPSI MAX 1.25L </t>
  </si>
  <si>
    <t>SCHWEPPES SOLO 1.25LT CTN</t>
  </si>
  <si>
    <t>SPRITE 1.25LT</t>
  </si>
  <si>
    <t xml:space="preserve">SUNKIST 1.25L </t>
  </si>
  <si>
    <t xml:space="preserve">SPORTS DRINKS </t>
  </si>
  <si>
    <t xml:space="preserve">MAXIMUS BLUE 1LTR </t>
  </si>
  <si>
    <t>MAXIMUS GRAPE 1LTR</t>
  </si>
  <si>
    <t>MAXIMUS MANGO 1LTR</t>
  </si>
  <si>
    <t>MAXIMUS RASPBERRY 1LTR</t>
  </si>
  <si>
    <t>POWERADE BERRY 600ML</t>
  </si>
  <si>
    <t xml:space="preserve">POWERADE BLACKCURRENT 600ML </t>
  </si>
  <si>
    <t>POWERADE MOUNTAIN BLAST 600ML</t>
  </si>
  <si>
    <t>POWERADE WALLABY GOLD RUSH 600ML</t>
  </si>
  <si>
    <t xml:space="preserve">ENERGY DRINK </t>
  </si>
  <si>
    <t>MONSTER ENERGY DRINK 500ML</t>
  </si>
  <si>
    <t>MONSTER ENERGY MANGO 500ML</t>
  </si>
  <si>
    <t>MONSTER ENERGY PUNCH 500ML</t>
  </si>
  <si>
    <t>MONSTER ZERO ULTRA 500ML</t>
  </si>
  <si>
    <t>RED BULL CAN 250ML</t>
  </si>
  <si>
    <t>RED BULL 473ML</t>
  </si>
  <si>
    <t>RED BULL ZERO 250ML</t>
  </si>
  <si>
    <t>RED BULL ZERO 473ML</t>
  </si>
  <si>
    <t>V ENERGY BLUE 500ML</t>
  </si>
  <si>
    <t>V ENERGY DRINK GREEN 500ML</t>
  </si>
  <si>
    <t>V ENERGY RASP/LEMON 500ML</t>
  </si>
  <si>
    <t>V ENERGY SUGAR FREE 500ML</t>
  </si>
  <si>
    <t>GARMENTS</t>
  </si>
  <si>
    <t>PACK PRICE
24/04/2023</t>
  </si>
  <si>
    <t>TRADIE MENS SOCKS 3PK 11-13</t>
  </si>
  <si>
    <t>TRADIE MENS SOCKS 3PK 7-10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</si>
</sst>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&quot;$&quot;#,##0.00;[Red]\-&quot;$&quot;#,##0.00"/>
    <numFmt numFmtId="165" formatCode="_-&quot;$&quot;* #,##0.00_-;\-&quot;$&quot;* #,##0.00_-;_-&quot;$&quot;* &quot;-&quot;??_-;_-@_-"/>
    <numFmt numFmtId="166" formatCode="[$$-C09]#,##0.00"/>
    <numFmt numFmtId="167" formatCode="_-[$$-C09]* #,##0.00_-;\-[$$-C09]* #,##0.00_-;_-[$$-C09]* &quot;-&quot;??_-;_-@_-"/>
    <numFmt numFmtId="168" formatCode="&quot;$&quot;#,##0.00"/>
    <numFmt numFmtId="169" formatCode="[$-F800]dddd\,\ mmmm\ dd\,\ yyyy"/>
  </numFmts>
  <fonts count="6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 Light"/>
      <family val="2"/>
      <scheme val="major"/>
    </font>
    <font>
      <sz val="12"/>
      <color theme="0" tint="-0.249977111117893"/>
      <name val="Calibri Light"/>
      <family val="2"/>
      <scheme val="maj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 Light"/>
      <family val="2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FF0000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0"/>
      <color rgb="FF000000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b/>
      <sz val="12"/>
      <color rgb="FFFF0000"/>
      <name val="Calibri Light"/>
      <family val="2"/>
      <scheme val="major"/>
    </font>
    <font>
      <sz val="12"/>
      <color theme="0" tint="-0.34998626667073579"/>
      <name val="Calibri Light"/>
      <family val="2"/>
      <scheme val="major"/>
    </font>
    <font>
      <sz val="12"/>
      <name val="Calibri Light"/>
      <family val="2"/>
      <scheme val="major"/>
    </font>
    <font>
      <sz val="12"/>
      <color rgb="FF000000"/>
      <name val="Calibri Light"/>
      <family val="2"/>
      <scheme val="major"/>
    </font>
    <font>
      <sz val="8"/>
      <name val="Calibri"/>
      <family val="2"/>
      <scheme val="minor"/>
    </font>
    <font>
      <b/>
      <sz val="10"/>
      <name val="Calibri Light"/>
      <family val="2"/>
      <scheme val="major"/>
    </font>
    <font>
      <sz val="12"/>
      <color rgb="FF333333"/>
      <name val="Calibri Light"/>
      <family val="2"/>
      <scheme val="major"/>
    </font>
    <font>
      <b/>
      <sz val="12"/>
      <name val="Calibri Light"/>
      <family val="2"/>
      <scheme val="major"/>
    </font>
    <font>
      <u/>
      <sz val="12"/>
      <color theme="10"/>
      <name val="Calibri Light"/>
      <family val="2"/>
      <scheme val="major"/>
    </font>
    <font>
      <b/>
      <sz val="12"/>
      <color rgb="FF000000"/>
      <name val="Calibri Light"/>
      <family val="2"/>
      <scheme val="major"/>
    </font>
    <font>
      <b/>
      <sz val="12"/>
      <color theme="0" tint="-0.34998626667073579"/>
      <name val="Calibri Light"/>
      <family val="2"/>
      <scheme val="major"/>
    </font>
    <font>
      <b/>
      <sz val="10"/>
      <color theme="0" tint="-0.34998626667073579"/>
      <name val="Calibri Light"/>
      <family val="2"/>
      <scheme val="major"/>
    </font>
    <font>
      <b/>
      <sz val="10"/>
      <color theme="9"/>
      <name val="Calibri Light"/>
      <family val="2"/>
      <scheme val="major"/>
    </font>
    <font>
      <b/>
      <sz val="12"/>
      <color theme="9"/>
      <name val="Calibri Light"/>
      <family val="2"/>
      <scheme val="major"/>
    </font>
    <font>
      <sz val="12"/>
      <color theme="9"/>
      <name val="Calibri Light"/>
      <family val="2"/>
      <scheme val="major"/>
    </font>
    <font>
      <sz val="12"/>
      <color theme="10"/>
      <name val="Calibri Light"/>
      <family val="2"/>
      <scheme val="major"/>
    </font>
    <font>
      <b/>
      <sz val="7"/>
      <color theme="1"/>
      <name val="Calibri Light"/>
      <family val="2"/>
      <scheme val="major"/>
    </font>
    <font>
      <b/>
      <sz val="7"/>
      <color rgb="FFFF0000"/>
      <name val="Calibri Light"/>
      <family val="2"/>
      <scheme val="major"/>
    </font>
    <font>
      <u/>
      <sz val="12"/>
      <name val="Calibri Light"/>
      <family val="2"/>
      <scheme val="major"/>
    </font>
    <font>
      <sz val="11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sz val="11"/>
      <color rgb="FFFF0000"/>
      <name val="Calibri Light"/>
      <family val="2"/>
      <scheme val="major"/>
    </font>
    <font>
      <sz val="11"/>
      <color rgb="FF000000"/>
      <name val="Calibri Light"/>
      <family val="2"/>
    </font>
    <font>
      <sz val="12"/>
      <color rgb="FFFF0000"/>
      <name val="Calibri Light"/>
      <family val="2"/>
    </font>
    <font>
      <b/>
      <sz val="10"/>
      <color rgb="FFFF0000"/>
      <name val="Calibri Light"/>
      <family val="2"/>
      <scheme val="major"/>
    </font>
    <font>
      <sz val="10"/>
      <color rgb="FFFF0000"/>
      <name val="Calibri Light"/>
      <family val="2"/>
      <scheme val="major"/>
    </font>
    <font>
      <u/>
      <sz val="10"/>
      <color theme="10"/>
      <name val="Calibri Light"/>
      <family val="2"/>
      <scheme val="major"/>
    </font>
    <font>
      <sz val="9"/>
      <color indexed="17"/>
      <name val="Tahoma"/>
      <family val="2"/>
    </font>
    <font>
      <b/>
      <sz val="9"/>
      <color indexed="10"/>
      <name val="Tahoma"/>
      <family val="2"/>
    </font>
    <font>
      <sz val="9"/>
      <color rgb="FF414042"/>
      <name val="Verdana"/>
      <family val="2"/>
    </font>
    <font>
      <b/>
      <sz val="12"/>
      <color rgb="FF414042"/>
      <name val="Calibri"/>
      <family val="2"/>
      <scheme val="minor"/>
    </font>
    <font>
      <sz val="12"/>
      <color rgb="FF414042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sz val="12"/>
      <name val="Calibri"/>
      <family val="2"/>
      <scheme val="minor"/>
    </font>
    <font>
      <sz val="12"/>
      <name val="Calibri Light"/>
      <family val="2"/>
    </font>
    <font>
      <sz val="11"/>
      <name val="Calibri"/>
      <family val="2"/>
    </font>
    <font>
      <sz val="12"/>
      <color rgb="FF333333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 tint="-0.249977111117893"/>
      <name val="Calibri Light"/>
      <family val="2"/>
      <scheme val="major"/>
    </font>
    <font>
      <sz val="9"/>
      <color rgb="FF333333"/>
      <name val="Open Sans"/>
      <family val="2"/>
    </font>
    <font>
      <b/>
      <sz val="12"/>
      <color theme="1"/>
      <name val="Calibri"/>
      <family val="2"/>
      <scheme val="minor"/>
    </font>
    <font>
      <b/>
      <sz val="11"/>
      <color rgb="FF000000"/>
      <name val="Calibri Light"/>
      <family val="2"/>
      <scheme val="maj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89999084444715716"/>
        <bgColor indexed="64"/>
      </patternFill>
    </fill>
  </fills>
  <borders count="8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 style="thin">
        <color rgb="FFFF0000"/>
      </bottom>
      <diagonal/>
    </border>
    <border>
      <left/>
      <right style="thin">
        <color auto="1"/>
      </right>
      <top/>
      <bottom style="thin">
        <color rgb="FFFF0000"/>
      </bottom>
      <diagonal/>
    </border>
    <border>
      <left style="thin">
        <color auto="1"/>
      </left>
      <right style="medium">
        <color auto="1"/>
      </right>
      <top/>
      <bottom style="thin">
        <color rgb="FFFF0000"/>
      </bottom>
      <diagonal/>
    </border>
    <border>
      <left/>
      <right style="medium">
        <color auto="1"/>
      </right>
      <top/>
      <bottom style="thin">
        <color rgb="FFFF0000"/>
      </bottom>
      <diagonal/>
    </border>
    <border>
      <left style="medium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/>
      <right/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rgb="FFFF0000"/>
      </bottom>
      <diagonal/>
    </border>
    <border>
      <left style="thin">
        <color auto="1"/>
      </left>
      <right/>
      <top/>
      <bottom style="thin">
        <color rgb="FFFF0000"/>
      </bottom>
      <diagonal/>
    </border>
    <border>
      <left style="medium">
        <color auto="1"/>
      </left>
      <right style="medium">
        <color auto="1"/>
      </right>
      <top/>
      <bottom style="thin">
        <color rgb="FFFF0000"/>
      </bottom>
      <diagonal/>
    </border>
    <border>
      <left style="medium">
        <color auto="1"/>
      </left>
      <right/>
      <top style="thin">
        <color auto="1"/>
      </top>
      <bottom style="thin">
        <color rgb="FFFF0000"/>
      </bottom>
      <diagonal/>
    </border>
    <border>
      <left/>
      <right/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3">
    <xf numFmtId="0" fontId="0" fillId="0" borderId="0"/>
    <xf numFmtId="0" fontId="6" fillId="0" borderId="0"/>
    <xf numFmtId="44" fontId="6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</cellStyleXfs>
  <cellXfs count="741">
    <xf numFmtId="0" fontId="0" fillId="0" borderId="0" xfId="0"/>
    <xf numFmtId="0" fontId="7" fillId="3" borderId="0" xfId="0" applyFont="1" applyFill="1" applyProtection="1">
      <protection locked="0"/>
    </xf>
    <xf numFmtId="0" fontId="7" fillId="3" borderId="6" xfId="0" applyFont="1" applyFill="1" applyBorder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horizontal="center"/>
      <protection locked="0"/>
    </xf>
    <xf numFmtId="0" fontId="7" fillId="10" borderId="3" xfId="0" applyFont="1" applyFill="1" applyBorder="1" applyAlignment="1" applyProtection="1">
      <alignment horizontal="center" vertical="center" wrapText="1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0" fontId="7" fillId="3" borderId="9" xfId="0" applyFont="1" applyFill="1" applyBorder="1" applyAlignment="1" applyProtection="1">
      <alignment horizontal="center" vertical="center"/>
      <protection locked="0"/>
    </xf>
    <xf numFmtId="0" fontId="7" fillId="3" borderId="4" xfId="0" applyFon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7" fillId="3" borderId="6" xfId="0" applyFont="1" applyFill="1" applyBorder="1" applyAlignment="1" applyProtection="1">
      <alignment horizontal="center" vertical="center"/>
      <protection locked="0"/>
    </xf>
    <xf numFmtId="0" fontId="7" fillId="10" borderId="1" xfId="0" applyFont="1" applyFill="1" applyBorder="1" applyAlignment="1" applyProtection="1">
      <alignment horizontal="center" vertical="center"/>
      <protection locked="0"/>
    </xf>
    <xf numFmtId="0" fontId="7" fillId="3" borderId="5" xfId="0" applyFont="1" applyFill="1" applyBorder="1" applyAlignment="1" applyProtection="1">
      <alignment horizontal="center" vertical="center"/>
      <protection locked="0"/>
    </xf>
    <xf numFmtId="0" fontId="7" fillId="14" borderId="22" xfId="0" applyFont="1" applyFill="1" applyBorder="1" applyAlignment="1" applyProtection="1">
      <alignment horizontal="center"/>
      <protection locked="0"/>
    </xf>
    <xf numFmtId="0" fontId="7" fillId="3" borderId="22" xfId="0" applyFont="1" applyFill="1" applyBorder="1" applyAlignment="1" applyProtection="1">
      <alignment horizontal="center"/>
      <protection locked="0"/>
    </xf>
    <xf numFmtId="0" fontId="7" fillId="11" borderId="5" xfId="0" applyFont="1" applyFill="1" applyBorder="1" applyAlignment="1" applyProtection="1">
      <alignment horizontal="center" vertical="center"/>
      <protection locked="0"/>
    </xf>
    <xf numFmtId="0" fontId="7" fillId="11" borderId="1" xfId="0" applyFont="1" applyFill="1" applyBorder="1" applyAlignment="1" applyProtection="1">
      <alignment horizontal="center" vertical="center"/>
      <protection locked="0"/>
    </xf>
    <xf numFmtId="0" fontId="7" fillId="14" borderId="6" xfId="0" applyFont="1" applyFill="1" applyBorder="1" applyAlignment="1" applyProtection="1">
      <alignment horizontal="center"/>
      <protection locked="0"/>
    </xf>
    <xf numFmtId="0" fontId="7" fillId="14" borderId="1" xfId="0" applyFont="1" applyFill="1" applyBorder="1" applyAlignment="1" applyProtection="1">
      <alignment horizontal="center"/>
      <protection locked="0"/>
    </xf>
    <xf numFmtId="0" fontId="7" fillId="14" borderId="5" xfId="0" applyFont="1" applyFill="1" applyBorder="1" applyAlignment="1" applyProtection="1">
      <alignment horizontal="center"/>
      <protection locked="0"/>
    </xf>
    <xf numFmtId="0" fontId="7" fillId="14" borderId="6" xfId="0" applyFont="1" applyFill="1" applyBorder="1" applyAlignment="1" applyProtection="1">
      <alignment horizontal="center" vertical="center"/>
      <protection locked="0"/>
    </xf>
    <xf numFmtId="0" fontId="7" fillId="14" borderId="1" xfId="0" applyFont="1" applyFill="1" applyBorder="1" applyAlignment="1" applyProtection="1">
      <alignment horizontal="center" vertical="center"/>
      <protection locked="0"/>
    </xf>
    <xf numFmtId="0" fontId="7" fillId="11" borderId="6" xfId="0" applyFont="1" applyFill="1" applyBorder="1" applyAlignment="1" applyProtection="1">
      <alignment horizontal="center" vertical="center"/>
      <protection locked="0"/>
    </xf>
    <xf numFmtId="0" fontId="7" fillId="3" borderId="31" xfId="0" applyFont="1" applyFill="1" applyBorder="1" applyAlignment="1" applyProtection="1">
      <alignment horizontal="center" vertical="center"/>
      <protection locked="0"/>
    </xf>
    <xf numFmtId="0" fontId="7" fillId="3" borderId="31" xfId="0" applyFont="1" applyFill="1" applyBorder="1" applyAlignment="1" applyProtection="1">
      <alignment horizontal="center"/>
      <protection locked="0"/>
    </xf>
    <xf numFmtId="0" fontId="7" fillId="14" borderId="31" xfId="0" applyFont="1" applyFill="1" applyBorder="1" applyAlignment="1" applyProtection="1">
      <alignment horizontal="center"/>
      <protection locked="0"/>
    </xf>
    <xf numFmtId="0" fontId="21" fillId="3" borderId="50" xfId="0" applyFont="1" applyFill="1" applyBorder="1" applyAlignment="1" applyProtection="1">
      <alignment horizontal="center"/>
      <protection locked="0"/>
    </xf>
    <xf numFmtId="0" fontId="21" fillId="3" borderId="2" xfId="0" applyFont="1" applyFill="1" applyBorder="1" applyAlignment="1" applyProtection="1">
      <alignment horizontal="center"/>
      <protection locked="0"/>
    </xf>
    <xf numFmtId="0" fontId="21" fillId="3" borderId="51" xfId="0" applyFont="1" applyFill="1" applyBorder="1" applyAlignment="1" applyProtection="1">
      <alignment horizontal="center"/>
      <protection locked="0"/>
    </xf>
    <xf numFmtId="0" fontId="22" fillId="16" borderId="1" xfId="0" applyFont="1" applyFill="1" applyBorder="1" applyAlignment="1" applyProtection="1">
      <alignment horizontal="center"/>
      <protection locked="0"/>
    </xf>
    <xf numFmtId="0" fontId="22" fillId="16" borderId="5" xfId="0" applyFont="1" applyFill="1" applyBorder="1" applyAlignment="1" applyProtection="1">
      <alignment horizontal="center"/>
      <protection locked="0"/>
    </xf>
    <xf numFmtId="0" fontId="7" fillId="3" borderId="22" xfId="0" applyFont="1" applyFill="1" applyBorder="1" applyAlignment="1" applyProtection="1">
      <alignment horizontal="center" vertical="center"/>
      <protection locked="0"/>
    </xf>
    <xf numFmtId="0" fontId="17" fillId="10" borderId="3" xfId="0" applyFont="1" applyFill="1" applyBorder="1" applyAlignment="1" applyProtection="1">
      <alignment horizontal="center" vertical="center" wrapText="1"/>
      <protection locked="0"/>
    </xf>
    <xf numFmtId="0" fontId="18" fillId="10" borderId="3" xfId="0" applyFont="1" applyFill="1" applyBorder="1" applyAlignment="1" applyProtection="1">
      <alignment horizontal="center" vertical="center" wrapText="1"/>
      <protection locked="0"/>
    </xf>
    <xf numFmtId="0" fontId="7" fillId="3" borderId="0" xfId="0" applyFont="1" applyFill="1"/>
    <xf numFmtId="167" fontId="7" fillId="3" borderId="0" xfId="0" applyNumberFormat="1" applyFont="1" applyFill="1"/>
    <xf numFmtId="0" fontId="35" fillId="10" borderId="21" xfId="0" applyFont="1" applyFill="1" applyBorder="1" applyAlignment="1">
      <alignment horizontal="left" vertical="center" wrapText="1"/>
    </xf>
    <xf numFmtId="0" fontId="14" fillId="3" borderId="39" xfId="0" applyFont="1" applyFill="1" applyBorder="1" applyAlignment="1">
      <alignment horizontal="right" vertical="center"/>
    </xf>
    <xf numFmtId="0" fontId="35" fillId="10" borderId="14" xfId="0" applyFont="1" applyFill="1" applyBorder="1" applyAlignment="1">
      <alignment horizontal="left" vertical="center" wrapText="1"/>
    </xf>
    <xf numFmtId="0" fontId="14" fillId="3" borderId="39" xfId="0" applyFont="1" applyFill="1" applyBorder="1" applyAlignment="1">
      <alignment horizontal="right"/>
    </xf>
    <xf numFmtId="165" fontId="7" fillId="3" borderId="0" xfId="0" applyNumberFormat="1" applyFont="1" applyFill="1"/>
    <xf numFmtId="0" fontId="36" fillId="10" borderId="14" xfId="0" applyFont="1" applyFill="1" applyBorder="1" applyAlignment="1">
      <alignment horizontal="left" vertical="center" wrapText="1"/>
    </xf>
    <xf numFmtId="165" fontId="26" fillId="4" borderId="15" xfId="0" applyNumberFormat="1" applyFont="1" applyFill="1" applyBorder="1" applyAlignment="1">
      <alignment horizontal="center" vertical="center"/>
    </xf>
    <xf numFmtId="0" fontId="14" fillId="3" borderId="0" xfId="0" applyFont="1" applyFill="1" applyAlignment="1">
      <alignment horizontal="right"/>
    </xf>
    <xf numFmtId="165" fontId="15" fillId="3" borderId="0" xfId="0" applyNumberFormat="1" applyFont="1" applyFill="1"/>
    <xf numFmtId="0" fontId="35" fillId="10" borderId="14" xfId="0" applyFont="1" applyFill="1" applyBorder="1" applyAlignment="1">
      <alignment vertical="center" wrapText="1"/>
    </xf>
    <xf numFmtId="0" fontId="35" fillId="10" borderId="30" xfId="0" applyFont="1" applyFill="1" applyBorder="1" applyAlignment="1">
      <alignment horizontal="left" vertical="center" wrapText="1"/>
    </xf>
    <xf numFmtId="0" fontId="15" fillId="10" borderId="21" xfId="0" applyFont="1" applyFill="1" applyBorder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5" fillId="3" borderId="14" xfId="0" applyFont="1" applyFill="1" applyBorder="1"/>
    <xf numFmtId="0" fontId="15" fillId="3" borderId="30" xfId="0" applyFont="1" applyFill="1" applyBorder="1"/>
    <xf numFmtId="0" fontId="15" fillId="10" borderId="18" xfId="0" applyFont="1" applyFill="1" applyBorder="1" applyAlignment="1">
      <alignment horizontal="left" vertical="center"/>
    </xf>
    <xf numFmtId="167" fontId="15" fillId="10" borderId="19" xfId="0" applyNumberFormat="1" applyFont="1" applyFill="1" applyBorder="1" applyAlignment="1">
      <alignment horizontal="left" vertical="center"/>
    </xf>
    <xf numFmtId="0" fontId="7" fillId="3" borderId="24" xfId="0" applyFont="1" applyFill="1" applyBorder="1"/>
    <xf numFmtId="0" fontId="7" fillId="3" borderId="14" xfId="0" applyFont="1" applyFill="1" applyBorder="1"/>
    <xf numFmtId="0" fontId="7" fillId="3" borderId="57" xfId="0" applyFont="1" applyFill="1" applyBorder="1"/>
    <xf numFmtId="0" fontId="15" fillId="10" borderId="18" xfId="0" applyFont="1" applyFill="1" applyBorder="1"/>
    <xf numFmtId="167" fontId="15" fillId="3" borderId="19" xfId="0" applyNumberFormat="1" applyFont="1" applyFill="1" applyBorder="1"/>
    <xf numFmtId="0" fontId="15" fillId="10" borderId="12" xfId="0" applyFont="1" applyFill="1" applyBorder="1"/>
    <xf numFmtId="0" fontId="14" fillId="3" borderId="24" xfId="0" applyFont="1" applyFill="1" applyBorder="1"/>
    <xf numFmtId="0" fontId="14" fillId="3" borderId="14" xfId="0" applyFont="1" applyFill="1" applyBorder="1"/>
    <xf numFmtId="0" fontId="14" fillId="3" borderId="16" xfId="0" applyFont="1" applyFill="1" applyBorder="1"/>
    <xf numFmtId="0" fontId="14" fillId="3" borderId="30" xfId="0" applyFont="1" applyFill="1" applyBorder="1"/>
    <xf numFmtId="167" fontId="15" fillId="4" borderId="19" xfId="0" applyNumberFormat="1" applyFont="1" applyFill="1" applyBorder="1"/>
    <xf numFmtId="0" fontId="0" fillId="0" borderId="1" xfId="0" applyBorder="1"/>
    <xf numFmtId="0" fontId="10" fillId="0" borderId="1" xfId="3" applyBorder="1" applyProtection="1"/>
    <xf numFmtId="0" fontId="0" fillId="0" borderId="1" xfId="0" applyBorder="1" applyAlignment="1">
      <alignment horizontal="left"/>
    </xf>
    <xf numFmtId="0" fontId="20" fillId="3" borderId="0" xfId="0" applyFont="1" applyFill="1"/>
    <xf numFmtId="0" fontId="7" fillId="0" borderId="39" xfId="0" applyFont="1" applyBorder="1" applyAlignment="1">
      <alignment horizontal="center" vertical="center" wrapText="1"/>
    </xf>
    <xf numFmtId="0" fontId="7" fillId="0" borderId="39" xfId="0" applyFont="1" applyBorder="1"/>
    <xf numFmtId="0" fontId="15" fillId="11" borderId="14" xfId="0" applyFont="1" applyFill="1" applyBorder="1"/>
    <xf numFmtId="0" fontId="15" fillId="11" borderId="30" xfId="0" applyFont="1" applyFill="1" applyBorder="1"/>
    <xf numFmtId="0" fontId="29" fillId="3" borderId="3" xfId="0" applyFont="1" applyFill="1" applyBorder="1" applyAlignment="1">
      <alignment horizontal="left" vertical="center"/>
    </xf>
    <xf numFmtId="0" fontId="20" fillId="3" borderId="4" xfId="0" applyFont="1" applyFill="1" applyBorder="1"/>
    <xf numFmtId="0" fontId="17" fillId="10" borderId="18" xfId="0" applyFont="1" applyFill="1" applyBorder="1" applyAlignment="1">
      <alignment horizontal="left" vertical="center"/>
    </xf>
    <xf numFmtId="0" fontId="17" fillId="10" borderId="43" xfId="0" applyFont="1" applyFill="1" applyBorder="1" applyAlignment="1">
      <alignment horizontal="left" vertical="center"/>
    </xf>
    <xf numFmtId="0" fontId="16" fillId="12" borderId="43" xfId="0" applyFont="1" applyFill="1" applyBorder="1" applyAlignment="1">
      <alignment horizontal="center" vertical="top" wrapText="1"/>
    </xf>
    <xf numFmtId="0" fontId="17" fillId="10" borderId="13" xfId="0" applyFont="1" applyFill="1" applyBorder="1" applyAlignment="1">
      <alignment horizontal="center" vertical="center" wrapText="1"/>
    </xf>
    <xf numFmtId="0" fontId="17" fillId="10" borderId="58" xfId="0" applyFont="1" applyFill="1" applyBorder="1" applyAlignment="1">
      <alignment horizontal="center" vertical="center" wrapText="1"/>
    </xf>
    <xf numFmtId="0" fontId="17" fillId="10" borderId="45" xfId="0" applyFont="1" applyFill="1" applyBorder="1" applyAlignment="1">
      <alignment horizontal="center" vertical="center" wrapText="1"/>
    </xf>
    <xf numFmtId="165" fontId="30" fillId="10" borderId="14" xfId="0" applyNumberFormat="1" applyFont="1" applyFill="1" applyBorder="1" applyAlignment="1">
      <alignment horizontal="center" vertical="center" wrapText="1"/>
    </xf>
    <xf numFmtId="165" fontId="30" fillId="10" borderId="1" xfId="0" applyNumberFormat="1" applyFont="1" applyFill="1" applyBorder="1" applyAlignment="1">
      <alignment horizontal="center" vertical="center"/>
    </xf>
    <xf numFmtId="0" fontId="18" fillId="3" borderId="0" xfId="0" applyFont="1" applyFill="1"/>
    <xf numFmtId="0" fontId="7" fillId="3" borderId="9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/>
    </xf>
    <xf numFmtId="165" fontId="7" fillId="3" borderId="50" xfId="0" applyNumberFormat="1" applyFont="1" applyFill="1" applyBorder="1" applyAlignment="1">
      <alignment horizontal="center"/>
    </xf>
    <xf numFmtId="165" fontId="7" fillId="3" borderId="59" xfId="0" applyNumberFormat="1" applyFont="1" applyFill="1" applyBorder="1"/>
    <xf numFmtId="165" fontId="20" fillId="3" borderId="4" xfId="0" applyNumberFormat="1" applyFont="1" applyFill="1" applyBorder="1"/>
    <xf numFmtId="165" fontId="20" fillId="3" borderId="1" xfId="0" applyNumberFormat="1" applyFont="1" applyFill="1" applyBorder="1"/>
    <xf numFmtId="0" fontId="7" fillId="3" borderId="4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55" xfId="0" applyNumberFormat="1" applyFont="1" applyFill="1" applyBorder="1"/>
    <xf numFmtId="165" fontId="7" fillId="0" borderId="2" xfId="0" applyNumberFormat="1" applyFont="1" applyBorder="1" applyAlignment="1">
      <alignment horizontal="center"/>
    </xf>
    <xf numFmtId="0" fontId="17" fillId="10" borderId="27" xfId="0" applyFont="1" applyFill="1" applyBorder="1" applyAlignment="1">
      <alignment horizontal="left" vertical="center"/>
    </xf>
    <xf numFmtId="165" fontId="18" fillId="3" borderId="55" xfId="0" applyNumberFormat="1" applyFont="1" applyFill="1" applyBorder="1"/>
    <xf numFmtId="165" fontId="20" fillId="0" borderId="4" xfId="0" applyNumberFormat="1" applyFont="1" applyBorder="1"/>
    <xf numFmtId="165" fontId="20" fillId="0" borderId="1" xfId="0" applyNumberFormat="1" applyFont="1" applyBorder="1"/>
    <xf numFmtId="0" fontId="7" fillId="0" borderId="14" xfId="0" applyFont="1" applyBorder="1"/>
    <xf numFmtId="0" fontId="7" fillId="0" borderId="4" xfId="0" applyFont="1" applyBorder="1" applyAlignment="1">
      <alignment horizontal="center"/>
    </xf>
    <xf numFmtId="0" fontId="21" fillId="3" borderId="14" xfId="0" applyFont="1" applyFill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10" borderId="12" xfId="0" applyFont="1" applyFill="1" applyBorder="1"/>
    <xf numFmtId="0" fontId="7" fillId="10" borderId="29" xfId="0" applyFont="1" applyFill="1" applyBorder="1"/>
    <xf numFmtId="165" fontId="7" fillId="10" borderId="29" xfId="0" applyNumberFormat="1" applyFont="1" applyFill="1" applyBorder="1"/>
    <xf numFmtId="165" fontId="15" fillId="5" borderId="45" xfId="0" applyNumberFormat="1" applyFont="1" applyFill="1" applyBorder="1"/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165" fontId="11" fillId="3" borderId="2" xfId="7" applyFont="1" applyFill="1" applyBorder="1" applyProtection="1"/>
    <xf numFmtId="0" fontId="18" fillId="10" borderId="3" xfId="0" applyFont="1" applyFill="1" applyBorder="1" applyAlignment="1">
      <alignment horizontal="center" vertical="center" wrapText="1"/>
    </xf>
    <xf numFmtId="165" fontId="18" fillId="10" borderId="2" xfId="0" applyNumberFormat="1" applyFont="1" applyFill="1" applyBorder="1"/>
    <xf numFmtId="0" fontId="7" fillId="0" borderId="0" xfId="0" applyFont="1"/>
    <xf numFmtId="165" fontId="7" fillId="3" borderId="2" xfId="7" applyFont="1" applyFill="1" applyBorder="1" applyAlignment="1" applyProtection="1">
      <alignment horizontal="center"/>
    </xf>
    <xf numFmtId="0" fontId="7" fillId="3" borderId="39" xfId="0" applyFont="1" applyFill="1" applyBorder="1"/>
    <xf numFmtId="0" fontId="7" fillId="13" borderId="1" xfId="0" applyFont="1" applyFill="1" applyBorder="1" applyAlignment="1">
      <alignment horizontal="center" vertical="center"/>
    </xf>
    <xf numFmtId="165" fontId="11" fillId="3" borderId="2" xfId="7" applyFont="1" applyFill="1" applyBorder="1" applyAlignment="1" applyProtection="1">
      <alignment horizontal="center"/>
    </xf>
    <xf numFmtId="0" fontId="7" fillId="0" borderId="16" xfId="0" applyFont="1" applyBorder="1"/>
    <xf numFmtId="0" fontId="7" fillId="0" borderId="5" xfId="0" applyFont="1" applyBorder="1" applyAlignment="1">
      <alignment horizontal="center"/>
    </xf>
    <xf numFmtId="0" fontId="7" fillId="10" borderId="29" xfId="0" applyFont="1" applyFill="1" applyBorder="1" applyAlignment="1">
      <alignment horizontal="center"/>
    </xf>
    <xf numFmtId="0" fontId="20" fillId="11" borderId="0" xfId="0" applyFont="1" applyFill="1"/>
    <xf numFmtId="0" fontId="7" fillId="11" borderId="0" xfId="0" applyFont="1" applyFill="1"/>
    <xf numFmtId="0" fontId="20" fillId="0" borderId="0" xfId="0" applyFont="1"/>
    <xf numFmtId="165" fontId="19" fillId="3" borderId="15" xfId="0" applyNumberFormat="1" applyFont="1" applyFill="1" applyBorder="1" applyAlignment="1">
      <alignment horizontal="center" vertical="center"/>
    </xf>
    <xf numFmtId="167" fontId="7" fillId="0" borderId="25" xfId="0" applyNumberFormat="1" applyFont="1" applyBorder="1"/>
    <xf numFmtId="167" fontId="7" fillId="0" borderId="15" xfId="0" applyNumberFormat="1" applyFont="1" applyBorder="1"/>
    <xf numFmtId="167" fontId="7" fillId="0" borderId="44" xfId="0" applyNumberFormat="1" applyFont="1" applyBorder="1"/>
    <xf numFmtId="167" fontId="7" fillId="0" borderId="17" xfId="0" applyNumberFormat="1" applyFont="1" applyBorder="1"/>
    <xf numFmtId="167" fontId="7" fillId="0" borderId="40" xfId="0" applyNumberFormat="1" applyFont="1" applyBorder="1"/>
    <xf numFmtId="0" fontId="15" fillId="10" borderId="23" xfId="0" applyFont="1" applyFill="1" applyBorder="1" applyAlignment="1">
      <alignment horizontal="center" vertical="center"/>
    </xf>
    <xf numFmtId="0" fontId="7" fillId="11" borderId="0" xfId="0" applyFont="1" applyFill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33" fillId="11" borderId="0" xfId="0" applyFont="1" applyFill="1"/>
    <xf numFmtId="0" fontId="7" fillId="11" borderId="0" xfId="0" applyFont="1" applyFill="1" applyAlignment="1">
      <alignment horizontal="center" vertical="center" wrapText="1"/>
    </xf>
    <xf numFmtId="0" fontId="7" fillId="0" borderId="3" xfId="0" applyFont="1" applyBorder="1"/>
    <xf numFmtId="0" fontId="14" fillId="11" borderId="0" xfId="0" applyFont="1" applyFill="1" applyAlignment="1">
      <alignment horizontal="left"/>
    </xf>
    <xf numFmtId="14" fontId="14" fillId="11" borderId="0" xfId="0" applyNumberFormat="1" applyFont="1" applyFill="1" applyAlignment="1">
      <alignment horizontal="left"/>
    </xf>
    <xf numFmtId="0" fontId="7" fillId="0" borderId="30" xfId="0" applyFont="1" applyBorder="1"/>
    <xf numFmtId="0" fontId="7" fillId="0" borderId="37" xfId="0" applyFont="1" applyBorder="1"/>
    <xf numFmtId="0" fontId="15" fillId="11" borderId="12" xfId="0" applyFont="1" applyFill="1" applyBorder="1" applyAlignment="1">
      <alignment horizontal="left" vertical="center"/>
    </xf>
    <xf numFmtId="0" fontId="15" fillId="11" borderId="29" xfId="0" applyFont="1" applyFill="1" applyBorder="1" applyAlignment="1">
      <alignment horizontal="left" vertical="center"/>
    </xf>
    <xf numFmtId="0" fontId="7" fillId="11" borderId="29" xfId="0" applyFont="1" applyFill="1" applyBorder="1" applyAlignment="1">
      <alignment horizontal="left" vertical="center"/>
    </xf>
    <xf numFmtId="0" fontId="7" fillId="11" borderId="29" xfId="0" applyFont="1" applyFill="1" applyBorder="1" applyAlignment="1">
      <alignment horizontal="center" vertical="center"/>
    </xf>
    <xf numFmtId="0" fontId="20" fillId="11" borderId="29" xfId="0" applyFont="1" applyFill="1" applyBorder="1"/>
    <xf numFmtId="0" fontId="7" fillId="11" borderId="33" xfId="0" applyFont="1" applyFill="1" applyBorder="1"/>
    <xf numFmtId="0" fontId="43" fillId="10" borderId="18" xfId="0" applyFont="1" applyFill="1" applyBorder="1" applyAlignment="1">
      <alignment horizontal="left" vertical="center"/>
    </xf>
    <xf numFmtId="0" fontId="43" fillId="10" borderId="13" xfId="0" applyFont="1" applyFill="1" applyBorder="1" applyAlignment="1">
      <alignment horizontal="center" vertical="center" wrapText="1"/>
    </xf>
    <xf numFmtId="0" fontId="24" fillId="10" borderId="13" xfId="0" applyFont="1" applyFill="1" applyBorder="1" applyAlignment="1">
      <alignment horizontal="center" vertical="center" wrapText="1"/>
    </xf>
    <xf numFmtId="0" fontId="43" fillId="7" borderId="19" xfId="0" applyFont="1" applyFill="1" applyBorder="1" applyAlignment="1">
      <alignment horizontal="center" vertical="center" wrapText="1"/>
    </xf>
    <xf numFmtId="165" fontId="17" fillId="10" borderId="33" xfId="0" applyNumberFormat="1" applyFont="1" applyFill="1" applyBorder="1" applyAlignment="1">
      <alignment horizontal="center" vertical="center" wrapText="1"/>
    </xf>
    <xf numFmtId="0" fontId="17" fillId="10" borderId="27" xfId="0" applyFont="1" applyFill="1" applyBorder="1" applyAlignment="1">
      <alignment horizontal="center" vertical="center" wrapText="1"/>
    </xf>
    <xf numFmtId="0" fontId="24" fillId="14" borderId="1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 vertical="center" wrapText="1"/>
    </xf>
    <xf numFmtId="0" fontId="17" fillId="10" borderId="1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165" fontId="7" fillId="11" borderId="10" xfId="0" applyNumberFormat="1" applyFont="1" applyFill="1" applyBorder="1"/>
    <xf numFmtId="9" fontId="7" fillId="6" borderId="10" xfId="0" applyNumberFormat="1" applyFont="1" applyFill="1" applyBorder="1"/>
    <xf numFmtId="0" fontId="39" fillId="0" borderId="27" xfId="0" applyFont="1" applyBorder="1"/>
    <xf numFmtId="1" fontId="14" fillId="2" borderId="1" xfId="0" applyNumberFormat="1" applyFont="1" applyFill="1" applyBorder="1"/>
    <xf numFmtId="0" fontId="39" fillId="3" borderId="4" xfId="0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167" fontId="22" fillId="11" borderId="55" xfId="0" applyNumberFormat="1" applyFont="1" applyFill="1" applyBorder="1"/>
    <xf numFmtId="165" fontId="7" fillId="11" borderId="16" xfId="0" applyNumberFormat="1" applyFont="1" applyFill="1" applyBorder="1"/>
    <xf numFmtId="165" fontId="7" fillId="11" borderId="5" xfId="0" applyNumberFormat="1" applyFont="1" applyFill="1" applyBorder="1"/>
    <xf numFmtId="9" fontId="7" fillId="6" borderId="5" xfId="0" applyNumberFormat="1" applyFont="1" applyFill="1" applyBorder="1"/>
    <xf numFmtId="0" fontId="39" fillId="0" borderId="49" xfId="0" applyFont="1" applyBorder="1"/>
    <xf numFmtId="0" fontId="7" fillId="3" borderId="5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/>
    </xf>
    <xf numFmtId="1" fontId="14" fillId="3" borderId="5" xfId="0" applyNumberFormat="1" applyFont="1" applyFill="1" applyBorder="1"/>
    <xf numFmtId="1" fontId="14" fillId="3" borderId="1" xfId="0" applyNumberFormat="1" applyFont="1" applyFill="1" applyBorder="1"/>
    <xf numFmtId="167" fontId="15" fillId="5" borderId="45" xfId="0" applyNumberFormat="1" applyFont="1" applyFill="1" applyBorder="1"/>
    <xf numFmtId="165" fontId="7" fillId="3" borderId="27" xfId="0" applyNumberFormat="1" applyFont="1" applyFill="1" applyBorder="1"/>
    <xf numFmtId="9" fontId="7" fillId="6" borderId="1" xfId="0" applyNumberFormat="1" applyFont="1" applyFill="1" applyBorder="1"/>
    <xf numFmtId="167" fontId="22" fillId="11" borderId="56" xfId="0" applyNumberFormat="1" applyFont="1" applyFill="1" applyBorder="1"/>
    <xf numFmtId="165" fontId="7" fillId="11" borderId="30" xfId="0" applyNumberFormat="1" applyFont="1" applyFill="1" applyBorder="1"/>
    <xf numFmtId="165" fontId="7" fillId="11" borderId="31" xfId="0" applyNumberFormat="1" applyFont="1" applyFill="1" applyBorder="1"/>
    <xf numFmtId="0" fontId="39" fillId="3" borderId="49" xfId="0" applyFont="1" applyFill="1" applyBorder="1"/>
    <xf numFmtId="0" fontId="39" fillId="3" borderId="8" xfId="0" applyFont="1" applyFill="1" applyBorder="1" applyAlignment="1">
      <alignment horizontal="center"/>
    </xf>
    <xf numFmtId="0" fontId="7" fillId="11" borderId="22" xfId="0" applyFont="1" applyFill="1" applyBorder="1" applyAlignment="1">
      <alignment horizontal="center"/>
    </xf>
    <xf numFmtId="167" fontId="22" fillId="11" borderId="35" xfId="0" applyNumberFormat="1" applyFont="1" applyFill="1" applyBorder="1"/>
    <xf numFmtId="165" fontId="7" fillId="11" borderId="21" xfId="0" applyNumberFormat="1" applyFont="1" applyFill="1" applyBorder="1"/>
    <xf numFmtId="165" fontId="7" fillId="11" borderId="22" xfId="0" applyNumberFormat="1" applyFont="1" applyFill="1" applyBorder="1"/>
    <xf numFmtId="9" fontId="7" fillId="6" borderId="22" xfId="0" applyNumberFormat="1" applyFont="1" applyFill="1" applyBorder="1"/>
    <xf numFmtId="167" fontId="22" fillId="11" borderId="32" xfId="0" applyNumberFormat="1" applyFont="1" applyFill="1" applyBorder="1"/>
    <xf numFmtId="165" fontId="7" fillId="11" borderId="14" xfId="0" applyNumberFormat="1" applyFont="1" applyFill="1" applyBorder="1"/>
    <xf numFmtId="165" fontId="7" fillId="11" borderId="1" xfId="0" applyNumberFormat="1" applyFont="1" applyFill="1" applyBorder="1"/>
    <xf numFmtId="0" fontId="41" fillId="3" borderId="4" xfId="0" applyFont="1" applyFill="1" applyBorder="1" applyAlignment="1">
      <alignment horizontal="center"/>
    </xf>
    <xf numFmtId="167" fontId="42" fillId="3" borderId="15" xfId="0" applyNumberFormat="1" applyFont="1" applyFill="1" applyBorder="1" applyAlignment="1">
      <alignment horizontal="center"/>
    </xf>
    <xf numFmtId="0" fontId="39" fillId="3" borderId="27" xfId="0" applyFont="1" applyFill="1" applyBorder="1"/>
    <xf numFmtId="167" fontId="22" fillId="11" borderId="52" xfId="0" applyNumberFormat="1" applyFont="1" applyFill="1" applyBorder="1"/>
    <xf numFmtId="0" fontId="7" fillId="3" borderId="2" xfId="0" applyFont="1" applyFill="1" applyBorder="1" applyAlignment="1">
      <alignment horizontal="center"/>
    </xf>
    <xf numFmtId="0" fontId="39" fillId="3" borderId="1" xfId="0" applyFont="1" applyFill="1" applyBorder="1" applyAlignment="1">
      <alignment horizontal="center"/>
    </xf>
    <xf numFmtId="0" fontId="0" fillId="0" borderId="2" xfId="0" applyBorder="1"/>
    <xf numFmtId="0" fontId="0" fillId="0" borderId="1" xfId="0" applyBorder="1" applyAlignment="1">
      <alignment horizontal="center"/>
    </xf>
    <xf numFmtId="0" fontId="39" fillId="3" borderId="36" xfId="0" applyFont="1" applyFill="1" applyBorder="1"/>
    <xf numFmtId="1" fontId="14" fillId="2" borderId="31" xfId="0" applyNumberFormat="1" applyFont="1" applyFill="1" applyBorder="1"/>
    <xf numFmtId="0" fontId="7" fillId="3" borderId="48" xfId="0" applyFont="1" applyFill="1" applyBorder="1" applyAlignment="1">
      <alignment horizontal="center"/>
    </xf>
    <xf numFmtId="0" fontId="39" fillId="3" borderId="31" xfId="0" applyFont="1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7" fillId="11" borderId="31" xfId="0" applyFont="1" applyFill="1" applyBorder="1" applyAlignment="1">
      <alignment horizontal="center"/>
    </xf>
    <xf numFmtId="0" fontId="7" fillId="3" borderId="31" xfId="0" applyFont="1" applyFill="1" applyBorder="1" applyAlignment="1">
      <alignment horizontal="center"/>
    </xf>
    <xf numFmtId="167" fontId="14" fillId="3" borderId="17" xfId="0" applyNumberFormat="1" applyFont="1" applyFill="1" applyBorder="1" applyAlignment="1" applyProtection="1">
      <alignment horizontal="center"/>
      <protection locked="0"/>
    </xf>
    <xf numFmtId="167" fontId="14" fillId="3" borderId="23" xfId="0" applyNumberFormat="1" applyFont="1" applyFill="1" applyBorder="1" applyAlignment="1" applyProtection="1">
      <alignment horizontal="center"/>
      <protection locked="0"/>
    </xf>
    <xf numFmtId="167" fontId="14" fillId="3" borderId="15" xfId="0" applyNumberFormat="1" applyFont="1" applyFill="1" applyBorder="1" applyAlignment="1" applyProtection="1">
      <alignment horizontal="center"/>
      <protection locked="0"/>
    </xf>
    <xf numFmtId="167" fontId="42" fillId="3" borderId="15" xfId="0" applyNumberFormat="1" applyFont="1" applyFill="1" applyBorder="1" applyAlignment="1" applyProtection="1">
      <alignment horizontal="center"/>
      <protection locked="0"/>
    </xf>
    <xf numFmtId="167" fontId="42" fillId="3" borderId="40" xfId="0" applyNumberFormat="1" applyFont="1" applyFill="1" applyBorder="1" applyAlignment="1" applyProtection="1">
      <alignment horizontal="center"/>
      <protection locked="0"/>
    </xf>
    <xf numFmtId="165" fontId="7" fillId="14" borderId="10" xfId="0" applyNumberFormat="1" applyFont="1" applyFill="1" applyBorder="1" applyProtection="1">
      <protection locked="0"/>
    </xf>
    <xf numFmtId="165" fontId="7" fillId="14" borderId="5" xfId="0" applyNumberFormat="1" applyFont="1" applyFill="1" applyBorder="1" applyProtection="1">
      <protection locked="0"/>
    </xf>
    <xf numFmtId="165" fontId="21" fillId="14" borderId="1" xfId="0" applyNumberFormat="1" applyFont="1" applyFill="1" applyBorder="1" applyProtection="1">
      <protection locked="0"/>
    </xf>
    <xf numFmtId="165" fontId="7" fillId="14" borderId="31" xfId="0" applyNumberFormat="1" applyFont="1" applyFill="1" applyBorder="1" applyProtection="1">
      <protection locked="0"/>
    </xf>
    <xf numFmtId="165" fontId="7" fillId="14" borderId="22" xfId="0" applyNumberFormat="1" applyFont="1" applyFill="1" applyBorder="1" applyProtection="1">
      <protection locked="0"/>
    </xf>
    <xf numFmtId="165" fontId="7" fillId="14" borderId="1" xfId="0" applyNumberFormat="1" applyFont="1" applyFill="1" applyBorder="1" applyProtection="1">
      <protection locked="0"/>
    </xf>
    <xf numFmtId="0" fontId="43" fillId="10" borderId="12" xfId="0" applyFont="1" applyFill="1" applyBorder="1" applyAlignment="1">
      <alignment horizontal="left" vertical="center"/>
    </xf>
    <xf numFmtId="165" fontId="17" fillId="10" borderId="45" xfId="0" applyNumberFormat="1" applyFont="1" applyFill="1" applyBorder="1" applyAlignment="1">
      <alignment horizontal="center" vertical="center" wrapText="1"/>
    </xf>
    <xf numFmtId="0" fontId="7" fillId="0" borderId="26" xfId="0" applyFont="1" applyBorder="1"/>
    <xf numFmtId="1" fontId="14" fillId="3" borderId="22" xfId="0" applyNumberFormat="1" applyFont="1" applyFill="1" applyBorder="1"/>
    <xf numFmtId="0" fontId="21" fillId="3" borderId="4" xfId="0" applyFont="1" applyFill="1" applyBorder="1" applyAlignment="1">
      <alignment horizontal="center"/>
    </xf>
    <xf numFmtId="0" fontId="21" fillId="0" borderId="6" xfId="0" applyFont="1" applyBorder="1" applyAlignment="1">
      <alignment horizontal="center" vertical="center"/>
    </xf>
    <xf numFmtId="0" fontId="21" fillId="11" borderId="6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 vertical="center"/>
    </xf>
    <xf numFmtId="167" fontId="14" fillId="3" borderId="2" xfId="0" applyNumberFormat="1" applyFont="1" applyFill="1" applyBorder="1" applyAlignment="1">
      <alignment horizontal="center"/>
    </xf>
    <xf numFmtId="167" fontId="22" fillId="11" borderId="59" xfId="0" applyNumberFormat="1" applyFont="1" applyFill="1" applyBorder="1"/>
    <xf numFmtId="0" fontId="7" fillId="0" borderId="27" xfId="0" applyFont="1" applyBorder="1"/>
    <xf numFmtId="1" fontId="7" fillId="0" borderId="1" xfId="0" applyNumberFormat="1" applyFont="1" applyBorder="1" applyAlignment="1">
      <alignment horizontal="center"/>
    </xf>
    <xf numFmtId="0" fontId="21" fillId="3" borderId="1" xfId="0" applyFont="1" applyFill="1" applyBorder="1" applyAlignment="1">
      <alignment horizontal="center" vertical="center"/>
    </xf>
    <xf numFmtId="0" fontId="21" fillId="11" borderId="1" xfId="0" applyFont="1" applyFill="1" applyBorder="1" applyAlignment="1">
      <alignment horizontal="center"/>
    </xf>
    <xf numFmtId="1" fontId="21" fillId="3" borderId="1" xfId="0" applyNumberFormat="1" applyFont="1" applyFill="1" applyBorder="1" applyAlignment="1">
      <alignment horizontal="center"/>
    </xf>
    <xf numFmtId="0" fontId="21" fillId="0" borderId="27" xfId="0" applyFont="1" applyBorder="1"/>
    <xf numFmtId="1" fontId="7" fillId="0" borderId="22" xfId="0" applyNumberFormat="1" applyFont="1" applyBorder="1" applyAlignment="1">
      <alignment horizontal="center"/>
    </xf>
    <xf numFmtId="0" fontId="7" fillId="3" borderId="27" xfId="0" applyFont="1" applyFill="1" applyBorder="1"/>
    <xf numFmtId="1" fontId="7" fillId="3" borderId="1" xfId="0" applyNumberFormat="1" applyFont="1" applyFill="1" applyBorder="1" applyAlignment="1">
      <alignment horizontal="center"/>
    </xf>
    <xf numFmtId="0" fontId="7" fillId="0" borderId="49" xfId="0" applyFont="1" applyBorder="1"/>
    <xf numFmtId="0" fontId="43" fillId="10" borderId="18" xfId="0" applyFont="1" applyFill="1" applyBorder="1" applyAlignment="1">
      <alignment vertical="center"/>
    </xf>
    <xf numFmtId="1" fontId="7" fillId="0" borderId="5" xfId="0" applyNumberFormat="1" applyFont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7" fillId="11" borderId="5" xfId="0" applyFont="1" applyFill="1" applyBorder="1" applyAlignment="1">
      <alignment horizontal="center"/>
    </xf>
    <xf numFmtId="167" fontId="14" fillId="3" borderId="51" xfId="0" applyNumberFormat="1" applyFont="1" applyFill="1" applyBorder="1" applyAlignment="1">
      <alignment horizontal="center"/>
    </xf>
    <xf numFmtId="167" fontId="22" fillId="11" borderId="61" xfId="0" applyNumberFormat="1" applyFont="1" applyFill="1" applyBorder="1"/>
    <xf numFmtId="1" fontId="14" fillId="3" borderId="6" xfId="0" applyNumberFormat="1" applyFont="1" applyFill="1" applyBorder="1"/>
    <xf numFmtId="1" fontId="7" fillId="0" borderId="6" xfId="0" applyNumberFormat="1" applyFont="1" applyBorder="1" applyAlignment="1">
      <alignment horizontal="center"/>
    </xf>
    <xf numFmtId="0" fontId="7" fillId="11" borderId="6" xfId="0" applyFont="1" applyFill="1" applyBorder="1" applyAlignment="1">
      <alignment horizontal="center"/>
    </xf>
    <xf numFmtId="167" fontId="28" fillId="5" borderId="45" xfId="0" applyNumberFormat="1" applyFont="1" applyFill="1" applyBorder="1"/>
    <xf numFmtId="0" fontId="43" fillId="10" borderId="12" xfId="0" applyFont="1" applyFill="1" applyBorder="1" applyAlignment="1">
      <alignment vertical="center"/>
    </xf>
    <xf numFmtId="1" fontId="7" fillId="3" borderId="5" xfId="0" applyNumberFormat="1" applyFont="1" applyFill="1" applyBorder="1" applyAlignment="1">
      <alignment horizontal="center"/>
    </xf>
    <xf numFmtId="0" fontId="7" fillId="0" borderId="8" xfId="0" applyFont="1" applyBorder="1" applyAlignment="1">
      <alignment horizontal="center"/>
    </xf>
    <xf numFmtId="1" fontId="14" fillId="2" borderId="6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28" xfId="0" applyFont="1" applyBorder="1"/>
    <xf numFmtId="167" fontId="22" fillId="11" borderId="60" xfId="0" applyNumberFormat="1" applyFont="1" applyFill="1" applyBorder="1"/>
    <xf numFmtId="165" fontId="18" fillId="10" borderId="5" xfId="0" applyNumberFormat="1" applyFont="1" applyFill="1" applyBorder="1"/>
    <xf numFmtId="9" fontId="18" fillId="10" borderId="5" xfId="0" applyNumberFormat="1" applyFont="1" applyFill="1" applyBorder="1"/>
    <xf numFmtId="0" fontId="7" fillId="0" borderId="5" xfId="0" applyFont="1" applyBorder="1" applyAlignment="1">
      <alignment horizontal="center" vertical="center"/>
    </xf>
    <xf numFmtId="1" fontId="7" fillId="3" borderId="6" xfId="0" applyNumberFormat="1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167" fontId="40" fillId="3" borderId="2" xfId="0" applyNumberFormat="1" applyFont="1" applyFill="1" applyBorder="1" applyAlignment="1">
      <alignment horizontal="center"/>
    </xf>
    <xf numFmtId="165" fontId="14" fillId="15" borderId="5" xfId="0" applyNumberFormat="1" applyFont="1" applyFill="1" applyBorder="1" applyAlignment="1">
      <alignment horizontal="center" vertical="center" wrapText="1"/>
    </xf>
    <xf numFmtId="165" fontId="14" fillId="15" borderId="1" xfId="0" applyNumberFormat="1" applyFont="1" applyFill="1" applyBorder="1" applyAlignment="1">
      <alignment horizontal="center" vertical="center" wrapText="1"/>
    </xf>
    <xf numFmtId="1" fontId="14" fillId="3" borderId="31" xfId="0" applyNumberFormat="1" applyFont="1" applyFill="1" applyBorder="1"/>
    <xf numFmtId="165" fontId="14" fillId="15" borderId="31" xfId="0" applyNumberFormat="1" applyFont="1" applyFill="1" applyBorder="1" applyAlignment="1">
      <alignment horizontal="center" vertical="center" wrapText="1"/>
    </xf>
    <xf numFmtId="9" fontId="7" fillId="6" borderId="31" xfId="0" applyNumberFormat="1" applyFont="1" applyFill="1" applyBorder="1"/>
    <xf numFmtId="167" fontId="28" fillId="5" borderId="53" xfId="0" applyNumberFormat="1" applyFont="1" applyFill="1" applyBorder="1"/>
    <xf numFmtId="167" fontId="14" fillId="3" borderId="2" xfId="0" applyNumberFormat="1" applyFont="1" applyFill="1" applyBorder="1" applyAlignment="1" applyProtection="1">
      <alignment horizontal="center"/>
      <protection locked="0"/>
    </xf>
    <xf numFmtId="0" fontId="17" fillId="10" borderId="13" xfId="0" applyFont="1" applyFill="1" applyBorder="1" applyAlignment="1" applyProtection="1">
      <alignment horizontal="center" vertical="center" wrapText="1"/>
      <protection locked="0"/>
    </xf>
    <xf numFmtId="0" fontId="17" fillId="10" borderId="58" xfId="0" applyFont="1" applyFill="1" applyBorder="1" applyAlignment="1" applyProtection="1">
      <alignment horizontal="center" vertical="center" wrapText="1"/>
      <protection locked="0"/>
    </xf>
    <xf numFmtId="167" fontId="14" fillId="3" borderId="51" xfId="0" applyNumberFormat="1" applyFont="1" applyFill="1" applyBorder="1" applyAlignment="1" applyProtection="1">
      <alignment horizontal="center"/>
      <protection locked="0"/>
    </xf>
    <xf numFmtId="167" fontId="14" fillId="3" borderId="50" xfId="0" applyNumberFormat="1" applyFont="1" applyFill="1" applyBorder="1" applyAlignment="1" applyProtection="1">
      <alignment horizontal="center"/>
      <protection locked="0"/>
    </xf>
    <xf numFmtId="0" fontId="24" fillId="14" borderId="1" xfId="0" applyFont="1" applyFill="1" applyBorder="1" applyAlignment="1" applyProtection="1">
      <alignment horizontal="center" vertical="center"/>
      <protection locked="0"/>
    </xf>
    <xf numFmtId="165" fontId="21" fillId="14" borderId="5" xfId="0" applyNumberFormat="1" applyFont="1" applyFill="1" applyBorder="1" applyProtection="1">
      <protection locked="0"/>
    </xf>
    <xf numFmtId="165" fontId="21" fillId="14" borderId="31" xfId="0" applyNumberFormat="1" applyFont="1" applyFill="1" applyBorder="1" applyProtection="1">
      <protection locked="0"/>
    </xf>
    <xf numFmtId="166" fontId="14" fillId="3" borderId="0" xfId="0" applyNumberFormat="1" applyFont="1" applyFill="1" applyAlignment="1">
      <alignment horizontal="center"/>
    </xf>
    <xf numFmtId="166" fontId="7" fillId="3" borderId="0" xfId="0" applyNumberFormat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7" fillId="3" borderId="0" xfId="0" applyFont="1" applyFill="1" applyAlignment="1">
      <alignment horizontal="left" vertical="center"/>
    </xf>
    <xf numFmtId="166" fontId="14" fillId="3" borderId="0" xfId="0" applyNumberFormat="1" applyFont="1" applyFill="1" applyAlignment="1">
      <alignment horizontal="center" vertical="center"/>
    </xf>
    <xf numFmtId="166" fontId="7" fillId="3" borderId="0" xfId="0" applyNumberFormat="1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 wrapText="1"/>
    </xf>
    <xf numFmtId="0" fontId="15" fillId="3" borderId="0" xfId="0" applyFont="1" applyFill="1"/>
    <xf numFmtId="0" fontId="15" fillId="10" borderId="18" xfId="0" applyFont="1" applyFill="1" applyBorder="1" applyAlignment="1">
      <alignment horizontal="left" vertical="center" wrapText="1"/>
    </xf>
    <xf numFmtId="0" fontId="26" fillId="10" borderId="43" xfId="0" applyFont="1" applyFill="1" applyBorder="1" applyAlignment="1">
      <alignment horizontal="center" vertical="center" wrapText="1"/>
    </xf>
    <xf numFmtId="0" fontId="15" fillId="10" borderId="13" xfId="0" applyFont="1" applyFill="1" applyBorder="1" applyAlignment="1">
      <alignment horizontal="center" vertical="center" wrapText="1"/>
    </xf>
    <xf numFmtId="0" fontId="15" fillId="10" borderId="58" xfId="0" applyFont="1" applyFill="1" applyBorder="1" applyAlignment="1">
      <alignment horizontal="center" vertical="center" wrapText="1"/>
    </xf>
    <xf numFmtId="165" fontId="15" fillId="10" borderId="45" xfId="0" applyNumberFormat="1" applyFont="1" applyFill="1" applyBorder="1" applyAlignment="1">
      <alignment horizontal="center" vertical="center" wrapText="1"/>
    </xf>
    <xf numFmtId="0" fontId="15" fillId="0" borderId="0" xfId="0" applyFont="1"/>
    <xf numFmtId="0" fontId="7" fillId="3" borderId="1" xfId="0" applyFont="1" applyFill="1" applyBorder="1"/>
    <xf numFmtId="165" fontId="7" fillId="3" borderId="59" xfId="0" applyNumberFormat="1" applyFont="1" applyFill="1" applyBorder="1" applyAlignment="1">
      <alignment horizontal="left" vertical="center"/>
    </xf>
    <xf numFmtId="0" fontId="7" fillId="0" borderId="1" xfId="0" applyFont="1" applyBorder="1"/>
    <xf numFmtId="0" fontId="7" fillId="10" borderId="18" xfId="0" applyFont="1" applyFill="1" applyBorder="1"/>
    <xf numFmtId="0" fontId="7" fillId="10" borderId="29" xfId="0" applyFont="1" applyFill="1" applyBorder="1" applyAlignment="1">
      <alignment horizontal="center" vertical="center"/>
    </xf>
    <xf numFmtId="0" fontId="7" fillId="10" borderId="13" xfId="0" applyFont="1" applyFill="1" applyBorder="1" applyAlignment="1">
      <alignment horizontal="center" vertical="center"/>
    </xf>
    <xf numFmtId="0" fontId="25" fillId="10" borderId="13" xfId="0" applyFont="1" applyFill="1" applyBorder="1" applyAlignment="1">
      <alignment horizontal="left" vertical="center"/>
    </xf>
    <xf numFmtId="0" fontId="14" fillId="10" borderId="13" xfId="0" applyFont="1" applyFill="1" applyBorder="1" applyAlignment="1">
      <alignment horizontal="center" vertical="center"/>
    </xf>
    <xf numFmtId="168" fontId="7" fillId="10" borderId="58" xfId="0" applyNumberFormat="1" applyFont="1" applyFill="1" applyBorder="1"/>
    <xf numFmtId="165" fontId="7" fillId="5" borderId="45" xfId="0" applyNumberFormat="1" applyFont="1" applyFill="1" applyBorder="1" applyAlignment="1">
      <alignment horizontal="left" vertical="center"/>
    </xf>
    <xf numFmtId="166" fontId="14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66" fontId="19" fillId="3" borderId="0" xfId="0" applyNumberFormat="1" applyFont="1" applyFill="1" applyAlignment="1">
      <alignment horizontal="center" vertical="center"/>
    </xf>
    <xf numFmtId="0" fontId="15" fillId="11" borderId="21" xfId="0" applyFont="1" applyFill="1" applyBorder="1"/>
    <xf numFmtId="0" fontId="15" fillId="10" borderId="14" xfId="0" applyFont="1" applyFill="1" applyBorder="1"/>
    <xf numFmtId="0" fontId="7" fillId="3" borderId="16" xfId="0" applyFont="1" applyFill="1" applyBorder="1"/>
    <xf numFmtId="167" fontId="7" fillId="3" borderId="2" xfId="0" applyNumberFormat="1" applyFont="1" applyFill="1" applyBorder="1" applyAlignment="1">
      <alignment horizontal="center"/>
    </xf>
    <xf numFmtId="165" fontId="7" fillId="5" borderId="45" xfId="0" applyNumberFormat="1" applyFont="1" applyFill="1" applyBorder="1"/>
    <xf numFmtId="165" fontId="20" fillId="3" borderId="0" xfId="0" applyNumberFormat="1" applyFont="1" applyFill="1"/>
    <xf numFmtId="165" fontId="29" fillId="3" borderId="0" xfId="0" applyNumberFormat="1" applyFont="1" applyFill="1" applyAlignment="1">
      <alignment vertical="center" wrapText="1"/>
    </xf>
    <xf numFmtId="0" fontId="15" fillId="10" borderId="12" xfId="0" applyFont="1" applyFill="1" applyBorder="1" applyAlignment="1">
      <alignment horizontal="left" vertical="center"/>
    </xf>
    <xf numFmtId="0" fontId="15" fillId="10" borderId="13" xfId="0" applyFont="1" applyFill="1" applyBorder="1" applyAlignment="1">
      <alignment horizontal="left" vertical="center"/>
    </xf>
    <xf numFmtId="0" fontId="26" fillId="10" borderId="13" xfId="0" applyFont="1" applyFill="1" applyBorder="1" applyAlignment="1">
      <alignment horizontal="center" vertical="center" wrapText="1"/>
    </xf>
    <xf numFmtId="165" fontId="30" fillId="3" borderId="14" xfId="0" applyNumberFormat="1" applyFont="1" applyFill="1" applyBorder="1" applyAlignment="1">
      <alignment horizontal="center" vertical="center" wrapText="1"/>
    </xf>
    <xf numFmtId="165" fontId="30" fillId="3" borderId="1" xfId="0" applyNumberFormat="1" applyFont="1" applyFill="1" applyBorder="1" applyAlignment="1">
      <alignment horizontal="center" vertical="center"/>
    </xf>
    <xf numFmtId="166" fontId="7" fillId="3" borderId="1" xfId="0" applyNumberFormat="1" applyFont="1" applyFill="1" applyBorder="1" applyAlignment="1">
      <alignment horizontal="center"/>
    </xf>
    <xf numFmtId="165" fontId="7" fillId="3" borderId="2" xfId="0" applyNumberFormat="1" applyFont="1" applyFill="1" applyBorder="1"/>
    <xf numFmtId="165" fontId="20" fillId="3" borderId="14" xfId="0" applyNumberFormat="1" applyFont="1" applyFill="1" applyBorder="1"/>
    <xf numFmtId="166" fontId="7" fillId="3" borderId="0" xfId="0" applyNumberFormat="1" applyFont="1" applyFill="1"/>
    <xf numFmtId="165" fontId="29" fillId="3" borderId="14" xfId="0" applyNumberFormat="1" applyFont="1" applyFill="1" applyBorder="1"/>
    <xf numFmtId="165" fontId="29" fillId="3" borderId="1" xfId="0" applyNumberFormat="1" applyFont="1" applyFill="1" applyBorder="1"/>
    <xf numFmtId="0" fontId="7" fillId="0" borderId="6" xfId="0" applyFont="1" applyBorder="1" applyAlignment="1">
      <alignment horizontal="center" vertical="center"/>
    </xf>
    <xf numFmtId="166" fontId="7" fillId="3" borderId="14" xfId="0" applyNumberFormat="1" applyFont="1" applyFill="1" applyBorder="1"/>
    <xf numFmtId="166" fontId="15" fillId="10" borderId="27" xfId="0" applyNumberFormat="1" applyFont="1" applyFill="1" applyBorder="1"/>
    <xf numFmtId="165" fontId="7" fillId="0" borderId="2" xfId="0" applyNumberFormat="1" applyFont="1" applyBorder="1"/>
    <xf numFmtId="0" fontId="7" fillId="3" borderId="12" xfId="0" applyFont="1" applyFill="1" applyBorder="1"/>
    <xf numFmtId="0" fontId="7" fillId="3" borderId="29" xfId="0" applyFont="1" applyFill="1" applyBorder="1"/>
    <xf numFmtId="0" fontId="7" fillId="3" borderId="29" xfId="0" applyFont="1" applyFill="1" applyBorder="1" applyAlignment="1">
      <alignment horizontal="center"/>
    </xf>
    <xf numFmtId="165" fontId="15" fillId="5" borderId="45" xfId="0" applyNumberFormat="1" applyFont="1" applyFill="1" applyBorder="1" applyAlignment="1">
      <alignment horizontal="center" vertical="center"/>
    </xf>
    <xf numFmtId="165" fontId="29" fillId="3" borderId="14" xfId="0" applyNumberFormat="1" applyFont="1" applyFill="1" applyBorder="1" applyAlignment="1">
      <alignment horizontal="center" vertical="center"/>
    </xf>
    <xf numFmtId="165" fontId="7" fillId="3" borderId="50" xfId="0" applyNumberFormat="1" applyFont="1" applyFill="1" applyBorder="1"/>
    <xf numFmtId="0" fontId="15" fillId="10" borderId="27" xfId="0" applyFont="1" applyFill="1" applyBorder="1" applyAlignment="1">
      <alignment horizontal="left" vertical="center"/>
    </xf>
    <xf numFmtId="0" fontId="7" fillId="10" borderId="3" xfId="0" applyFont="1" applyFill="1" applyBorder="1" applyAlignment="1">
      <alignment horizontal="center" vertical="center" wrapText="1"/>
    </xf>
    <xf numFmtId="165" fontId="11" fillId="3" borderId="2" xfId="0" applyNumberFormat="1" applyFont="1" applyFill="1" applyBorder="1"/>
    <xf numFmtId="0" fontId="21" fillId="3" borderId="1" xfId="0" applyFont="1" applyFill="1" applyBorder="1" applyAlignment="1">
      <alignment horizontal="center"/>
    </xf>
    <xf numFmtId="165" fontId="7" fillId="0" borderId="0" xfId="0" applyNumberFormat="1" applyFont="1"/>
    <xf numFmtId="0" fontId="14" fillId="3" borderId="0" xfId="0" applyFont="1" applyFill="1" applyAlignment="1">
      <alignment wrapText="1"/>
    </xf>
    <xf numFmtId="0" fontId="15" fillId="3" borderId="41" xfId="0" applyFont="1" applyFill="1" applyBorder="1" applyAlignment="1">
      <alignment horizontal="left" vertical="center"/>
    </xf>
    <xf numFmtId="0" fontId="7" fillId="3" borderId="42" xfId="0" applyFont="1" applyFill="1" applyBorder="1"/>
    <xf numFmtId="165" fontId="20" fillId="3" borderId="26" xfId="0" applyNumberFormat="1" applyFont="1" applyFill="1" applyBorder="1"/>
    <xf numFmtId="165" fontId="7" fillId="3" borderId="11" xfId="0" applyNumberFormat="1" applyFont="1" applyFill="1" applyBorder="1"/>
    <xf numFmtId="0" fontId="15" fillId="10" borderId="43" xfId="0" applyFont="1" applyFill="1" applyBorder="1" applyAlignment="1">
      <alignment horizontal="left" vertical="center"/>
    </xf>
    <xf numFmtId="165" fontId="29" fillId="5" borderId="4" xfId="0" applyNumberFormat="1" applyFont="1" applyFill="1" applyBorder="1"/>
    <xf numFmtId="165" fontId="29" fillId="5" borderId="1" xfId="0" applyNumberFormat="1" applyFont="1" applyFill="1" applyBorder="1"/>
    <xf numFmtId="165" fontId="7" fillId="10" borderId="3" xfId="0" applyNumberFormat="1" applyFont="1" applyFill="1" applyBorder="1" applyAlignment="1">
      <alignment horizontal="center" vertical="center" wrapText="1"/>
    </xf>
    <xf numFmtId="165" fontId="8" fillId="3" borderId="4" xfId="0" applyNumberFormat="1" applyFont="1" applyFill="1" applyBorder="1"/>
    <xf numFmtId="165" fontId="8" fillId="3" borderId="1" xfId="0" applyNumberFormat="1" applyFont="1" applyFill="1" applyBorder="1"/>
    <xf numFmtId="165" fontId="29" fillId="3" borderId="4" xfId="0" applyNumberFormat="1" applyFont="1" applyFill="1" applyBorder="1"/>
    <xf numFmtId="165" fontId="20" fillId="11" borderId="0" xfId="0" applyNumberFormat="1" applyFont="1" applyFill="1"/>
    <xf numFmtId="165" fontId="7" fillId="11" borderId="0" xfId="0" applyNumberFormat="1" applyFont="1" applyFill="1"/>
    <xf numFmtId="165" fontId="20" fillId="0" borderId="0" xfId="0" applyNumberFormat="1" applyFont="1"/>
    <xf numFmtId="2" fontId="7" fillId="3" borderId="0" xfId="0" applyNumberFormat="1" applyFont="1" applyFill="1"/>
    <xf numFmtId="0" fontId="7" fillId="3" borderId="14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left" vertical="center"/>
    </xf>
    <xf numFmtId="2" fontId="7" fillId="3" borderId="1" xfId="0" applyNumberFormat="1" applyFont="1" applyFill="1" applyBorder="1" applyAlignment="1">
      <alignment horizontal="left" vertical="center"/>
    </xf>
    <xf numFmtId="0" fontId="21" fillId="3" borderId="1" xfId="0" applyFont="1" applyFill="1" applyBorder="1"/>
    <xf numFmtId="0" fontId="26" fillId="3" borderId="1" xfId="0" applyFont="1" applyFill="1" applyBorder="1"/>
    <xf numFmtId="0" fontId="17" fillId="10" borderId="13" xfId="0" applyFont="1" applyFill="1" applyBorder="1" applyAlignment="1">
      <alignment horizontal="left" vertical="center"/>
    </xf>
    <xf numFmtId="0" fontId="30" fillId="10" borderId="14" xfId="0" applyFont="1" applyFill="1" applyBorder="1" applyAlignment="1">
      <alignment horizontal="center" vertical="center" wrapText="1"/>
    </xf>
    <xf numFmtId="165" fontId="30" fillId="10" borderId="1" xfId="0" applyNumberFormat="1" applyFont="1" applyFill="1" applyBorder="1" applyAlignment="1">
      <alignment horizontal="center" vertical="center" wrapText="1"/>
    </xf>
    <xf numFmtId="2" fontId="17" fillId="5" borderId="1" xfId="0" applyNumberFormat="1" applyFont="1" applyFill="1" applyBorder="1" applyAlignment="1">
      <alignment horizontal="center" vertical="center" wrapText="1"/>
    </xf>
    <xf numFmtId="0" fontId="31" fillId="7" borderId="1" xfId="0" applyFont="1" applyFill="1" applyBorder="1" applyAlignment="1">
      <alignment horizontal="center" vertical="center"/>
    </xf>
    <xf numFmtId="165" fontId="20" fillId="3" borderId="6" xfId="0" applyNumberFormat="1" applyFont="1" applyFill="1" applyBorder="1" applyAlignment="1">
      <alignment horizontal="center"/>
    </xf>
    <xf numFmtId="165" fontId="14" fillId="3" borderId="1" xfId="0" applyNumberFormat="1" applyFont="1" applyFill="1" applyBorder="1"/>
    <xf numFmtId="9" fontId="21" fillId="3" borderId="1" xfId="0" applyNumberFormat="1" applyFont="1" applyFill="1" applyBorder="1"/>
    <xf numFmtId="9" fontId="32" fillId="3" borderId="1" xfId="0" applyNumberFormat="1" applyFont="1" applyFill="1" applyBorder="1"/>
    <xf numFmtId="9" fontId="26" fillId="3" borderId="1" xfId="0" applyNumberFormat="1" applyFont="1" applyFill="1" applyBorder="1"/>
    <xf numFmtId="165" fontId="7" fillId="3" borderId="60" xfId="0" applyNumberFormat="1" applyFont="1" applyFill="1" applyBorder="1"/>
    <xf numFmtId="0" fontId="8" fillId="10" borderId="12" xfId="0" applyFont="1" applyFill="1" applyBorder="1"/>
    <xf numFmtId="0" fontId="8" fillId="10" borderId="29" xfId="0" applyFont="1" applyFill="1" applyBorder="1"/>
    <xf numFmtId="166" fontId="15" fillId="3" borderId="14" xfId="0" applyNumberFormat="1" applyFont="1" applyFill="1" applyBorder="1"/>
    <xf numFmtId="166" fontId="8" fillId="3" borderId="1" xfId="0" applyNumberFormat="1" applyFont="1" applyFill="1" applyBorder="1"/>
    <xf numFmtId="0" fontId="7" fillId="3" borderId="0" xfId="0" applyFont="1" applyFill="1" applyAlignment="1">
      <alignment horizontal="left"/>
    </xf>
    <xf numFmtId="0" fontId="15" fillId="3" borderId="0" xfId="0" applyFont="1" applyFill="1" applyAlignment="1">
      <alignment horizontal="center"/>
    </xf>
    <xf numFmtId="165" fontId="21" fillId="8" borderId="3" xfId="0" applyNumberFormat="1" applyFont="1" applyFill="1" applyBorder="1" applyAlignment="1">
      <alignment horizontal="center"/>
    </xf>
    <xf numFmtId="165" fontId="21" fillId="9" borderId="3" xfId="0" applyNumberFormat="1" applyFont="1" applyFill="1" applyBorder="1" applyAlignment="1">
      <alignment horizontal="center"/>
    </xf>
    <xf numFmtId="165" fontId="38" fillId="9" borderId="2" xfId="0" applyNumberFormat="1" applyFont="1" applyFill="1" applyBorder="1" applyAlignment="1">
      <alignment horizontal="center"/>
    </xf>
    <xf numFmtId="0" fontId="17" fillId="10" borderId="1" xfId="0" applyFont="1" applyFill="1" applyBorder="1" applyAlignment="1">
      <alignment horizontal="left" vertical="center"/>
    </xf>
    <xf numFmtId="0" fontId="17" fillId="10" borderId="3" xfId="0" applyFont="1" applyFill="1" applyBorder="1" applyAlignment="1">
      <alignment horizontal="center" vertical="center" wrapText="1"/>
    </xf>
    <xf numFmtId="165" fontId="44" fillId="12" borderId="3" xfId="0" applyNumberFormat="1" applyFont="1" applyFill="1" applyBorder="1" applyAlignment="1">
      <alignment horizontal="center"/>
    </xf>
    <xf numFmtId="165" fontId="39" fillId="9" borderId="2" xfId="0" applyNumberFormat="1" applyFont="1" applyFill="1" applyBorder="1" applyAlignment="1">
      <alignment horizontal="center"/>
    </xf>
    <xf numFmtId="165" fontId="21" fillId="0" borderId="3" xfId="0" applyNumberFormat="1" applyFont="1" applyBorder="1" applyAlignment="1">
      <alignment horizontal="center"/>
    </xf>
    <xf numFmtId="165" fontId="21" fillId="9" borderId="7" xfId="0" applyNumberFormat="1" applyFont="1" applyFill="1" applyBorder="1" applyAlignment="1">
      <alignment horizontal="center"/>
    </xf>
    <xf numFmtId="0" fontId="7" fillId="3" borderId="30" xfId="0" applyFont="1" applyFill="1" applyBorder="1"/>
    <xf numFmtId="165" fontId="21" fillId="9" borderId="48" xfId="0" applyNumberFormat="1" applyFont="1" applyFill="1" applyBorder="1" applyAlignment="1">
      <alignment horizontal="center"/>
    </xf>
    <xf numFmtId="0" fontId="7" fillId="10" borderId="43" xfId="0" applyFont="1" applyFill="1" applyBorder="1" applyAlignment="1">
      <alignment horizontal="left"/>
    </xf>
    <xf numFmtId="0" fontId="7" fillId="10" borderId="13" xfId="0" applyFont="1" applyFill="1" applyBorder="1" applyAlignment="1">
      <alignment horizontal="center"/>
    </xf>
    <xf numFmtId="164" fontId="14" fillId="12" borderId="58" xfId="0" applyNumberFormat="1" applyFont="1" applyFill="1" applyBorder="1" applyAlignment="1">
      <alignment horizontal="center"/>
    </xf>
    <xf numFmtId="0" fontId="17" fillId="10" borderId="12" xfId="0" applyFont="1" applyFill="1" applyBorder="1" applyAlignment="1">
      <alignment horizontal="left" vertical="center"/>
    </xf>
    <xf numFmtId="0" fontId="7" fillId="10" borderId="29" xfId="0" applyFont="1" applyFill="1" applyBorder="1" applyAlignment="1">
      <alignment horizontal="left"/>
    </xf>
    <xf numFmtId="0" fontId="8" fillId="10" borderId="29" xfId="0" applyFont="1" applyFill="1" applyBorder="1" applyAlignment="1">
      <alignment horizontal="center"/>
    </xf>
    <xf numFmtId="165" fontId="7" fillId="10" borderId="29" xfId="0" applyNumberFormat="1" applyFont="1" applyFill="1" applyBorder="1" applyAlignment="1">
      <alignment horizontal="center"/>
    </xf>
    <xf numFmtId="49" fontId="21" fillId="3" borderId="28" xfId="1" applyNumberFormat="1" applyFont="1" applyFill="1" applyBorder="1" applyAlignment="1">
      <alignment horizontal="left" vertical="center"/>
    </xf>
    <xf numFmtId="0" fontId="21" fillId="3" borderId="22" xfId="0" applyFont="1" applyFill="1" applyBorder="1" applyAlignment="1">
      <alignment horizontal="center"/>
    </xf>
    <xf numFmtId="0" fontId="21" fillId="3" borderId="5" xfId="0" applyFont="1" applyFill="1" applyBorder="1" applyAlignment="1">
      <alignment horizontal="center"/>
    </xf>
    <xf numFmtId="164" fontId="21" fillId="3" borderId="3" xfId="1" applyNumberFormat="1" applyFont="1" applyFill="1" applyBorder="1" applyAlignment="1">
      <alignment horizontal="center" vertical="center"/>
    </xf>
    <xf numFmtId="49" fontId="21" fillId="3" borderId="27" xfId="1" applyNumberFormat="1" applyFont="1" applyFill="1" applyBorder="1" applyAlignment="1">
      <alignment horizontal="left" vertical="center"/>
    </xf>
    <xf numFmtId="49" fontId="21" fillId="3" borderId="1" xfId="1" applyNumberFormat="1" applyFont="1" applyFill="1" applyBorder="1" applyAlignment="1">
      <alignment horizontal="center" vertical="center"/>
    </xf>
    <xf numFmtId="0" fontId="7" fillId="11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19" fillId="14" borderId="15" xfId="0" applyFont="1" applyFill="1" applyBorder="1" applyAlignment="1" applyProtection="1">
      <alignment horizontal="right"/>
      <protection locked="0"/>
    </xf>
    <xf numFmtId="165" fontId="10" fillId="14" borderId="15" xfId="3" applyNumberFormat="1" applyFill="1" applyBorder="1" applyAlignment="1" applyProtection="1">
      <alignment horizontal="center" vertical="center"/>
      <protection locked="0"/>
    </xf>
    <xf numFmtId="165" fontId="34" fillId="14" borderId="40" xfId="3" applyNumberFormat="1" applyFont="1" applyFill="1" applyBorder="1" applyAlignment="1" applyProtection="1">
      <alignment horizontal="center" vertical="center" wrapText="1"/>
      <protection locked="0"/>
    </xf>
    <xf numFmtId="0" fontId="19" fillId="14" borderId="23" xfId="0" applyFont="1" applyFill="1" applyBorder="1" applyAlignment="1" applyProtection="1">
      <alignment horizontal="right" vertical="center" wrapText="1"/>
      <protection locked="0"/>
    </xf>
    <xf numFmtId="1" fontId="14" fillId="0" borderId="1" xfId="0" applyNumberFormat="1" applyFont="1" applyBorder="1"/>
    <xf numFmtId="1" fontId="14" fillId="0" borderId="5" xfId="0" applyNumberFormat="1" applyFont="1" applyBorder="1"/>
    <xf numFmtId="0" fontId="7" fillId="0" borderId="22" xfId="0" applyFont="1" applyBorder="1" applyAlignment="1">
      <alignment horizontal="center" vertical="center"/>
    </xf>
    <xf numFmtId="0" fontId="39" fillId="0" borderId="26" xfId="0" applyFont="1" applyBorder="1"/>
    <xf numFmtId="1" fontId="14" fillId="0" borderId="6" xfId="0" applyNumberFormat="1" applyFont="1" applyBorder="1"/>
    <xf numFmtId="0" fontId="39" fillId="3" borderId="9" xfId="0" applyFont="1" applyFill="1" applyBorder="1" applyAlignment="1">
      <alignment horizontal="center"/>
    </xf>
    <xf numFmtId="167" fontId="14" fillId="3" borderId="44" xfId="0" applyNumberFormat="1" applyFont="1" applyFill="1" applyBorder="1" applyAlignment="1" applyProtection="1">
      <alignment horizontal="center"/>
      <protection locked="0"/>
    </xf>
    <xf numFmtId="0" fontId="43" fillId="10" borderId="62" xfId="0" applyFont="1" applyFill="1" applyBorder="1" applyAlignment="1">
      <alignment horizontal="left" vertical="center"/>
    </xf>
    <xf numFmtId="0" fontId="43" fillId="10" borderId="63" xfId="0" applyFont="1" applyFill="1" applyBorder="1" applyAlignment="1">
      <alignment horizontal="center" vertical="center" wrapText="1"/>
    </xf>
    <xf numFmtId="0" fontId="24" fillId="10" borderId="63" xfId="0" applyFont="1" applyFill="1" applyBorder="1" applyAlignment="1">
      <alignment horizontal="center" vertical="center" wrapText="1"/>
    </xf>
    <xf numFmtId="0" fontId="24" fillId="10" borderId="64" xfId="0" applyFont="1" applyFill="1" applyBorder="1" applyAlignment="1">
      <alignment horizontal="center" vertical="center" wrapText="1"/>
    </xf>
    <xf numFmtId="0" fontId="17" fillId="10" borderId="63" xfId="0" applyFont="1" applyFill="1" applyBorder="1" applyAlignment="1">
      <alignment horizontal="center" vertical="center" wrapText="1"/>
    </xf>
    <xf numFmtId="0" fontId="43" fillId="7" borderId="65" xfId="0" applyFont="1" applyFill="1" applyBorder="1" applyAlignment="1">
      <alignment horizontal="center" vertical="center" wrapText="1"/>
    </xf>
    <xf numFmtId="165" fontId="17" fillId="10" borderId="66" xfId="0" applyNumberFormat="1" applyFont="1" applyFill="1" applyBorder="1" applyAlignment="1">
      <alignment horizontal="center" vertical="center" wrapText="1"/>
    </xf>
    <xf numFmtId="0" fontId="24" fillId="14" borderId="63" xfId="0" applyFont="1" applyFill="1" applyBorder="1" applyAlignment="1">
      <alignment horizontal="center" vertical="center"/>
    </xf>
    <xf numFmtId="0" fontId="17" fillId="10" borderId="63" xfId="0" applyFont="1" applyFill="1" applyBorder="1" applyAlignment="1">
      <alignment horizontal="center" vertical="center"/>
    </xf>
    <xf numFmtId="0" fontId="17" fillId="6" borderId="63" xfId="0" applyFont="1" applyFill="1" applyBorder="1" applyAlignment="1">
      <alignment horizontal="center" vertical="center"/>
    </xf>
    <xf numFmtId="10" fontId="44" fillId="4" borderId="62" xfId="0" applyNumberFormat="1" applyFont="1" applyFill="1" applyBorder="1" applyAlignment="1">
      <alignment horizontal="center" vertical="center" wrapText="1"/>
    </xf>
    <xf numFmtId="165" fontId="7" fillId="11" borderId="67" xfId="0" applyNumberFormat="1" applyFont="1" applyFill="1" applyBorder="1"/>
    <xf numFmtId="10" fontId="44" fillId="4" borderId="68" xfId="0" applyNumberFormat="1" applyFont="1" applyFill="1" applyBorder="1" applyAlignment="1">
      <alignment horizontal="center" vertical="center" wrapText="1"/>
    </xf>
    <xf numFmtId="165" fontId="7" fillId="11" borderId="69" xfId="0" applyNumberFormat="1" applyFont="1" applyFill="1" applyBorder="1"/>
    <xf numFmtId="165" fontId="7" fillId="11" borderId="24" xfId="0" applyNumberFormat="1" applyFont="1" applyFill="1" applyBorder="1"/>
    <xf numFmtId="165" fontId="7" fillId="11" borderId="6" xfId="0" applyNumberFormat="1" applyFont="1" applyFill="1" applyBorder="1"/>
    <xf numFmtId="165" fontId="7" fillId="14" borderId="6" xfId="0" applyNumberFormat="1" applyFont="1" applyFill="1" applyBorder="1" applyProtection="1">
      <protection locked="0"/>
    </xf>
    <xf numFmtId="9" fontId="7" fillId="6" borderId="6" xfId="0" applyNumberFormat="1" applyFont="1" applyFill="1" applyBorder="1"/>
    <xf numFmtId="167" fontId="22" fillId="11" borderId="53" xfId="0" applyNumberFormat="1" applyFont="1" applyFill="1" applyBorder="1"/>
    <xf numFmtId="165" fontId="7" fillId="3" borderId="36" xfId="0" applyNumberFormat="1" applyFont="1" applyFill="1" applyBorder="1"/>
    <xf numFmtId="165" fontId="7" fillId="3" borderId="37" xfId="0" applyNumberFormat="1" applyFont="1" applyFill="1" applyBorder="1"/>
    <xf numFmtId="0" fontId="17" fillId="10" borderId="14" xfId="0" applyFont="1" applyFill="1" applyBorder="1" applyAlignment="1">
      <alignment horizontal="center" vertical="center" wrapText="1"/>
    </xf>
    <xf numFmtId="165" fontId="18" fillId="10" borderId="14" xfId="0" applyNumberFormat="1" applyFont="1" applyFill="1" applyBorder="1"/>
    <xf numFmtId="165" fontId="7" fillId="10" borderId="1" xfId="0" applyNumberFormat="1" applyFont="1" applyFill="1" applyBorder="1"/>
    <xf numFmtId="165" fontId="15" fillId="11" borderId="14" xfId="0" applyNumberFormat="1" applyFont="1" applyFill="1" applyBorder="1"/>
    <xf numFmtId="1" fontId="21" fillId="3" borderId="6" xfId="0" applyNumberFormat="1" applyFont="1" applyFill="1" applyBorder="1" applyAlignment="1">
      <alignment horizontal="center"/>
    </xf>
    <xf numFmtId="0" fontId="21" fillId="3" borderId="9" xfId="0" applyFont="1" applyFill="1" applyBorder="1" applyAlignment="1">
      <alignment horizontal="center"/>
    </xf>
    <xf numFmtId="165" fontId="21" fillId="14" borderId="6" xfId="0" applyNumberFormat="1" applyFont="1" applyFill="1" applyBorder="1" applyProtection="1">
      <protection locked="0"/>
    </xf>
    <xf numFmtId="0" fontId="43" fillId="10" borderId="70" xfId="0" applyFont="1" applyFill="1" applyBorder="1" applyAlignment="1">
      <alignment horizontal="center" vertical="center" wrapText="1"/>
    </xf>
    <xf numFmtId="0" fontId="24" fillId="10" borderId="70" xfId="0" applyFont="1" applyFill="1" applyBorder="1" applyAlignment="1">
      <alignment horizontal="center" vertical="center" wrapText="1"/>
    </xf>
    <xf numFmtId="0" fontId="17" fillId="10" borderId="71" xfId="0" applyFont="1" applyFill="1" applyBorder="1" applyAlignment="1">
      <alignment horizontal="center" vertical="center" wrapText="1"/>
    </xf>
    <xf numFmtId="165" fontId="17" fillId="10" borderId="72" xfId="0" applyNumberFormat="1" applyFont="1" applyFill="1" applyBorder="1" applyAlignment="1">
      <alignment horizontal="center" vertical="center" wrapText="1"/>
    </xf>
    <xf numFmtId="0" fontId="17" fillId="4" borderId="73" xfId="0" applyFont="1" applyFill="1" applyBorder="1" applyAlignment="1">
      <alignment horizontal="center" vertical="center" wrapText="1"/>
    </xf>
    <xf numFmtId="10" fontId="44" fillId="4" borderId="74" xfId="0" applyNumberFormat="1" applyFont="1" applyFill="1" applyBorder="1" applyAlignment="1">
      <alignment horizontal="center" vertical="center" wrapText="1"/>
    </xf>
    <xf numFmtId="0" fontId="17" fillId="4" borderId="74" xfId="0" applyFont="1" applyFill="1" applyBorder="1" applyAlignment="1">
      <alignment horizontal="center" vertical="center" wrapText="1"/>
    </xf>
    <xf numFmtId="0" fontId="24" fillId="14" borderId="75" xfId="0" applyFont="1" applyFill="1" applyBorder="1" applyAlignment="1">
      <alignment horizontal="center" vertical="center"/>
    </xf>
    <xf numFmtId="0" fontId="17" fillId="10" borderId="75" xfId="0" applyFont="1" applyFill="1" applyBorder="1" applyAlignment="1">
      <alignment horizontal="center" vertical="center" wrapText="1"/>
    </xf>
    <xf numFmtId="0" fontId="17" fillId="10" borderId="75" xfId="0" applyFont="1" applyFill="1" applyBorder="1" applyAlignment="1">
      <alignment horizontal="center" vertical="center"/>
    </xf>
    <xf numFmtId="0" fontId="17" fillId="6" borderId="75" xfId="0" applyFont="1" applyFill="1" applyBorder="1" applyAlignment="1">
      <alignment horizontal="center" vertical="center"/>
    </xf>
    <xf numFmtId="0" fontId="14" fillId="3" borderId="0" xfId="0" applyFont="1" applyFill="1"/>
    <xf numFmtId="169" fontId="19" fillId="0" borderId="15" xfId="0" applyNumberFormat="1" applyFont="1" applyBorder="1" applyAlignment="1">
      <alignment horizontal="right"/>
    </xf>
    <xf numFmtId="169" fontId="19" fillId="0" borderId="40" xfId="0" applyNumberFormat="1" applyFont="1" applyBorder="1" applyAlignment="1">
      <alignment horizontal="right"/>
    </xf>
    <xf numFmtId="169" fontId="19" fillId="14" borderId="15" xfId="0" applyNumberFormat="1" applyFont="1" applyFill="1" applyBorder="1" applyAlignment="1" applyProtection="1">
      <alignment horizontal="right"/>
      <protection locked="0"/>
    </xf>
    <xf numFmtId="0" fontId="16" fillId="12" borderId="13" xfId="0" applyFont="1" applyFill="1" applyBorder="1" applyAlignment="1">
      <alignment horizontal="center" vertical="center"/>
    </xf>
    <xf numFmtId="0" fontId="17" fillId="10" borderId="13" xfId="0" applyFont="1" applyFill="1" applyBorder="1" applyAlignment="1">
      <alignment horizontal="center" vertical="center"/>
    </xf>
    <xf numFmtId="165" fontId="7" fillId="5" borderId="55" xfId="0" applyNumberFormat="1" applyFont="1" applyFill="1" applyBorder="1"/>
    <xf numFmtId="165" fontId="7" fillId="3" borderId="1" xfId="0" applyNumberFormat="1" applyFont="1" applyFill="1" applyBorder="1"/>
    <xf numFmtId="0" fontId="49" fillId="0" borderId="1" xfId="0" applyFont="1" applyBorder="1"/>
    <xf numFmtId="0" fontId="48" fillId="0" borderId="0" xfId="0" applyFont="1"/>
    <xf numFmtId="0" fontId="7" fillId="10" borderId="76" xfId="0" applyFont="1" applyFill="1" applyBorder="1"/>
    <xf numFmtId="0" fontId="7" fillId="10" borderId="77" xfId="0" applyFont="1" applyFill="1" applyBorder="1"/>
    <xf numFmtId="0" fontId="7" fillId="10" borderId="77" xfId="0" applyFont="1" applyFill="1" applyBorder="1" applyAlignment="1">
      <alignment horizontal="center"/>
    </xf>
    <xf numFmtId="165" fontId="7" fillId="10" borderId="77" xfId="0" applyNumberFormat="1" applyFont="1" applyFill="1" applyBorder="1"/>
    <xf numFmtId="0" fontId="16" fillId="12" borderId="43" xfId="0" applyFont="1" applyFill="1" applyBorder="1" applyAlignment="1">
      <alignment horizontal="center" vertical="center" wrapText="1"/>
    </xf>
    <xf numFmtId="0" fontId="17" fillId="10" borderId="43" xfId="0" applyFont="1" applyFill="1" applyBorder="1" applyAlignment="1">
      <alignment horizontal="center" vertical="center" wrapText="1"/>
    </xf>
    <xf numFmtId="165" fontId="7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 applyProtection="1">
      <alignment horizontal="left"/>
      <protection locked="0"/>
    </xf>
    <xf numFmtId="0" fontId="21" fillId="3" borderId="22" xfId="0" applyFont="1" applyFill="1" applyBorder="1" applyAlignment="1">
      <alignment horizontal="left"/>
    </xf>
    <xf numFmtId="0" fontId="7" fillId="3" borderId="9" xfId="0" applyFont="1" applyFill="1" applyBorder="1" applyAlignment="1">
      <alignment horizontal="left"/>
    </xf>
    <xf numFmtId="0" fontId="7" fillId="3" borderId="4" xfId="0" applyFont="1" applyFill="1" applyBorder="1" applyAlignment="1">
      <alignment horizontal="left"/>
    </xf>
    <xf numFmtId="0" fontId="21" fillId="3" borderId="4" xfId="0" applyFont="1" applyFill="1" applyBorder="1" applyAlignment="1">
      <alignment horizontal="left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165" fontId="11" fillId="3" borderId="51" xfId="7" applyFont="1" applyFill="1" applyBorder="1" applyProtection="1"/>
    <xf numFmtId="0" fontId="7" fillId="3" borderId="1" xfId="0" applyFont="1" applyFill="1" applyBorder="1" applyAlignment="1" applyProtection="1">
      <alignment horizontal="center" vertical="center" wrapText="1"/>
      <protection locked="0"/>
    </xf>
    <xf numFmtId="167" fontId="7" fillId="3" borderId="1" xfId="0" applyNumberFormat="1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165" fontId="7" fillId="3" borderId="1" xfId="7" applyFont="1" applyFill="1" applyBorder="1" applyAlignment="1" applyProtection="1">
      <alignment horizontal="center"/>
    </xf>
    <xf numFmtId="166" fontId="7" fillId="3" borderId="24" xfId="0" applyNumberFormat="1" applyFont="1" applyFill="1" applyBorder="1"/>
    <xf numFmtId="166" fontId="7" fillId="3" borderId="6" xfId="0" applyNumberFormat="1" applyFont="1" applyFill="1" applyBorder="1" applyAlignment="1">
      <alignment horizontal="center"/>
    </xf>
    <xf numFmtId="0" fontId="22" fillId="9" borderId="14" xfId="0" applyFont="1" applyFill="1" applyBorder="1"/>
    <xf numFmtId="0" fontId="22" fillId="3" borderId="4" xfId="0" applyFont="1" applyFill="1" applyBorder="1" applyAlignment="1">
      <alignment horizontal="center" vertical="center"/>
    </xf>
    <xf numFmtId="165" fontId="7" fillId="3" borderId="3" xfId="0" applyNumberFormat="1" applyFont="1" applyFill="1" applyBorder="1"/>
    <xf numFmtId="0" fontId="7" fillId="13" borderId="14" xfId="0" applyFont="1" applyFill="1" applyBorder="1"/>
    <xf numFmtId="0" fontId="7" fillId="13" borderId="1" xfId="0" applyFont="1" applyFill="1" applyBorder="1" applyAlignment="1">
      <alignment horizontal="center"/>
    </xf>
    <xf numFmtId="0" fontId="7" fillId="13" borderId="1" xfId="0" applyFont="1" applyFill="1" applyBorder="1" applyAlignment="1" applyProtection="1">
      <alignment horizontal="center" vertical="center"/>
      <protection locked="0"/>
    </xf>
    <xf numFmtId="0" fontId="7" fillId="13" borderId="1" xfId="0" applyFont="1" applyFill="1" applyBorder="1" applyAlignment="1" applyProtection="1">
      <alignment horizontal="center"/>
      <protection locked="0"/>
    </xf>
    <xf numFmtId="165" fontId="7" fillId="13" borderId="2" xfId="0" applyNumberFormat="1" applyFont="1" applyFill="1" applyBorder="1"/>
    <xf numFmtId="165" fontId="7" fillId="13" borderId="55" xfId="0" applyNumberFormat="1" applyFont="1" applyFill="1" applyBorder="1"/>
    <xf numFmtId="165" fontId="20" fillId="13" borderId="14" xfId="0" applyNumberFormat="1" applyFont="1" applyFill="1" applyBorder="1"/>
    <xf numFmtId="165" fontId="20" fillId="13" borderId="1" xfId="0" applyNumberFormat="1" applyFont="1" applyFill="1" applyBorder="1"/>
    <xf numFmtId="0" fontId="7" fillId="13" borderId="0" xfId="0" applyFont="1" applyFill="1"/>
    <xf numFmtId="168" fontId="52" fillId="3" borderId="1" xfId="0" applyNumberFormat="1" applyFont="1" applyFill="1" applyBorder="1"/>
    <xf numFmtId="0" fontId="21" fillId="3" borderId="1" xfId="0" applyFont="1" applyFill="1" applyBorder="1" applyAlignment="1">
      <alignment horizontal="left" vertical="center"/>
    </xf>
    <xf numFmtId="0" fontId="21" fillId="3" borderId="1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 applyProtection="1">
      <alignment horizontal="center" vertical="center" wrapText="1"/>
      <protection locked="0"/>
    </xf>
    <xf numFmtId="0" fontId="21" fillId="3" borderId="1" xfId="0" applyFont="1" applyFill="1" applyBorder="1" applyAlignment="1" applyProtection="1">
      <alignment horizontal="center"/>
      <protection locked="0"/>
    </xf>
    <xf numFmtId="165" fontId="21" fillId="3" borderId="1" xfId="0" applyNumberFormat="1" applyFont="1" applyFill="1" applyBorder="1"/>
    <xf numFmtId="0" fontId="21" fillId="3" borderId="1" xfId="0" applyFont="1" applyFill="1" applyBorder="1" applyAlignment="1" applyProtection="1">
      <alignment horizontal="center" vertical="center"/>
      <protection locked="0"/>
    </xf>
    <xf numFmtId="165" fontId="29" fillId="13" borderId="14" xfId="0" applyNumberFormat="1" applyFont="1" applyFill="1" applyBorder="1"/>
    <xf numFmtId="165" fontId="29" fillId="13" borderId="1" xfId="0" applyNumberFormat="1" applyFont="1" applyFill="1" applyBorder="1"/>
    <xf numFmtId="0" fontId="7" fillId="13" borderId="1" xfId="0" applyFont="1" applyFill="1" applyBorder="1"/>
    <xf numFmtId="0" fontId="7" fillId="13" borderId="3" xfId="0" applyFont="1" applyFill="1" applyBorder="1" applyAlignment="1" applyProtection="1">
      <alignment horizontal="center"/>
      <protection locked="0"/>
    </xf>
    <xf numFmtId="165" fontId="7" fillId="13" borderId="3" xfId="0" applyNumberFormat="1" applyFont="1" applyFill="1" applyBorder="1"/>
    <xf numFmtId="0" fontId="21" fillId="13" borderId="14" xfId="0" applyFont="1" applyFill="1" applyBorder="1"/>
    <xf numFmtId="0" fontId="21" fillId="13" borderId="1" xfId="0" applyFont="1" applyFill="1" applyBorder="1" applyAlignment="1">
      <alignment horizontal="center" vertical="center"/>
    </xf>
    <xf numFmtId="0" fontId="7" fillId="13" borderId="0" xfId="0" applyFont="1" applyFill="1" applyProtection="1">
      <protection locked="0"/>
    </xf>
    <xf numFmtId="0" fontId="21" fillId="14" borderId="1" xfId="0" applyFont="1" applyFill="1" applyBorder="1" applyAlignment="1" applyProtection="1">
      <alignment horizontal="center"/>
      <protection locked="0"/>
    </xf>
    <xf numFmtId="0" fontId="52" fillId="0" borderId="1" xfId="0" applyFont="1" applyBorder="1"/>
    <xf numFmtId="0" fontId="7" fillId="3" borderId="5" xfId="0" applyFont="1" applyFill="1" applyBorder="1"/>
    <xf numFmtId="0" fontId="7" fillId="3" borderId="8" xfId="0" applyFont="1" applyFill="1" applyBorder="1" applyAlignment="1" applyProtection="1">
      <alignment horizontal="center" vertical="center"/>
      <protection locked="0"/>
    </xf>
    <xf numFmtId="165" fontId="7" fillId="3" borderId="5" xfId="0" applyNumberFormat="1" applyFont="1" applyFill="1" applyBorder="1"/>
    <xf numFmtId="0" fontId="17" fillId="17" borderId="18" xfId="0" applyFont="1" applyFill="1" applyBorder="1" applyAlignment="1">
      <alignment horizontal="left" vertical="center"/>
    </xf>
    <xf numFmtId="0" fontId="17" fillId="17" borderId="13" xfId="0" applyFont="1" applyFill="1" applyBorder="1" applyAlignment="1">
      <alignment horizontal="center" vertical="center"/>
    </xf>
    <xf numFmtId="0" fontId="16" fillId="18" borderId="13" xfId="0" applyFont="1" applyFill="1" applyBorder="1" applyAlignment="1">
      <alignment horizontal="center" vertical="center"/>
    </xf>
    <xf numFmtId="0" fontId="17" fillId="17" borderId="13" xfId="0" applyFont="1" applyFill="1" applyBorder="1" applyAlignment="1">
      <alignment horizontal="center" vertical="center" wrapText="1"/>
    </xf>
    <xf numFmtId="0" fontId="17" fillId="17" borderId="58" xfId="0" applyFont="1" applyFill="1" applyBorder="1" applyAlignment="1">
      <alignment horizontal="center" vertical="center" wrapText="1"/>
    </xf>
    <xf numFmtId="0" fontId="17" fillId="17" borderId="45" xfId="0" applyFont="1" applyFill="1" applyBorder="1" applyAlignment="1">
      <alignment horizontal="center" vertical="center" wrapText="1"/>
    </xf>
    <xf numFmtId="0" fontId="17" fillId="17" borderId="1" xfId="0" applyFont="1" applyFill="1" applyBorder="1" applyAlignment="1">
      <alignment horizontal="left" vertical="center"/>
    </xf>
    <xf numFmtId="0" fontId="17" fillId="17" borderId="1" xfId="0" applyFont="1" applyFill="1" applyBorder="1" applyAlignment="1">
      <alignment horizontal="center" vertical="center"/>
    </xf>
    <xf numFmtId="0" fontId="16" fillId="18" borderId="1" xfId="0" applyFont="1" applyFill="1" applyBorder="1" applyAlignment="1">
      <alignment horizontal="center" vertical="center"/>
    </xf>
    <xf numFmtId="0" fontId="17" fillId="17" borderId="1" xfId="0" applyFont="1" applyFill="1" applyBorder="1" applyAlignment="1">
      <alignment horizontal="center" vertical="center" wrapText="1"/>
    </xf>
    <xf numFmtId="165" fontId="17" fillId="10" borderId="2" xfId="0" applyNumberFormat="1" applyFont="1" applyFill="1" applyBorder="1"/>
    <xf numFmtId="165" fontId="17" fillId="19" borderId="55" xfId="0" applyNumberFormat="1" applyFont="1" applyFill="1" applyBorder="1"/>
    <xf numFmtId="0" fontId="7" fillId="14" borderId="1" xfId="0" applyFont="1" applyFill="1" applyBorder="1" applyAlignment="1" applyProtection="1">
      <alignment horizontal="center" vertical="center" wrapText="1"/>
      <protection locked="0"/>
    </xf>
    <xf numFmtId="0" fontId="15" fillId="10" borderId="43" xfId="0" applyFont="1" applyFill="1" applyBorder="1" applyAlignment="1">
      <alignment horizontal="center" vertical="center"/>
    </xf>
    <xf numFmtId="0" fontId="15" fillId="10" borderId="43" xfId="0" applyFont="1" applyFill="1" applyBorder="1" applyAlignment="1">
      <alignment horizontal="center" vertical="center" wrapText="1"/>
    </xf>
    <xf numFmtId="165" fontId="8" fillId="3" borderId="4" xfId="0" applyNumberFormat="1" applyFont="1" applyFill="1" applyBorder="1" applyAlignment="1">
      <alignment horizontal="center" vertical="center"/>
    </xf>
    <xf numFmtId="165" fontId="8" fillId="3" borderId="1" xfId="0" applyNumberFormat="1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4" borderId="0" xfId="0" applyFont="1" applyFill="1"/>
    <xf numFmtId="0" fontId="7" fillId="3" borderId="3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 vertical="center"/>
      <protection locked="0"/>
    </xf>
    <xf numFmtId="0" fontId="7" fillId="14" borderId="3" xfId="0" applyFont="1" applyFill="1" applyBorder="1" applyAlignment="1" applyProtection="1">
      <alignment horizontal="center"/>
      <protection locked="0"/>
    </xf>
    <xf numFmtId="0" fontId="51" fillId="3" borderId="1" xfId="0" applyFont="1" applyFill="1" applyBorder="1" applyAlignment="1">
      <alignment horizontal="center"/>
    </xf>
    <xf numFmtId="0" fontId="7" fillId="10" borderId="3" xfId="0" applyFont="1" applyFill="1" applyBorder="1" applyAlignment="1">
      <alignment horizontal="center"/>
    </xf>
    <xf numFmtId="0" fontId="52" fillId="0" borderId="3" xfId="0" applyFont="1" applyBorder="1" applyAlignment="1">
      <alignment horizontal="center"/>
    </xf>
    <xf numFmtId="167" fontId="7" fillId="3" borderId="1" xfId="0" applyNumberFormat="1" applyFont="1" applyFill="1" applyBorder="1"/>
    <xf numFmtId="0" fontId="15" fillId="11" borderId="4" xfId="0" applyFont="1" applyFill="1" applyBorder="1" applyAlignment="1">
      <alignment horizontal="center"/>
    </xf>
    <xf numFmtId="0" fontId="15" fillId="11" borderId="54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 vertical="center" wrapText="1"/>
      <protection locked="0"/>
    </xf>
    <xf numFmtId="0" fontId="15" fillId="10" borderId="26" xfId="0" applyFont="1" applyFill="1" applyBorder="1" applyAlignment="1">
      <alignment horizontal="left" vertical="center"/>
    </xf>
    <xf numFmtId="0" fontId="15" fillId="10" borderId="11" xfId="0" applyFont="1" applyFill="1" applyBorder="1" applyAlignment="1">
      <alignment horizontal="center" vertical="center"/>
    </xf>
    <xf numFmtId="0" fontId="7" fillId="10" borderId="11" xfId="0" applyFont="1" applyFill="1" applyBorder="1" applyAlignment="1">
      <alignment horizontal="center" vertical="center" wrapText="1"/>
    </xf>
    <xf numFmtId="0" fontId="7" fillId="10" borderId="11" xfId="0" applyFont="1" applyFill="1" applyBorder="1" applyAlignment="1" applyProtection="1">
      <alignment horizontal="center" vertical="center" wrapText="1"/>
      <protection locked="0"/>
    </xf>
    <xf numFmtId="165" fontId="7" fillId="10" borderId="11" xfId="0" applyNumberFormat="1" applyFont="1" applyFill="1" applyBorder="1" applyAlignment="1">
      <alignment horizontal="center" vertical="center" wrapText="1"/>
    </xf>
    <xf numFmtId="0" fontId="17" fillId="10" borderId="53" xfId="0" applyFont="1" applyFill="1" applyBorder="1" applyAlignment="1">
      <alignment horizontal="center" vertical="center" wrapText="1"/>
    </xf>
    <xf numFmtId="0" fontId="15" fillId="11" borderId="14" xfId="0" applyFont="1" applyFill="1" applyBorder="1" applyAlignment="1">
      <alignment wrapText="1"/>
    </xf>
    <xf numFmtId="0" fontId="7" fillId="0" borderId="14" xfId="0" applyFont="1" applyBorder="1" applyAlignment="1">
      <alignment wrapText="1"/>
    </xf>
    <xf numFmtId="0" fontId="21" fillId="0" borderId="1" xfId="0" applyFont="1" applyBorder="1" applyAlignment="1" applyProtection="1">
      <alignment horizontal="center"/>
      <protection locked="0"/>
    </xf>
    <xf numFmtId="167" fontId="21" fillId="3" borderId="1" xfId="0" applyNumberFormat="1" applyFont="1" applyFill="1" applyBorder="1" applyAlignment="1">
      <alignment horizontal="center"/>
    </xf>
    <xf numFmtId="0" fontId="53" fillId="0" borderId="1" xfId="0" applyFont="1" applyBorder="1" applyAlignment="1">
      <alignment horizontal="center"/>
    </xf>
    <xf numFmtId="0" fontId="51" fillId="0" borderId="1" xfId="0" applyFont="1" applyBorder="1"/>
    <xf numFmtId="0" fontId="51" fillId="0" borderId="1" xfId="0" applyFont="1" applyBorder="1" applyAlignment="1">
      <alignment horizontal="center"/>
    </xf>
    <xf numFmtId="0" fontId="53" fillId="3" borderId="14" xfId="0" applyFont="1" applyFill="1" applyBorder="1"/>
    <xf numFmtId="0" fontId="53" fillId="3" borderId="1" xfId="0" applyFont="1" applyFill="1" applyBorder="1"/>
    <xf numFmtId="0" fontId="0" fillId="3" borderId="14" xfId="0" applyFill="1" applyBorder="1"/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6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14" borderId="1" xfId="0" applyFill="1" applyBorder="1" applyAlignment="1" applyProtection="1">
      <alignment horizontal="center"/>
      <protection locked="0"/>
    </xf>
    <xf numFmtId="165" fontId="0" fillId="3" borderId="2" xfId="0" applyNumberFormat="1" applyFill="1" applyBorder="1" applyAlignment="1">
      <alignment horizontal="center"/>
    </xf>
    <xf numFmtId="165" fontId="0" fillId="3" borderId="59" xfId="0" applyNumberFormat="1" applyFill="1" applyBorder="1"/>
    <xf numFmtId="165" fontId="0" fillId="3" borderId="2" xfId="0" applyNumberFormat="1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4" xfId="0" applyFill="1" applyBorder="1" applyAlignment="1">
      <alignment horizontal="left" vertical="center"/>
    </xf>
    <xf numFmtId="0" fontId="56" fillId="0" borderId="1" xfId="0" applyFont="1" applyBorder="1" applyAlignment="1">
      <alignment horizontal="center" vertical="center"/>
    </xf>
    <xf numFmtId="0" fontId="7" fillId="20" borderId="0" xfId="0" applyFont="1" applyFill="1"/>
    <xf numFmtId="0" fontId="0" fillId="3" borderId="1" xfId="0" applyFill="1" applyBorder="1" applyAlignment="1">
      <alignment horizontal="center"/>
    </xf>
    <xf numFmtId="1" fontId="14" fillId="2" borderId="5" xfId="0" applyNumberFormat="1" applyFont="1" applyFill="1" applyBorder="1"/>
    <xf numFmtId="165" fontId="14" fillId="15" borderId="6" xfId="0" applyNumberFormat="1" applyFont="1" applyFill="1" applyBorder="1" applyAlignment="1">
      <alignment horizontal="center" vertical="center" wrapText="1"/>
    </xf>
    <xf numFmtId="0" fontId="7" fillId="11" borderId="1" xfId="0" applyFont="1" applyFill="1" applyBorder="1"/>
    <xf numFmtId="167" fontId="14" fillId="3" borderId="1" xfId="0" applyNumberFormat="1" applyFont="1" applyFill="1" applyBorder="1" applyAlignment="1">
      <alignment horizontal="center"/>
    </xf>
    <xf numFmtId="167" fontId="22" fillId="11" borderId="1" xfId="0" applyNumberFormat="1" applyFont="1" applyFill="1" applyBorder="1"/>
    <xf numFmtId="0" fontId="7" fillId="0" borderId="11" xfId="0" applyFont="1" applyBorder="1"/>
    <xf numFmtId="0" fontId="7" fillId="0" borderId="9" xfId="0" applyFont="1" applyBorder="1" applyAlignment="1">
      <alignment horizontal="center"/>
    </xf>
    <xf numFmtId="167" fontId="22" fillId="11" borderId="11" xfId="0" applyNumberFormat="1" applyFont="1" applyFill="1" applyBorder="1"/>
    <xf numFmtId="165" fontId="7" fillId="11" borderId="9" xfId="0" applyNumberFormat="1" applyFont="1" applyFill="1" applyBorder="1"/>
    <xf numFmtId="0" fontId="19" fillId="3" borderId="27" xfId="0" applyFont="1" applyFill="1" applyBorder="1"/>
    <xf numFmtId="0" fontId="19" fillId="0" borderId="27" xfId="0" applyFont="1" applyBorder="1"/>
    <xf numFmtId="0" fontId="58" fillId="0" borderId="1" xfId="0" applyFont="1" applyBorder="1" applyAlignment="1">
      <alignment horizontal="left"/>
    </xf>
    <xf numFmtId="0" fontId="0" fillId="3" borderId="1" xfId="19" applyFont="1" applyFill="1" applyBorder="1" applyAlignment="1">
      <alignment horizontal="left"/>
    </xf>
    <xf numFmtId="0" fontId="0" fillId="3" borderId="7" xfId="19" applyFont="1" applyFill="1" applyBorder="1" applyAlignment="1">
      <alignment horizontal="left"/>
    </xf>
    <xf numFmtId="1" fontId="14" fillId="4" borderId="1" xfId="0" applyNumberFormat="1" applyFont="1" applyFill="1" applyBorder="1"/>
    <xf numFmtId="0" fontId="7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165" fontId="7" fillId="5" borderId="53" xfId="0" applyNumberFormat="1" applyFont="1" applyFill="1" applyBorder="1"/>
    <xf numFmtId="0" fontId="54" fillId="0" borderId="1" xfId="0" applyFont="1" applyBorder="1" applyAlignment="1">
      <alignment horizontal="center"/>
    </xf>
    <xf numFmtId="0" fontId="55" fillId="0" borderId="1" xfId="0" applyFont="1" applyBorder="1" applyAlignment="1">
      <alignment horizontal="center" vertical="center"/>
    </xf>
    <xf numFmtId="0" fontId="54" fillId="13" borderId="1" xfId="0" applyFont="1" applyFill="1" applyBorder="1" applyAlignment="1">
      <alignment horizontal="center" vertical="center"/>
    </xf>
    <xf numFmtId="165" fontId="59" fillId="3" borderId="4" xfId="0" applyNumberFormat="1" applyFont="1" applyFill="1" applyBorder="1" applyAlignment="1">
      <alignment horizontal="center" vertical="center"/>
    </xf>
    <xf numFmtId="0" fontId="15" fillId="10" borderId="3" xfId="0" applyFont="1" applyFill="1" applyBorder="1" applyAlignment="1" applyProtection="1">
      <alignment horizontal="center" vertical="center" wrapText="1"/>
      <protection locked="0"/>
    </xf>
    <xf numFmtId="0" fontId="15" fillId="10" borderId="3" xfId="0" applyFont="1" applyFill="1" applyBorder="1" applyAlignment="1">
      <alignment horizontal="center" vertical="center" wrapText="1"/>
    </xf>
    <xf numFmtId="165" fontId="59" fillId="3" borderId="1" xfId="0" applyNumberFormat="1" applyFont="1" applyFill="1" applyBorder="1" applyAlignment="1">
      <alignment horizontal="center" vertical="center"/>
    </xf>
    <xf numFmtId="0" fontId="60" fillId="0" borderId="0" xfId="0" applyFont="1" applyAlignment="1">
      <alignment horizontal="center"/>
    </xf>
    <xf numFmtId="0" fontId="17" fillId="10" borderId="78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/>
    </xf>
    <xf numFmtId="165" fontId="15" fillId="10" borderId="3" xfId="0" applyNumberFormat="1" applyFont="1" applyFill="1" applyBorder="1" applyAlignment="1">
      <alignment horizontal="center" vertical="center" wrapText="1"/>
    </xf>
    <xf numFmtId="0" fontId="7" fillId="13" borderId="1" xfId="0" quotePrefix="1" applyFont="1" applyFill="1" applyBorder="1" applyAlignment="1">
      <alignment horizontal="center"/>
    </xf>
    <xf numFmtId="0" fontId="15" fillId="3" borderId="0" xfId="0" applyFont="1" applyFill="1" applyAlignment="1">
      <alignment horizontal="center" vertical="center"/>
    </xf>
    <xf numFmtId="0" fontId="15" fillId="10" borderId="27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15" fillId="10" borderId="3" xfId="0" applyFont="1" applyFill="1" applyBorder="1" applyAlignment="1">
      <alignment horizontal="center" vertical="center"/>
    </xf>
    <xf numFmtId="0" fontId="15" fillId="0" borderId="26" xfId="0" applyFont="1" applyBorder="1"/>
    <xf numFmtId="0" fontId="61" fillId="2" borderId="1" xfId="0" applyFont="1" applyFill="1" applyBorder="1"/>
    <xf numFmtId="0" fontId="0" fillId="2" borderId="1" xfId="0" applyFill="1" applyBorder="1"/>
    <xf numFmtId="0" fontId="7" fillId="3" borderId="10" xfId="0" applyFont="1" applyFill="1" applyBorder="1" applyAlignment="1">
      <alignment horizontal="center" vertical="center"/>
    </xf>
    <xf numFmtId="0" fontId="7" fillId="11" borderId="10" xfId="0" applyFont="1" applyFill="1" applyBorder="1" applyAlignment="1">
      <alignment horizontal="center"/>
    </xf>
    <xf numFmtId="0" fontId="62" fillId="2" borderId="49" xfId="0" applyFont="1" applyFill="1" applyBorder="1"/>
    <xf numFmtId="0" fontId="7" fillId="21" borderId="14" xfId="0" applyFont="1" applyFill="1" applyBorder="1"/>
    <xf numFmtId="0" fontId="7" fillId="21" borderId="4" xfId="0" applyFont="1" applyFill="1" applyBorder="1" applyAlignment="1">
      <alignment horizontal="center"/>
    </xf>
    <xf numFmtId="0" fontId="7" fillId="21" borderId="1" xfId="0" applyFont="1" applyFill="1" applyBorder="1" applyAlignment="1">
      <alignment horizontal="center" vertical="center"/>
    </xf>
    <xf numFmtId="0" fontId="7" fillId="21" borderId="1" xfId="0" applyFont="1" applyFill="1" applyBorder="1" applyAlignment="1">
      <alignment horizontal="center"/>
    </xf>
    <xf numFmtId="0" fontId="7" fillId="21" borderId="1" xfId="0" applyFont="1" applyFill="1" applyBorder="1" applyAlignment="1" applyProtection="1">
      <alignment horizontal="center" vertical="center"/>
      <protection locked="0"/>
    </xf>
    <xf numFmtId="0" fontId="7" fillId="21" borderId="1" xfId="0" applyFont="1" applyFill="1" applyBorder="1" applyAlignment="1" applyProtection="1">
      <alignment horizontal="center"/>
      <protection locked="0"/>
    </xf>
    <xf numFmtId="165" fontId="7" fillId="21" borderId="2" xfId="0" applyNumberFormat="1" applyFont="1" applyFill="1" applyBorder="1" applyAlignment="1">
      <alignment horizontal="center"/>
    </xf>
    <xf numFmtId="165" fontId="7" fillId="21" borderId="55" xfId="0" applyNumberFormat="1" applyFont="1" applyFill="1" applyBorder="1"/>
    <xf numFmtId="0" fontId="54" fillId="0" borderId="1" xfId="0" applyFont="1" applyBorder="1"/>
    <xf numFmtId="0" fontId="54" fillId="0" borderId="0" xfId="0" applyFont="1"/>
    <xf numFmtId="0" fontId="57" fillId="0" borderId="0" xfId="0" applyFont="1" applyAlignment="1">
      <alignment horizontal="center"/>
    </xf>
    <xf numFmtId="0" fontId="61" fillId="10" borderId="1" xfId="0" applyFont="1" applyFill="1" applyBorder="1" applyAlignment="1">
      <alignment horizontal="left" vertical="center"/>
    </xf>
    <xf numFmtId="0" fontId="15" fillId="0" borderId="27" xfId="0" applyFont="1" applyBorder="1"/>
    <xf numFmtId="0" fontId="57" fillId="0" borderId="1" xfId="0" applyFont="1" applyBorder="1" applyAlignment="1">
      <alignment horizontal="center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5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15" fillId="10" borderId="12" xfId="0" applyFont="1" applyFill="1" applyBorder="1" applyAlignment="1">
      <alignment horizontal="left" wrapText="1"/>
    </xf>
    <xf numFmtId="0" fontId="7" fillId="10" borderId="33" xfId="0" applyFont="1" applyFill="1" applyBorder="1" applyAlignment="1">
      <alignment wrapText="1"/>
    </xf>
    <xf numFmtId="0" fontId="10" fillId="3" borderId="12" xfId="3" applyFill="1" applyBorder="1" applyAlignment="1" applyProtection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19" fillId="10" borderId="28" xfId="0" applyFont="1" applyFill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0" fontId="15" fillId="3" borderId="20" xfId="0" applyFont="1" applyFill="1" applyBorder="1" applyAlignment="1">
      <alignment horizontal="left" vertical="center" wrapText="1"/>
    </xf>
    <xf numFmtId="0" fontId="15" fillId="3" borderId="41" xfId="0" applyFont="1" applyFill="1" applyBorder="1" applyAlignment="1">
      <alignment horizontal="left" vertical="center" wrapText="1"/>
    </xf>
    <xf numFmtId="0" fontId="7" fillId="3" borderId="41" xfId="0" applyFont="1" applyFill="1" applyBorder="1" applyAlignment="1">
      <alignment horizontal="left" vertical="center" wrapText="1"/>
    </xf>
    <xf numFmtId="0" fontId="7" fillId="3" borderId="42" xfId="0" applyFont="1" applyFill="1" applyBorder="1" applyAlignment="1">
      <alignment horizontal="left" vertical="center" wrapText="1"/>
    </xf>
    <xf numFmtId="169" fontId="7" fillId="10" borderId="31" xfId="0" applyNumberFormat="1" applyFont="1" applyFill="1" applyBorder="1" applyAlignment="1">
      <alignment horizontal="center" wrapText="1"/>
    </xf>
    <xf numFmtId="169" fontId="7" fillId="10" borderId="40" xfId="0" applyNumberFormat="1" applyFont="1" applyFill="1" applyBorder="1" applyAlignment="1">
      <alignment horizontal="center" wrapText="1"/>
    </xf>
    <xf numFmtId="0" fontId="14" fillId="14" borderId="1" xfId="0" applyFont="1" applyFill="1" applyBorder="1" applyAlignment="1" applyProtection="1">
      <alignment horizontal="center" wrapText="1"/>
      <protection locked="0"/>
    </xf>
    <xf numFmtId="0" fontId="14" fillId="14" borderId="15" xfId="0" applyFont="1" applyFill="1" applyBorder="1" applyAlignment="1" applyProtection="1">
      <alignment horizontal="center" wrapText="1"/>
      <protection locked="0"/>
    </xf>
    <xf numFmtId="0" fontId="7" fillId="10" borderId="1" xfId="0" applyFont="1" applyFill="1" applyBorder="1" applyAlignment="1">
      <alignment horizontal="center" wrapText="1"/>
    </xf>
    <xf numFmtId="0" fontId="7" fillId="10" borderId="15" xfId="0" applyFont="1" applyFill="1" applyBorder="1" applyAlignment="1">
      <alignment horizontal="center" wrapText="1"/>
    </xf>
    <xf numFmtId="169" fontId="7" fillId="10" borderId="1" xfId="0" applyNumberFormat="1" applyFont="1" applyFill="1" applyBorder="1" applyAlignment="1">
      <alignment horizontal="center" wrapText="1"/>
    </xf>
    <xf numFmtId="169" fontId="7" fillId="10" borderId="15" xfId="0" applyNumberFormat="1" applyFont="1" applyFill="1" applyBorder="1" applyAlignment="1">
      <alignment horizontal="center" wrapText="1"/>
    </xf>
    <xf numFmtId="165" fontId="27" fillId="0" borderId="12" xfId="3" applyNumberFormat="1" applyFont="1" applyFill="1" applyBorder="1" applyAlignment="1" applyProtection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15" fillId="10" borderId="3" xfId="0" applyFont="1" applyFill="1" applyBorder="1" applyAlignment="1">
      <alignment vertical="center" wrapText="1"/>
    </xf>
    <xf numFmtId="0" fontId="15" fillId="10" borderId="4" xfId="0" applyFont="1" applyFill="1" applyBorder="1" applyAlignment="1">
      <alignment vertical="center" wrapText="1"/>
    </xf>
    <xf numFmtId="0" fontId="7" fillId="10" borderId="1" xfId="0" applyFont="1" applyFill="1" applyBorder="1" applyAlignment="1">
      <alignment horizontal="right" wrapText="1"/>
    </xf>
    <xf numFmtId="0" fontId="7" fillId="10" borderId="15" xfId="0" applyFont="1" applyFill="1" applyBorder="1" applyAlignment="1">
      <alignment horizontal="right" wrapText="1"/>
    </xf>
    <xf numFmtId="169" fontId="7" fillId="10" borderId="1" xfId="0" applyNumberFormat="1" applyFont="1" applyFill="1" applyBorder="1" applyAlignment="1">
      <alignment horizontal="right" wrapText="1"/>
    </xf>
    <xf numFmtId="169" fontId="7" fillId="10" borderId="15" xfId="0" applyNumberFormat="1" applyFont="1" applyFill="1" applyBorder="1" applyAlignment="1">
      <alignment horizontal="right" wrapText="1"/>
    </xf>
    <xf numFmtId="169" fontId="7" fillId="10" borderId="31" xfId="0" applyNumberFormat="1" applyFont="1" applyFill="1" applyBorder="1" applyAlignment="1">
      <alignment horizontal="right" wrapText="1"/>
    </xf>
    <xf numFmtId="169" fontId="7" fillId="10" borderId="40" xfId="0" applyNumberFormat="1" applyFont="1" applyFill="1" applyBorder="1" applyAlignment="1">
      <alignment horizontal="right" wrapText="1"/>
    </xf>
    <xf numFmtId="0" fontId="15" fillId="3" borderId="12" xfId="0" applyFont="1" applyFill="1" applyBorder="1" applyAlignment="1">
      <alignment horizontal="left" vertical="center" wrapText="1"/>
    </xf>
    <xf numFmtId="0" fontId="7" fillId="3" borderId="29" xfId="0" applyFont="1" applyFill="1" applyBorder="1" applyAlignment="1">
      <alignment horizontal="left" vertical="center" wrapText="1"/>
    </xf>
    <xf numFmtId="0" fontId="7" fillId="3" borderId="33" xfId="0" applyFont="1" applyFill="1" applyBorder="1" applyAlignment="1">
      <alignment horizontal="left" vertical="center" wrapText="1"/>
    </xf>
    <xf numFmtId="0" fontId="14" fillId="10" borderId="34" xfId="0" applyFont="1" applyFill="1" applyBorder="1" applyAlignment="1">
      <alignment horizontal="center" vertical="center" wrapText="1"/>
    </xf>
    <xf numFmtId="0" fontId="14" fillId="10" borderId="35" xfId="0" applyFont="1" applyFill="1" applyBorder="1" applyAlignment="1">
      <alignment horizontal="center" vertical="center" wrapText="1"/>
    </xf>
    <xf numFmtId="0" fontId="14" fillId="14" borderId="1" xfId="0" applyFont="1" applyFill="1" applyBorder="1" applyAlignment="1" applyProtection="1">
      <alignment horizontal="right" wrapText="1"/>
      <protection locked="0"/>
    </xf>
    <xf numFmtId="0" fontId="14" fillId="14" borderId="15" xfId="0" applyFont="1" applyFill="1" applyBorder="1" applyAlignment="1" applyProtection="1">
      <alignment horizontal="right" wrapText="1"/>
      <protection locked="0"/>
    </xf>
    <xf numFmtId="165" fontId="37" fillId="3" borderId="12" xfId="3" applyNumberFormat="1" applyFont="1" applyFill="1" applyBorder="1" applyAlignment="1" applyProtection="1">
      <alignment horizontal="center" vertical="center"/>
    </xf>
    <xf numFmtId="0" fontId="7" fillId="3" borderId="33" xfId="0" applyFont="1" applyFill="1" applyBorder="1" applyAlignment="1">
      <alignment horizontal="center" vertical="center"/>
    </xf>
    <xf numFmtId="0" fontId="27" fillId="3" borderId="12" xfId="3" applyFont="1" applyFill="1" applyBorder="1" applyAlignment="1" applyProtection="1">
      <alignment horizontal="center" vertical="center" wrapText="1"/>
    </xf>
    <xf numFmtId="169" fontId="7" fillId="10" borderId="2" xfId="0" applyNumberFormat="1" applyFont="1" applyFill="1" applyBorder="1" applyAlignment="1">
      <alignment horizontal="right" wrapText="1"/>
    </xf>
    <xf numFmtId="169" fontId="7" fillId="10" borderId="48" xfId="0" applyNumberFormat="1" applyFont="1" applyFill="1" applyBorder="1" applyAlignment="1">
      <alignment horizontal="right" wrapText="1"/>
    </xf>
    <xf numFmtId="0" fontId="14" fillId="14" borderId="2" xfId="0" applyFont="1" applyFill="1" applyBorder="1" applyAlignment="1" applyProtection="1">
      <alignment horizontal="right" wrapText="1"/>
      <protection locked="0"/>
    </xf>
    <xf numFmtId="0" fontId="7" fillId="10" borderId="2" xfId="0" applyFont="1" applyFill="1" applyBorder="1" applyAlignment="1">
      <alignment horizontal="right" wrapText="1"/>
    </xf>
    <xf numFmtId="0" fontId="19" fillId="10" borderId="34" xfId="0" applyFont="1" applyFill="1" applyBorder="1" applyAlignment="1">
      <alignment horizontal="center" vertical="center" wrapText="1"/>
    </xf>
    <xf numFmtId="0" fontId="19" fillId="0" borderId="35" xfId="0" applyFont="1" applyBorder="1" applyAlignment="1">
      <alignment horizontal="center" vertical="center" wrapText="1"/>
    </xf>
    <xf numFmtId="0" fontId="7" fillId="10" borderId="12" xfId="0" applyFont="1" applyFill="1" applyBorder="1" applyAlignment="1">
      <alignment horizontal="left" vertical="center" wrapText="1"/>
    </xf>
    <xf numFmtId="0" fontId="7" fillId="10" borderId="33" xfId="0" applyFont="1" applyFill="1" applyBorder="1" applyAlignment="1">
      <alignment horizontal="left" wrapText="1"/>
    </xf>
    <xf numFmtId="0" fontId="7" fillId="10" borderId="12" xfId="0" applyFont="1" applyFill="1" applyBorder="1" applyAlignment="1">
      <alignment horizontal="left" wrapText="1"/>
    </xf>
    <xf numFmtId="165" fontId="27" fillId="0" borderId="12" xfId="3" applyNumberFormat="1" applyFont="1" applyFill="1" applyBorder="1" applyAlignment="1" applyProtection="1">
      <alignment horizontal="center"/>
    </xf>
    <xf numFmtId="0" fontId="7" fillId="0" borderId="33" xfId="0" applyFont="1" applyBorder="1" applyAlignment="1">
      <alignment horizontal="center"/>
    </xf>
    <xf numFmtId="0" fontId="15" fillId="3" borderId="29" xfId="0" applyFont="1" applyFill="1" applyBorder="1" applyAlignment="1">
      <alignment horizontal="left" vertical="center" wrapText="1"/>
    </xf>
    <xf numFmtId="0" fontId="15" fillId="3" borderId="12" xfId="0" applyFont="1" applyFill="1" applyBorder="1" applyAlignment="1">
      <alignment vertical="center" wrapText="1"/>
    </xf>
    <xf numFmtId="0" fontId="15" fillId="3" borderId="29" xfId="0" applyFont="1" applyFill="1" applyBorder="1" applyAlignment="1">
      <alignment vertical="center" wrapText="1"/>
    </xf>
    <xf numFmtId="0" fontId="15" fillId="3" borderId="33" xfId="0" applyFont="1" applyFill="1" applyBorder="1" applyAlignment="1">
      <alignment vertical="center" wrapText="1"/>
    </xf>
    <xf numFmtId="165" fontId="27" fillId="3" borderId="12" xfId="3" applyNumberFormat="1" applyFont="1" applyFill="1" applyBorder="1" applyAlignment="1" applyProtection="1">
      <alignment horizontal="center"/>
    </xf>
    <xf numFmtId="0" fontId="7" fillId="3" borderId="33" xfId="0" applyFont="1" applyFill="1" applyBorder="1" applyAlignment="1">
      <alignment horizontal="center"/>
    </xf>
    <xf numFmtId="0" fontId="14" fillId="14" borderId="47" xfId="0" applyFont="1" applyFill="1" applyBorder="1" applyAlignment="1" applyProtection="1">
      <alignment horizontal="center" wrapText="1"/>
      <protection locked="0"/>
    </xf>
    <xf numFmtId="0" fontId="7" fillId="14" borderId="35" xfId="0" applyFont="1" applyFill="1" applyBorder="1" applyAlignment="1" applyProtection="1">
      <alignment horizontal="center" wrapText="1"/>
      <protection locked="0"/>
    </xf>
    <xf numFmtId="0" fontId="19" fillId="10" borderId="12" xfId="0" applyFont="1" applyFill="1" applyBorder="1" applyAlignment="1">
      <alignment horizontal="center" vertical="center" wrapText="1"/>
    </xf>
    <xf numFmtId="0" fontId="14" fillId="10" borderId="29" xfId="0" applyFont="1" applyFill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7" fillId="10" borderId="2" xfId="0" applyFont="1" applyFill="1" applyBorder="1" applyAlignment="1">
      <alignment horizontal="center" wrapText="1"/>
    </xf>
    <xf numFmtId="0" fontId="7" fillId="0" borderId="32" xfId="0" applyFont="1" applyBorder="1" applyAlignment="1">
      <alignment horizontal="center" wrapText="1"/>
    </xf>
    <xf numFmtId="169" fontId="7" fillId="10" borderId="2" xfId="0" applyNumberFormat="1" applyFont="1" applyFill="1" applyBorder="1" applyAlignment="1">
      <alignment horizontal="center" wrapText="1"/>
    </xf>
    <xf numFmtId="169" fontId="7" fillId="0" borderId="32" xfId="0" applyNumberFormat="1" applyFont="1" applyBorder="1" applyAlignment="1">
      <alignment horizontal="center" wrapText="1"/>
    </xf>
    <xf numFmtId="169" fontId="7" fillId="10" borderId="48" xfId="0" applyNumberFormat="1" applyFont="1" applyFill="1" applyBorder="1" applyAlignment="1">
      <alignment horizontal="center" wrapText="1"/>
    </xf>
    <xf numFmtId="169" fontId="7" fillId="0" borderId="38" xfId="0" applyNumberFormat="1" applyFont="1" applyBorder="1" applyAlignment="1">
      <alignment horizontal="center" wrapText="1"/>
    </xf>
    <xf numFmtId="0" fontId="7" fillId="10" borderId="12" xfId="0" applyFont="1" applyFill="1" applyBorder="1" applyAlignment="1">
      <alignment wrapText="1"/>
    </xf>
    <xf numFmtId="0" fontId="7" fillId="0" borderId="29" xfId="0" applyFont="1" applyBorder="1" applyAlignment="1">
      <alignment wrapText="1"/>
    </xf>
    <xf numFmtId="0" fontId="7" fillId="10" borderId="76" xfId="0" applyFont="1" applyFill="1" applyBorder="1" applyAlignment="1">
      <alignment wrapText="1"/>
    </xf>
    <xf numFmtId="0" fontId="7" fillId="10" borderId="77" xfId="0" applyFont="1" applyFill="1" applyBorder="1" applyAlignment="1">
      <alignment wrapText="1"/>
    </xf>
    <xf numFmtId="0" fontId="7" fillId="10" borderId="79" xfId="0" applyFont="1" applyFill="1" applyBorder="1" applyAlignment="1">
      <alignment wrapText="1"/>
    </xf>
    <xf numFmtId="0" fontId="15" fillId="3" borderId="33" xfId="0" applyFont="1" applyFill="1" applyBorder="1" applyAlignment="1">
      <alignment horizontal="left" vertical="center" wrapText="1"/>
    </xf>
    <xf numFmtId="0" fontId="7" fillId="10" borderId="1" xfId="0" applyFont="1" applyFill="1" applyBorder="1" applyAlignment="1">
      <alignment horizontal="left" wrapText="1"/>
    </xf>
    <xf numFmtId="165" fontId="7" fillId="3" borderId="1" xfId="0" applyNumberFormat="1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27" fillId="3" borderId="2" xfId="3" applyFont="1" applyFill="1" applyBorder="1" applyAlignment="1" applyProtection="1">
      <alignment wrapText="1"/>
    </xf>
    <xf numFmtId="0" fontId="7" fillId="0" borderId="4" xfId="0" applyFont="1" applyBorder="1" applyAlignment="1">
      <alignment wrapText="1"/>
    </xf>
    <xf numFmtId="0" fontId="19" fillId="10" borderId="21" xfId="0" applyFont="1" applyFill="1" applyBorder="1" applyAlignment="1">
      <alignment horizontal="center" vertical="center" wrapText="1"/>
    </xf>
    <xf numFmtId="0" fontId="19" fillId="10" borderId="22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14" fillId="14" borderId="32" xfId="0" applyFont="1" applyFill="1" applyBorder="1" applyAlignment="1" applyProtection="1">
      <alignment horizontal="right" wrapText="1"/>
      <protection locked="0"/>
    </xf>
    <xf numFmtId="0" fontId="7" fillId="3" borderId="2" xfId="0" applyFont="1" applyFill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7" fillId="10" borderId="32" xfId="0" applyFont="1" applyFill="1" applyBorder="1" applyAlignment="1">
      <alignment horizontal="right" wrapText="1"/>
    </xf>
    <xf numFmtId="169" fontId="7" fillId="10" borderId="32" xfId="0" applyNumberFormat="1" applyFont="1" applyFill="1" applyBorder="1" applyAlignment="1">
      <alignment horizontal="right" wrapText="1"/>
    </xf>
    <xf numFmtId="0" fontId="7" fillId="0" borderId="27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14" fillId="10" borderId="1" xfId="0" applyFont="1" applyFill="1" applyBorder="1" applyAlignment="1">
      <alignment horizontal="right" wrapText="1"/>
    </xf>
    <xf numFmtId="0" fontId="7" fillId="0" borderId="15" xfId="0" applyFont="1" applyBorder="1" applyAlignment="1">
      <alignment horizontal="right" wrapText="1"/>
    </xf>
    <xf numFmtId="0" fontId="27" fillId="3" borderId="2" xfId="3" applyFont="1" applyFill="1" applyBorder="1" applyAlignment="1" applyProtection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9" fillId="10" borderId="46" xfId="0" applyFont="1" applyFill="1" applyBorder="1" applyAlignment="1">
      <alignment horizontal="center" vertical="center" wrapText="1"/>
    </xf>
    <xf numFmtId="0" fontId="7" fillId="14" borderId="15" xfId="0" applyFont="1" applyFill="1" applyBorder="1" applyAlignment="1" applyProtection="1">
      <alignment horizontal="right" wrapText="1"/>
      <protection locked="0"/>
    </xf>
    <xf numFmtId="165" fontId="7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169" fontId="14" fillId="10" borderId="1" xfId="0" applyNumberFormat="1" applyFont="1" applyFill="1" applyBorder="1" applyAlignment="1">
      <alignment horizontal="right" wrapText="1"/>
    </xf>
    <xf numFmtId="169" fontId="7" fillId="0" borderId="15" xfId="0" applyNumberFormat="1" applyFont="1" applyBorder="1" applyAlignment="1">
      <alignment horizontal="right" wrapText="1"/>
    </xf>
    <xf numFmtId="0" fontId="7" fillId="10" borderId="36" xfId="0" applyFont="1" applyFill="1" applyBorder="1" applyAlignment="1">
      <alignment wrapText="1"/>
    </xf>
    <xf numFmtId="0" fontId="7" fillId="10" borderId="37" xfId="0" applyFont="1" applyFill="1" applyBorder="1" applyAlignment="1">
      <alignment wrapText="1"/>
    </xf>
    <xf numFmtId="0" fontId="7" fillId="0" borderId="37" xfId="0" applyFont="1" applyBorder="1" applyAlignment="1">
      <alignment wrapText="1"/>
    </xf>
    <xf numFmtId="0" fontId="7" fillId="3" borderId="2" xfId="0" applyFont="1" applyFill="1" applyBorder="1" applyAlignment="1">
      <alignment horizontal="center" vertical="center" wrapText="1"/>
    </xf>
    <xf numFmtId="0" fontId="7" fillId="10" borderId="29" xfId="0" applyFont="1" applyFill="1" applyBorder="1" applyAlignment="1">
      <alignment wrapText="1"/>
    </xf>
    <xf numFmtId="0" fontId="19" fillId="10" borderId="35" xfId="0" applyFont="1" applyFill="1" applyBorder="1" applyAlignment="1">
      <alignment horizontal="center" vertical="center" wrapText="1"/>
    </xf>
    <xf numFmtId="169" fontId="14" fillId="11" borderId="48" xfId="0" applyNumberFormat="1" applyFont="1" applyFill="1" applyBorder="1" applyAlignment="1">
      <alignment horizontal="right" wrapText="1"/>
    </xf>
    <xf numFmtId="169" fontId="14" fillId="11" borderId="38" xfId="0" applyNumberFormat="1" applyFont="1" applyFill="1" applyBorder="1" applyAlignment="1">
      <alignment horizontal="right" wrapText="1"/>
    </xf>
    <xf numFmtId="0" fontId="14" fillId="11" borderId="2" xfId="0" applyFont="1" applyFill="1" applyBorder="1" applyAlignment="1">
      <alignment horizontal="right" wrapText="1"/>
    </xf>
    <xf numFmtId="0" fontId="14" fillId="11" borderId="32" xfId="0" applyFont="1" applyFill="1" applyBorder="1" applyAlignment="1">
      <alignment horizontal="right" wrapText="1"/>
    </xf>
    <xf numFmtId="169" fontId="14" fillId="11" borderId="2" xfId="0" applyNumberFormat="1" applyFont="1" applyFill="1" applyBorder="1" applyAlignment="1">
      <alignment horizontal="right" wrapText="1"/>
    </xf>
    <xf numFmtId="169" fontId="14" fillId="11" borderId="32" xfId="0" applyNumberFormat="1" applyFont="1" applyFill="1" applyBorder="1" applyAlignment="1">
      <alignment horizontal="right" wrapText="1"/>
    </xf>
    <xf numFmtId="0" fontId="45" fillId="3" borderId="2" xfId="3" applyFont="1" applyFill="1" applyBorder="1" applyAlignment="1" applyProtection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7" fillId="10" borderId="27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33">
    <cellStyle name="Currency" xfId="7" builtinId="4"/>
    <cellStyle name="Currency 2" xfId="2" xr:uid="{04CF893C-E4EE-FE4F-86D7-04DB4E80354F}"/>
    <cellStyle name="Currency 2 2" xfId="8" xr:uid="{D91B2EC3-2AF8-47E7-89A8-47341E70B4FE}"/>
    <cellStyle name="Currency 3" xfId="6" xr:uid="{23FFA09B-B695-49B3-B5B3-052104DF34A1}"/>
    <cellStyle name="Currency 3 2" xfId="11" xr:uid="{E9A43458-9192-4C3B-A81B-B652DCA921DB}"/>
    <cellStyle name="Currency 3 2 2" xfId="18" xr:uid="{1F769F2C-A395-49D1-927F-C13138DAD155}"/>
    <cellStyle name="Currency 3 2 2 2" xfId="31" xr:uid="{544DA958-F8A0-4B1E-A8ED-97BAD43324C9}"/>
    <cellStyle name="Currency 3 2 3" xfId="25" xr:uid="{B2204B69-D890-4A84-89D8-3D332C7B771E}"/>
    <cellStyle name="Currency 3 3" xfId="15" xr:uid="{D93EA91B-8365-43E8-8D40-5FB5A9EF185B}"/>
    <cellStyle name="Currency 3 3 2" xfId="28" xr:uid="{A9D12D1B-AF0D-47DD-B652-C8C557E59529}"/>
    <cellStyle name="Currency 3 4" xfId="22" xr:uid="{CE7C094B-AB6C-44A1-BF0E-804FAE021EF8}"/>
    <cellStyle name="Currency 4" xfId="12" xr:uid="{49F75C4E-B1A4-40B6-BD18-56E318B1F696}"/>
    <cellStyle name="Hyperlink" xfId="3" builtinId="8"/>
    <cellStyle name="Normal" xfId="0" builtinId="0"/>
    <cellStyle name="Normal 2" xfId="1" xr:uid="{42B6EFF8-B790-3145-B236-FD9B0F583C79}"/>
    <cellStyle name="Normal 3" xfId="4" xr:uid="{1C0FF3AA-0B1B-415D-95C8-99961AC4388B}"/>
    <cellStyle name="Normal 3 2" xfId="9" xr:uid="{531431C7-5B13-41FE-8989-C8ECC1252A7D}"/>
    <cellStyle name="Normal 3 2 2" xfId="16" xr:uid="{D9C0064A-ACBE-4F76-9D46-7CB7E72F6B6D}"/>
    <cellStyle name="Normal 3 2 2 2" xfId="29" xr:uid="{04C02891-6E06-4C1D-9A50-51DB9B95EB99}"/>
    <cellStyle name="Normal 3 2 3" xfId="23" xr:uid="{38D800E3-E1DB-4DE1-8D11-488623659FAB}"/>
    <cellStyle name="Normal 3 3" xfId="13" xr:uid="{201C6EE3-4ED4-4F10-B420-9F23CC17FA5A}"/>
    <cellStyle name="Normal 3 3 2" xfId="26" xr:uid="{171BEA73-DD08-40C4-808C-236E8EA0B67C}"/>
    <cellStyle name="Normal 3 4" xfId="20" xr:uid="{FE15EFC1-C509-4A46-B693-55DE9E094BA2}"/>
    <cellStyle name="Normal 4" xfId="19" xr:uid="{16E27F97-89A0-47B7-8C1A-A88E0F04E242}"/>
    <cellStyle name="Normal 4 2" xfId="32" xr:uid="{1EA6B774-3E85-4464-9F9B-7A1412A916C0}"/>
    <cellStyle name="Percent 2" xfId="5" xr:uid="{EFC0A841-3619-4EB4-9505-678652FF05A6}"/>
    <cellStyle name="Percent 2 2" xfId="10" xr:uid="{193E47CB-EB49-4C3F-B024-48B5EA1948E6}"/>
    <cellStyle name="Percent 2 2 2" xfId="17" xr:uid="{F2563628-1AF0-41EA-8FDD-C76CF75C6199}"/>
    <cellStyle name="Percent 2 2 2 2" xfId="30" xr:uid="{0FB03723-9C50-4086-8F5A-A1AD98897913}"/>
    <cellStyle name="Percent 2 2 3" xfId="24" xr:uid="{B5490A06-BCA3-40DE-A107-4B0600616A53}"/>
    <cellStyle name="Percent 2 3" xfId="14" xr:uid="{B8523920-3529-42E2-9B9E-2DD1FFDFD09E}"/>
    <cellStyle name="Percent 2 3 2" xfId="27" xr:uid="{447A3F31-72AE-4CBD-AD04-49EA1A2E1567}"/>
    <cellStyle name="Percent 2 4" xfId="21" xr:uid="{245217AB-8D8A-4A0D-8768-6B8F8B807E8C}"/>
  </cellStyles>
  <dxfs count="4"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COVER!$C$18</c:f>
              <c:strCache>
                <c:ptCount val="1"/>
                <c:pt idx="0">
                  <c:v> SPEND 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A8C-4A27-B6F9-83B5B85F7F2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A8C-4A27-B6F9-83B5B85F7F2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A8C-4A27-B6F9-83B5B85F7F2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A8C-4A27-B6F9-83B5B85F7F2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A8C-4A27-B6F9-83B5B85F7F2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A8C-4A27-B6F9-83B5B85F7F2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A8C-4A27-B6F9-83B5B85F7F2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3A8C-4A27-B6F9-83B5B85F7F27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3A8C-4A27-B6F9-83B5B85F7F27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6025-4715-8842-7B14A393603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COVER!$B$19:$B$28</c:f>
              <c:strCache>
                <c:ptCount val="10"/>
                <c:pt idx="0">
                  <c:v>BEEF/LAMB/PORK</c:v>
                </c:pt>
                <c:pt idx="1">
                  <c:v>POULTRY</c:v>
                </c:pt>
                <c:pt idx="2">
                  <c:v>SMALL GOODS</c:v>
                </c:pt>
                <c:pt idx="3">
                  <c:v>SEAFOOD</c:v>
                </c:pt>
                <c:pt idx="4">
                  <c:v>DAIRY &amp; EGGS</c:v>
                </c:pt>
                <c:pt idx="5">
                  <c:v>FROZEN</c:v>
                </c:pt>
                <c:pt idx="6">
                  <c:v>FRUIT AND VEG</c:v>
                </c:pt>
                <c:pt idx="7">
                  <c:v>BEVERAGE</c:v>
                </c:pt>
                <c:pt idx="8">
                  <c:v>DRY GOODS</c:v>
                </c:pt>
                <c:pt idx="9">
                  <c:v>CONSUMABLES</c:v>
                </c:pt>
              </c:strCache>
            </c:strRef>
          </c:cat>
          <c:val>
            <c:numRef>
              <c:f>COVER!$C$19:$C$28</c:f>
              <c:numCache>
                <c:formatCode>_-[$$-C09]* #,##0.00_-;\-[$$-C09]* #,##0.00_-;_-[$$-C09]* "-"??_-;_-@_-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E9-4028-A12E-6682EB8CA84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036334964302297"/>
          <c:y val="0.13618964889175328"/>
          <c:w val="0.22916081885813702"/>
          <c:h val="0.792635973884047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COVER!$C$36</c:f>
              <c:strCache>
                <c:ptCount val="1"/>
                <c:pt idx="0">
                  <c:v> SPEND 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A67-4FBE-9819-CDBBE2A5FD3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A67-4FBE-9819-CDBBE2A5FD3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A67-4FBE-9819-CDBBE2A5FD3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A67-4FBE-9819-CDBBE2A5FD3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A67-4FBE-9819-CDBBE2A5FD3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A67-4FBE-9819-CDBBE2A5FD3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314-44D8-9D49-4374D190D62D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314-44D8-9D49-4374D190D62D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314-44D8-9D49-4374D190D62D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990E-49B4-87BF-BB18443852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COVER!$B$37:$B$46</c:f>
              <c:strCache>
                <c:ptCount val="10"/>
                <c:pt idx="0">
                  <c:v>0</c:v>
                </c:pt>
                <c:pt idx="1">
                  <c:v>PERSONAL CARE</c:v>
                </c:pt>
                <c:pt idx="2">
                  <c:v>#REF!</c:v>
                </c:pt>
                <c:pt idx="3">
                  <c:v>TOILETRIES </c:v>
                </c:pt>
                <c:pt idx="4">
                  <c:v>ICE CREAMS </c:v>
                </c:pt>
                <c:pt idx="5">
                  <c:v>UTILITIES</c:v>
                </c:pt>
                <c:pt idx="6">
                  <c:v>BEER</c:v>
                </c:pt>
                <c:pt idx="7">
                  <c:v>WINE, MIXERS AND CIDER</c:v>
                </c:pt>
                <c:pt idx="8">
                  <c:v>SOFT DRINKS</c:v>
                </c:pt>
                <c:pt idx="9">
                  <c:v>GARMENTS</c:v>
                </c:pt>
              </c:strCache>
            </c:strRef>
          </c:cat>
          <c:val>
            <c:numRef>
              <c:f>COVER!$C$37:$C$46</c:f>
              <c:numCache>
                <c:formatCode>_-[$$-C09]* #,##0.00_-;\-[$$-C09]* #,##0.00_-;_-[$$-C09]* "-"??_-;_-@_-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C-4B44-8D98-6F0D8B9BF87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06265521570919"/>
          <c:y val="0.18687972826926047"/>
          <c:w val="0.28589002696734267"/>
          <c:h val="0.66176933765632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COVER!$C$31</c:f>
              <c:strCache>
                <c:ptCount val="1"/>
                <c:pt idx="0">
                  <c:v> SPEND 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2C5-4819-B46F-F5A4FE8E0D5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2C5-4819-B46F-F5A4FE8E0D5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COVER!$B$32:$B$33</c:f>
              <c:strCache>
                <c:ptCount val="2"/>
                <c:pt idx="0">
                  <c:v>CLEANING CONSUMBLES</c:v>
                </c:pt>
                <c:pt idx="1">
                  <c:v>CHEMICALS</c:v>
                </c:pt>
              </c:strCache>
            </c:strRef>
          </c:cat>
          <c:val>
            <c:numRef>
              <c:f>COVER!$C$32:$C$33</c:f>
              <c:numCache>
                <c:formatCode>_-[$$-C09]* #,##0.00_-;\-[$$-C09]* #,##0.00_-;_-[$$-C09]* "-"??_-;_-@_-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2C5-4819-B46F-F5A4FE8E0D5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036334964302297"/>
          <c:y val="0.13618964889175328"/>
          <c:w val="0.22916081885813702"/>
          <c:h val="0.792635973884047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198967</xdr:colOff>
      <xdr:row>15</xdr:row>
      <xdr:rowOff>93134</xdr:rowOff>
    </xdr:from>
    <xdr:to>
      <xdr:col>7</xdr:col>
      <xdr:colOff>332317</xdr:colOff>
      <xdr:row>27</xdr:row>
      <xdr:rowOff>116417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BFDC6F-616A-4A3C-B997-D54E6DB2F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194205</xdr:colOff>
      <xdr:row>34</xdr:row>
      <xdr:rowOff>169334</xdr:rowOff>
    </xdr:from>
    <xdr:to>
      <xdr:col>7</xdr:col>
      <xdr:colOff>281518</xdr:colOff>
      <xdr:row>47</xdr:row>
      <xdr:rowOff>10583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94DF96-1241-4701-8D69-CB7AF8421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201082</xdr:colOff>
      <xdr:row>28</xdr:row>
      <xdr:rowOff>98423</xdr:rowOff>
    </xdr:from>
    <xdr:to>
      <xdr:col>7</xdr:col>
      <xdr:colOff>306917</xdr:colOff>
      <xdr:row>34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79F925-521D-481A-826B-9C258D8D2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Wayne Parker" id="{FECFDC7C-7D76-453C-A34C-FC1ECD06821F}" userId="878c81f41b3fa6c7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3-05-02T02:36:16.95" personId="{FECFDC7C-7D76-453C-A34C-FC1ECD06821F}" id="{43797561-ED3B-466E-B557-6F507D9C9334}">
    <text>Insert average daily billable residents</text>
  </threadedComment>
  <threadedComment ref="C9" dT="2023-04-27T06:34:50.16" personId="{FECFDC7C-7D76-453C-A34C-FC1ECD06821F}" id="{5E74397A-332D-4639-8D6E-B1F217A264E7}">
    <text>Insert Email</text>
  </threadedComment>
  <threadedComment ref="C10" dT="2023-04-27T06:35:26.80" personId="{FECFDC7C-7D76-453C-A34C-FC1ECD06821F}" id="{F61CCB19-D339-452C-B7F1-21ECED0138C7}">
    <text>Insert Mobile #</text>
  </threadedComment>
  <threadedComment ref="C15" dT="2023-04-27T06:39:16.58" personId="{FECFDC7C-7D76-453C-A34C-FC1ECD06821F}" id="{31519146-F81D-4A2C-A244-5492CBED9BA7}">
    <text>Confirm Deliver Times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7" dT="2023-04-27T06:38:33.94" personId="{FECFDC7C-7D76-453C-A34C-FC1ECD06821F}" id="{B43F0517-65E0-4D93-BAB9-3BAE5C74D398}">
    <text>Insert LL Number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mailto:keiran@liquortradersaustralia.com.au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mailto:matthew.siddell@metcashfg.com" TargetMode="External"/><Relationship Id="rId1" Type="http://schemas.openxmlformats.org/officeDocument/2006/relationships/hyperlink" Target="mailto:aven@selectfresh.com.au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Eoghan.Ryan@classicmeats.com.au" TargetMode="External"/><Relationship Id="rId10" Type="http://schemas.microsoft.com/office/2017/10/relationships/threadedComment" Target="../threadedComments/threadedComment1.xml"/><Relationship Id="rId4" Type="http://schemas.openxmlformats.org/officeDocument/2006/relationships/hyperlink" Target="mailto:admin@selectfresh.com.au" TargetMode="External"/><Relationship Id="rId9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matthew.siddell@metcashfg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matthew.siddell@metcashfg.com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mailto:keiran@liquortradersaustralia.com.au" TargetMode="External"/><Relationship Id="rId1" Type="http://schemas.openxmlformats.org/officeDocument/2006/relationships/hyperlink" Target="mailto:admin@liquortradersaustralia.com.au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35699-1EE4-C946-B758-7C82CE45A837}">
  <sheetPr>
    <tabColor rgb="FFFF0000"/>
    <pageSetUpPr fitToPage="1"/>
  </sheetPr>
  <dimension ref="B1:F61"/>
  <sheetViews>
    <sheetView topLeftCell="B1" zoomScale="90" zoomScaleNormal="90" workbookViewId="0">
      <selection activeCell="C20" sqref="C20"/>
    </sheetView>
  </sheetViews>
  <sheetFormatPr baseColWidth="10" defaultColWidth="11" defaultRowHeight="16" x14ac:dyDescent="0.2"/>
  <cols>
    <col min="1" max="1" width="3.1640625" style="33" customWidth="1"/>
    <col min="2" max="2" width="82.1640625" style="33" customWidth="1"/>
    <col min="3" max="3" width="39.5" style="34" customWidth="1"/>
    <col min="4" max="4" width="32.6640625" style="33" bestFit="1" customWidth="1"/>
    <col min="5" max="7" width="15.33203125" style="33" customWidth="1"/>
    <col min="8" max="8" width="11.6640625" style="33" bestFit="1" customWidth="1"/>
    <col min="9" max="16384" width="11" style="33"/>
  </cols>
  <sheetData>
    <row r="1" spans="2:6" ht="17" thickBot="1" x14ac:dyDescent="0.25"/>
    <row r="2" spans="2:6" ht="15.75" customHeight="1" x14ac:dyDescent="0.2">
      <c r="B2" s="35" t="s">
        <v>0</v>
      </c>
      <c r="C2" s="396">
        <v>385</v>
      </c>
      <c r="D2" s="36"/>
    </row>
    <row r="3" spans="2:6" ht="15.75" customHeight="1" x14ac:dyDescent="0.2">
      <c r="B3" s="37" t="s">
        <v>1</v>
      </c>
      <c r="C3" s="122">
        <f>E3</f>
        <v>21</v>
      </c>
      <c r="D3" s="38" t="s">
        <v>2</v>
      </c>
      <c r="E3" s="39">
        <v>21</v>
      </c>
      <c r="F3" s="33" t="s">
        <v>3</v>
      </c>
    </row>
    <row r="4" spans="2:6" ht="15.75" customHeight="1" x14ac:dyDescent="0.2">
      <c r="B4" s="40" t="s">
        <v>4</v>
      </c>
      <c r="C4" s="41">
        <f>SUM(C2*C3)*7</f>
        <v>56595</v>
      </c>
      <c r="D4" s="38"/>
      <c r="E4" s="39"/>
    </row>
    <row r="5" spans="2:6" ht="15.75" customHeight="1" x14ac:dyDescent="0.2">
      <c r="B5" s="37" t="s">
        <v>5</v>
      </c>
      <c r="C5" s="122">
        <f>E5</f>
        <v>1.5</v>
      </c>
      <c r="D5" s="42" t="s">
        <v>6</v>
      </c>
      <c r="E5" s="39">
        <v>1.5</v>
      </c>
      <c r="F5" s="33" t="s">
        <v>7</v>
      </c>
    </row>
    <row r="6" spans="2:6" ht="15.75" customHeight="1" x14ac:dyDescent="0.2">
      <c r="B6" s="40" t="s">
        <v>8</v>
      </c>
      <c r="C6" s="41">
        <f>SUM(C5*C2)*7</f>
        <v>4042.5</v>
      </c>
      <c r="D6" s="42"/>
      <c r="E6" s="43"/>
    </row>
    <row r="7" spans="2:6" ht="15.75" customHeight="1" x14ac:dyDescent="0.2">
      <c r="B7" s="37" t="s">
        <v>9</v>
      </c>
      <c r="C7" s="122">
        <f>E7</f>
        <v>1.3</v>
      </c>
      <c r="D7" s="42" t="s">
        <v>10</v>
      </c>
      <c r="E7" s="39">
        <v>1.3</v>
      </c>
    </row>
    <row r="8" spans="2:6" ht="15.75" customHeight="1" x14ac:dyDescent="0.2">
      <c r="B8" s="40" t="s">
        <v>11</v>
      </c>
      <c r="C8" s="41">
        <f>SUM(C7*C2)*7</f>
        <v>3503.5</v>
      </c>
      <c r="D8" s="42"/>
      <c r="E8" s="43">
        <f>SUM(E3:E7)</f>
        <v>23.8</v>
      </c>
      <c r="F8" s="443" t="s">
        <v>12</v>
      </c>
    </row>
    <row r="9" spans="2:6" x14ac:dyDescent="0.2">
      <c r="B9" s="44" t="s">
        <v>13</v>
      </c>
      <c r="C9" s="394" t="s">
        <v>14</v>
      </c>
      <c r="E9" s="39"/>
    </row>
    <row r="10" spans="2:6" ht="18" thickBot="1" x14ac:dyDescent="0.25">
      <c r="B10" s="45" t="s">
        <v>15</v>
      </c>
      <c r="C10" s="395" t="s">
        <v>16</v>
      </c>
      <c r="E10" s="39"/>
    </row>
    <row r="11" spans="2:6" ht="17" thickBot="1" x14ac:dyDescent="0.25"/>
    <row r="12" spans="2:6" x14ac:dyDescent="0.2">
      <c r="B12" s="46" t="s">
        <v>17</v>
      </c>
      <c r="C12" s="128" t="s">
        <v>18</v>
      </c>
      <c r="D12" s="47"/>
    </row>
    <row r="13" spans="2:6" ht="15.75" customHeight="1" x14ac:dyDescent="0.2">
      <c r="B13" s="48" t="s">
        <v>19</v>
      </c>
      <c r="C13" s="393" t="s">
        <v>20</v>
      </c>
    </row>
    <row r="14" spans="2:6" x14ac:dyDescent="0.2">
      <c r="B14" s="48" t="s">
        <v>21</v>
      </c>
      <c r="C14" s="446">
        <v>45082</v>
      </c>
    </row>
    <row r="15" spans="2:6" x14ac:dyDescent="0.2">
      <c r="B15" s="48" t="s">
        <v>22</v>
      </c>
      <c r="C15" s="444">
        <f>C14+3</f>
        <v>45085</v>
      </c>
    </row>
    <row r="16" spans="2:6" ht="17" thickBot="1" x14ac:dyDescent="0.25">
      <c r="B16" s="49" t="s">
        <v>23</v>
      </c>
      <c r="C16" s="445">
        <f>C15+1</f>
        <v>45086</v>
      </c>
    </row>
    <row r="17" spans="2:3" ht="17" thickBot="1" x14ac:dyDescent="0.25"/>
    <row r="18" spans="2:3" ht="17" thickBot="1" x14ac:dyDescent="0.25">
      <c r="B18" s="50" t="s">
        <v>24</v>
      </c>
      <c r="C18" s="51" t="s">
        <v>25</v>
      </c>
    </row>
    <row r="19" spans="2:3" x14ac:dyDescent="0.2">
      <c r="B19" s="52" t="s">
        <v>26</v>
      </c>
      <c r="C19" s="124">
        <f>'PROTEIN_POULTRY CLASSIC MEATS '!I64</f>
        <v>0</v>
      </c>
    </row>
    <row r="20" spans="2:3" x14ac:dyDescent="0.2">
      <c r="B20" s="53" t="s">
        <v>27</v>
      </c>
      <c r="C20" s="124">
        <f>'PROTEIN_POULTRY CLASSIC MEATS '!I85</f>
        <v>0</v>
      </c>
    </row>
    <row r="21" spans="2:3" x14ac:dyDescent="0.2">
      <c r="B21" s="53" t="s">
        <v>28</v>
      </c>
      <c r="C21" s="124">
        <f>'SMALL GOODS BIDFOODS  '!L29</f>
        <v>0</v>
      </c>
    </row>
    <row r="22" spans="2:3" x14ac:dyDescent="0.2">
      <c r="B22" s="53" t="s">
        <v>29</v>
      </c>
      <c r="C22" s="124">
        <f>SEAFOOD_DAIRY_EGGS_BIDFOODS!L31</f>
        <v>0</v>
      </c>
    </row>
    <row r="23" spans="2:3" x14ac:dyDescent="0.2">
      <c r="B23" s="53" t="s">
        <v>30</v>
      </c>
      <c r="C23" s="124">
        <f>'DAIRY_BROWNES DAIRY '!J25</f>
        <v>0</v>
      </c>
    </row>
    <row r="24" spans="2:3" x14ac:dyDescent="0.2">
      <c r="B24" s="53" t="s">
        <v>31</v>
      </c>
      <c r="C24" s="124">
        <f>'FROZEN_BIDFOODS '!L130</f>
        <v>0</v>
      </c>
    </row>
    <row r="25" spans="2:3" x14ac:dyDescent="0.2">
      <c r="B25" s="53" t="s">
        <v>32</v>
      </c>
      <c r="C25" s="124">
        <f>'F&amp;V_Select Fresh'!I107</f>
        <v>0</v>
      </c>
    </row>
    <row r="26" spans="2:3" x14ac:dyDescent="0.2">
      <c r="B26" s="53" t="s">
        <v>33</v>
      </c>
      <c r="C26" s="124">
        <f>'BEVERAGE_DRY GOODS_BIDFOODS'!L45</f>
        <v>0</v>
      </c>
    </row>
    <row r="27" spans="2:3" x14ac:dyDescent="0.2">
      <c r="B27" s="53" t="s">
        <v>34</v>
      </c>
      <c r="C27" s="124">
        <f>'BEVERAGE_DRY GOODS_BIDFOODS'!L483</f>
        <v>0</v>
      </c>
    </row>
    <row r="28" spans="2:3" ht="17" thickBot="1" x14ac:dyDescent="0.25">
      <c r="B28" s="54" t="s">
        <v>35</v>
      </c>
      <c r="C28" s="125">
        <f>'CATERING CONS_BUNZL'!I101</f>
        <v>0</v>
      </c>
    </row>
    <row r="29" spans="2:3" ht="17" thickBot="1" x14ac:dyDescent="0.25">
      <c r="B29" s="55" t="s">
        <v>36</v>
      </c>
      <c r="C29" s="56">
        <f>SUM(C19:C28)</f>
        <v>0</v>
      </c>
    </row>
    <row r="30" spans="2:3" ht="17" thickBot="1" x14ac:dyDescent="0.25"/>
    <row r="31" spans="2:3" ht="17" thickBot="1" x14ac:dyDescent="0.25">
      <c r="B31" s="50" t="s">
        <v>24</v>
      </c>
      <c r="C31" s="51" t="s">
        <v>25</v>
      </c>
    </row>
    <row r="32" spans="2:3" x14ac:dyDescent="0.2">
      <c r="B32" s="52" t="s">
        <v>37</v>
      </c>
      <c r="C32" s="123">
        <f>SUM('CLEANING CONS_BUNZL '!I34)</f>
        <v>0</v>
      </c>
    </row>
    <row r="33" spans="2:3" ht="17" thickBot="1" x14ac:dyDescent="0.25">
      <c r="B33" s="52" t="s">
        <v>38</v>
      </c>
      <c r="C33" s="123">
        <f>SUM(CHEM_BUNZL!I48)</f>
        <v>0</v>
      </c>
    </row>
    <row r="34" spans="2:3" ht="17" thickBot="1" x14ac:dyDescent="0.25">
      <c r="B34" s="57" t="s">
        <v>36</v>
      </c>
      <c r="C34" s="56">
        <f>SUM(C32:C33)</f>
        <v>0</v>
      </c>
    </row>
    <row r="35" spans="2:3" ht="17" thickBot="1" x14ac:dyDescent="0.25"/>
    <row r="36" spans="2:3" ht="17" thickBot="1" x14ac:dyDescent="0.25">
      <c r="B36" s="50" t="s">
        <v>39</v>
      </c>
      <c r="C36" s="51" t="s">
        <v>25</v>
      </c>
    </row>
    <row r="37" spans="2:3" x14ac:dyDescent="0.2">
      <c r="B37" s="58">
        <f>RETAIL_CAMP!C11</f>
        <v>0</v>
      </c>
      <c r="C37" s="123">
        <f>SUM('RETAIL_METCASH TOBACCO'!M32)</f>
        <v>0</v>
      </c>
    </row>
    <row r="38" spans="2:3" x14ac:dyDescent="0.2">
      <c r="B38" s="59" t="str">
        <f>RETAIL_CAMP!C13</f>
        <v>PERSONAL CARE</v>
      </c>
      <c r="C38" s="124">
        <f>RETAIL_CAMP!M181</f>
        <v>0</v>
      </c>
    </row>
    <row r="39" spans="2:3" x14ac:dyDescent="0.2">
      <c r="B39" s="59" t="e">
        <f>RETAIL_CAMP!#REF!</f>
        <v>#REF!</v>
      </c>
      <c r="C39" s="124">
        <f>SUM('RETAIL_CAMP BROWNES'!M56)</f>
        <v>0</v>
      </c>
    </row>
    <row r="40" spans="2:3" x14ac:dyDescent="0.2">
      <c r="B40" s="59" t="str">
        <f>RETAIL_CAMP!C182</f>
        <v xml:space="preserve">TOILETRIES </v>
      </c>
      <c r="C40" s="124">
        <f>RETAIL_CAMP!M257</f>
        <v>0</v>
      </c>
    </row>
    <row r="41" spans="2:3" x14ac:dyDescent="0.2">
      <c r="B41" s="59" t="s">
        <v>40</v>
      </c>
      <c r="C41" s="124">
        <f>SUM('RETAIL_PFD ICE CREAM'!M44)</f>
        <v>0</v>
      </c>
    </row>
    <row r="42" spans="2:3" x14ac:dyDescent="0.2">
      <c r="B42" s="59" t="str">
        <f>RETAIL_CAMP!C258</f>
        <v>UTILITIES</v>
      </c>
      <c r="C42" s="124">
        <f>RETAIL_CAMP!M278</f>
        <v>0</v>
      </c>
    </row>
    <row r="43" spans="2:3" x14ac:dyDescent="0.2">
      <c r="B43" s="60" t="str">
        <f>RETAIL_LTA!C11</f>
        <v>BEER</v>
      </c>
      <c r="C43" s="126">
        <f>RETAIL_LTA!M29</f>
        <v>0</v>
      </c>
    </row>
    <row r="44" spans="2:3" x14ac:dyDescent="0.2">
      <c r="B44" s="60" t="str">
        <f>RETAIL_LTA!C30</f>
        <v>WINE, MIXERS AND CIDER</v>
      </c>
      <c r="C44" s="126">
        <f>RETAIL_LTA!M47</f>
        <v>0</v>
      </c>
    </row>
    <row r="45" spans="2:3" x14ac:dyDescent="0.2">
      <c r="B45" s="60" t="str">
        <f>RETAIL_LTA!C48</f>
        <v>SOFT DRINKS</v>
      </c>
      <c r="C45" s="126">
        <f>RETAIL_LTA!M92</f>
        <v>0</v>
      </c>
    </row>
    <row r="46" spans="2:3" ht="17" thickBot="1" x14ac:dyDescent="0.25">
      <c r="B46" s="61" t="str">
        <f>RETAIL_LTA!C93</f>
        <v>GARMENTS</v>
      </c>
      <c r="C46" s="127">
        <f>RETAIL_LTA!M96</f>
        <v>0</v>
      </c>
    </row>
    <row r="47" spans="2:3" ht="17" thickBot="1" x14ac:dyDescent="0.25">
      <c r="B47" s="55" t="s">
        <v>36</v>
      </c>
      <c r="C47" s="62">
        <f>SUM(C37:C43)</f>
        <v>0</v>
      </c>
    </row>
    <row r="51" spans="2:5" x14ac:dyDescent="0.2">
      <c r="B51" s="620" t="s">
        <v>41</v>
      </c>
      <c r="C51" s="451" t="s">
        <v>42</v>
      </c>
      <c r="D51" s="64" t="s">
        <v>43</v>
      </c>
      <c r="E51" s="452" t="s">
        <v>44</v>
      </c>
    </row>
    <row r="52" spans="2:5" x14ac:dyDescent="0.2">
      <c r="B52" s="621"/>
      <c r="C52" s="63"/>
      <c r="D52" s="64"/>
      <c r="E52" s="65"/>
    </row>
    <row r="53" spans="2:5" x14ac:dyDescent="0.2">
      <c r="B53" s="622" t="s">
        <v>45</v>
      </c>
      <c r="C53" s="63"/>
      <c r="D53" s="64"/>
      <c r="E53" s="65"/>
    </row>
    <row r="54" spans="2:5" x14ac:dyDescent="0.2">
      <c r="B54" s="623"/>
      <c r="C54" s="63"/>
      <c r="D54" s="64"/>
      <c r="E54" s="65"/>
    </row>
    <row r="55" spans="2:5" x14ac:dyDescent="0.2">
      <c r="B55" s="623"/>
      <c r="C55" s="63"/>
      <c r="D55" s="64"/>
      <c r="E55" s="65"/>
    </row>
    <row r="56" spans="2:5" x14ac:dyDescent="0.2">
      <c r="B56" s="624"/>
      <c r="C56" s="63"/>
      <c r="D56" s="64"/>
      <c r="E56" s="65"/>
    </row>
    <row r="57" spans="2:5" x14ac:dyDescent="0.2">
      <c r="B57" s="620" t="s">
        <v>46</v>
      </c>
      <c r="C57" s="63" t="s">
        <v>47</v>
      </c>
      <c r="D57" s="64" t="s">
        <v>48</v>
      </c>
      <c r="E57" s="65" t="s">
        <v>49</v>
      </c>
    </row>
    <row r="58" spans="2:5" x14ac:dyDescent="0.2">
      <c r="B58" s="621"/>
      <c r="C58" s="63" t="s">
        <v>50</v>
      </c>
      <c r="D58" s="64" t="s">
        <v>51</v>
      </c>
      <c r="E58" s="65"/>
    </row>
    <row r="59" spans="2:5" x14ac:dyDescent="0.2">
      <c r="B59" s="63" t="s">
        <v>52</v>
      </c>
      <c r="C59" s="63" t="s">
        <v>53</v>
      </c>
      <c r="D59" s="64" t="s">
        <v>54</v>
      </c>
      <c r="E59" s="65" t="s">
        <v>55</v>
      </c>
    </row>
    <row r="60" spans="2:5" x14ac:dyDescent="0.2">
      <c r="B60" s="63" t="s">
        <v>56</v>
      </c>
      <c r="C60" s="63" t="s">
        <v>57</v>
      </c>
      <c r="D60" s="64" t="s">
        <v>58</v>
      </c>
      <c r="E60" s="65" t="s">
        <v>59</v>
      </c>
    </row>
    <row r="61" spans="2:5" x14ac:dyDescent="0.2">
      <c r="B61" s="63"/>
      <c r="C61" s="63"/>
      <c r="D61" s="64"/>
      <c r="E61" s="65"/>
    </row>
  </sheetData>
  <mergeCells count="3">
    <mergeCell ref="B51:B52"/>
    <mergeCell ref="B53:B56"/>
    <mergeCell ref="B57:B58"/>
  </mergeCells>
  <conditionalFormatting sqref="C29">
    <cfRule type="cellIs" dxfId="3" priority="1" operator="greaterThan">
      <formula>$C$4</formula>
    </cfRule>
    <cfRule type="cellIs" dxfId="2" priority="29" operator="lessThan">
      <formula>$C$4</formula>
    </cfRule>
  </conditionalFormatting>
  <conditionalFormatting sqref="C34">
    <cfRule type="cellIs" dxfId="1" priority="5" operator="lessThan">
      <formula>$C$6</formula>
    </cfRule>
    <cfRule type="cellIs" dxfId="0" priority="6" operator="greaterThan">
      <formula>$C$6</formula>
    </cfRule>
  </conditionalFormatting>
  <hyperlinks>
    <hyperlink ref="D57" r:id="rId1" xr:uid="{AAF6E130-D599-4E4C-BEB8-FD248C8EE3CC}"/>
    <hyperlink ref="D59" r:id="rId2" xr:uid="{05528736-0C80-4178-AEFC-C8B8AAC7E3C9}"/>
    <hyperlink ref="D60" r:id="rId3" xr:uid="{78162CCD-9D06-4FB0-BDBB-7086A781243D}"/>
    <hyperlink ref="D58" r:id="rId4" xr:uid="{0052F1BC-6002-4B89-B08F-AE1F3D1F58EA}"/>
    <hyperlink ref="D51" r:id="rId5" xr:uid="{00B41A4B-42D7-4D4D-8B50-8EC5CE069392}"/>
  </hyperlinks>
  <pageMargins left="0.70866141732283472" right="0.70866141732283472" top="0.74803149606299213" bottom="0.74803149606299213" header="0.31496062992125984" footer="0.31496062992125984"/>
  <pageSetup paperSize="9" scale="60" orientation="landscape" r:id="rId6"/>
  <ignoredErrors>
    <ignoredError sqref="C47 C3:C8 B42:C46 C17:C18 C30:C31 C11:C12 C26:C28 C21 C24 C34:C36 B40:C40 C38 B37:B39" unlockedFormula="1"/>
  </ignoredErrors>
  <drawing r:id="rId7"/>
  <legacyDrawing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7D78C-0AB1-4409-A333-DC291EB2DDEA}">
  <sheetPr>
    <tabColor rgb="FF92D050"/>
    <pageSetUpPr fitToPage="1"/>
  </sheetPr>
  <dimension ref="B1:I34"/>
  <sheetViews>
    <sheetView zoomScaleNormal="100" workbookViewId="0">
      <selection activeCell="H11" sqref="H11:H33"/>
    </sheetView>
  </sheetViews>
  <sheetFormatPr baseColWidth="10" defaultColWidth="8.6640625" defaultRowHeight="16" x14ac:dyDescent="0.2"/>
  <cols>
    <col min="1" max="1" width="3.83203125" style="33" customWidth="1"/>
    <col min="2" max="2" width="62.1640625" style="33" customWidth="1"/>
    <col min="3" max="3" width="18.33203125" style="268" customWidth="1"/>
    <col min="4" max="4" width="15.1640625" style="295" customWidth="1"/>
    <col min="5" max="7" width="15.6640625" style="33" customWidth="1"/>
    <col min="8" max="9" width="12.6640625" style="33" customWidth="1"/>
    <col min="10" max="16384" width="8.6640625" style="33"/>
  </cols>
  <sheetData>
    <row r="1" spans="2:9" ht="17" thickBot="1" x14ac:dyDescent="0.25"/>
    <row r="2" spans="2:9" ht="17" thickBot="1" x14ac:dyDescent="0.25">
      <c r="B2" s="684" t="s">
        <v>1482</v>
      </c>
      <c r="C2" s="685"/>
      <c r="D2" s="686"/>
      <c r="E2" s="295"/>
      <c r="F2" s="673" t="s">
        <v>61</v>
      </c>
      <c r="G2" s="626"/>
    </row>
    <row r="3" spans="2:9" ht="17" thickBot="1" x14ac:dyDescent="0.25">
      <c r="B3" s="296" t="s">
        <v>62</v>
      </c>
      <c r="C3" s="682"/>
      <c r="D3" s="683"/>
      <c r="E3" s="295"/>
      <c r="F3" s="680" t="str">
        <f>COVER!C9</f>
        <v>ian.shotam@programmed.com.au</v>
      </c>
      <c r="G3" s="681"/>
    </row>
    <row r="4" spans="2:9" x14ac:dyDescent="0.2">
      <c r="B4" s="69" t="str">
        <f>COVER!B12</f>
        <v>SITE</v>
      </c>
      <c r="C4" s="687" t="str">
        <f>COVER!C12</f>
        <v>GOLDEN GROVE</v>
      </c>
      <c r="D4" s="688"/>
    </row>
    <row r="5" spans="2:9" x14ac:dyDescent="0.2">
      <c r="B5" s="69" t="str">
        <f>COVER!B13</f>
        <v>MANAGERS NAME</v>
      </c>
      <c r="C5" s="687" t="str">
        <f>COVER!C13</f>
        <v>Ian Shotam</v>
      </c>
      <c r="D5" s="688"/>
    </row>
    <row r="6" spans="2:9" x14ac:dyDescent="0.2">
      <c r="B6" s="69" t="str">
        <f>COVER!B14</f>
        <v>DATE - ORDER PLACED</v>
      </c>
      <c r="C6" s="689">
        <f>COVER!C14</f>
        <v>45082</v>
      </c>
      <c r="D6" s="690"/>
    </row>
    <row r="7" spans="2:9" ht="34" x14ac:dyDescent="0.2">
      <c r="B7" s="543" t="str">
        <f>COVER!B15</f>
        <v>DATE - DELIVERY PERTH - FREIGHT LINES, 12-26 RIVERSDALE RD, WELSHPOOL WA 6100</v>
      </c>
      <c r="C7" s="689">
        <f>COVER!C15</f>
        <v>45085</v>
      </c>
      <c r="D7" s="690"/>
    </row>
    <row r="8" spans="2:9" ht="17" thickBot="1" x14ac:dyDescent="0.25">
      <c r="B8" s="70" t="str">
        <f>COVER!B16</f>
        <v>DATE - ESTIMATED ARRIVAL SITE</v>
      </c>
      <c r="C8" s="691">
        <f>COVER!C16</f>
        <v>45086</v>
      </c>
      <c r="D8" s="692"/>
    </row>
    <row r="9" spans="2:9" ht="17" thickBot="1" x14ac:dyDescent="0.25"/>
    <row r="10" spans="2:9" ht="35" thickBot="1" x14ac:dyDescent="0.25">
      <c r="B10" s="297" t="s">
        <v>1637</v>
      </c>
      <c r="C10" s="278" t="s">
        <v>65</v>
      </c>
      <c r="D10" s="278" t="s">
        <v>66</v>
      </c>
      <c r="E10" s="278" t="s">
        <v>67</v>
      </c>
      <c r="F10" s="278" t="s">
        <v>68</v>
      </c>
      <c r="G10" s="278" t="s">
        <v>69</v>
      </c>
      <c r="H10" s="279" t="s">
        <v>70</v>
      </c>
      <c r="I10" s="280" t="s">
        <v>25</v>
      </c>
    </row>
    <row r="11" spans="2:9" x14ac:dyDescent="0.2">
      <c r="B11" s="348" t="s">
        <v>1638</v>
      </c>
      <c r="C11" s="547" t="s">
        <v>1639</v>
      </c>
      <c r="D11" s="223" t="s">
        <v>1640</v>
      </c>
      <c r="E11" s="545"/>
      <c r="F11" s="490">
        <v>0</v>
      </c>
      <c r="G11" s="501">
        <v>0</v>
      </c>
      <c r="H11" s="546">
        <v>52.42</v>
      </c>
      <c r="I11" s="491">
        <f t="shared" ref="I11:I14" si="0">G11*H11</f>
        <v>0</v>
      </c>
    </row>
    <row r="12" spans="2:9" x14ac:dyDescent="0.2">
      <c r="B12" s="348" t="s">
        <v>1641</v>
      </c>
      <c r="C12" s="547" t="s">
        <v>1642</v>
      </c>
      <c r="D12" s="223" t="s">
        <v>1643</v>
      </c>
      <c r="E12" s="545"/>
      <c r="F12" s="490"/>
      <c r="G12" s="501"/>
      <c r="H12" s="546">
        <v>39.1</v>
      </c>
      <c r="I12" s="491">
        <f t="shared" si="0"/>
        <v>0</v>
      </c>
    </row>
    <row r="13" spans="2:9" x14ac:dyDescent="0.2">
      <c r="B13" s="348" t="s">
        <v>1644</v>
      </c>
      <c r="C13" s="547" t="s">
        <v>1601</v>
      </c>
      <c r="D13" s="223" t="s">
        <v>1640</v>
      </c>
      <c r="E13" s="545"/>
      <c r="F13" s="490"/>
      <c r="G13" s="501"/>
      <c r="H13" s="546">
        <v>33</v>
      </c>
      <c r="I13" s="491">
        <f t="shared" si="0"/>
        <v>0</v>
      </c>
    </row>
    <row r="14" spans="2:9" x14ac:dyDescent="0.2">
      <c r="B14" s="348" t="s">
        <v>1645</v>
      </c>
      <c r="C14" s="547" t="s">
        <v>1646</v>
      </c>
      <c r="D14" s="223" t="s">
        <v>1647</v>
      </c>
      <c r="E14" s="545"/>
      <c r="F14" s="490"/>
      <c r="G14" s="501"/>
      <c r="H14" s="546">
        <v>28.24</v>
      </c>
      <c r="I14" s="491">
        <f t="shared" si="0"/>
        <v>0</v>
      </c>
    </row>
    <row r="15" spans="2:9" x14ac:dyDescent="0.2">
      <c r="B15" s="548" t="s">
        <v>1648</v>
      </c>
      <c r="C15" s="549" t="s">
        <v>1548</v>
      </c>
      <c r="D15" s="584" t="s">
        <v>1649</v>
      </c>
      <c r="E15" s="545"/>
      <c r="F15" s="490"/>
      <c r="G15" s="501"/>
      <c r="H15" s="546">
        <v>136</v>
      </c>
      <c r="I15" s="491">
        <f t="shared" ref="I15:I33" si="1">G15*H15</f>
        <v>0</v>
      </c>
    </row>
    <row r="16" spans="2:9" x14ac:dyDescent="0.2">
      <c r="B16" s="348" t="s">
        <v>1650</v>
      </c>
      <c r="C16" s="547" t="s">
        <v>1651</v>
      </c>
      <c r="D16" s="223" t="s">
        <v>1652</v>
      </c>
      <c r="E16" s="545"/>
      <c r="F16" s="490"/>
      <c r="G16" s="501"/>
      <c r="H16" s="546">
        <v>38</v>
      </c>
      <c r="I16" s="491">
        <f t="shared" si="1"/>
        <v>0</v>
      </c>
    </row>
    <row r="17" spans="2:9" x14ac:dyDescent="0.2">
      <c r="B17" s="348" t="s">
        <v>1653</v>
      </c>
      <c r="C17" s="547" t="s">
        <v>1654</v>
      </c>
      <c r="D17" s="223" t="s">
        <v>1655</v>
      </c>
      <c r="E17" s="545"/>
      <c r="F17" s="490"/>
      <c r="G17" s="501"/>
      <c r="H17" s="546">
        <v>52.74</v>
      </c>
      <c r="I17" s="491">
        <f t="shared" si="1"/>
        <v>0</v>
      </c>
    </row>
    <row r="18" spans="2:9" x14ac:dyDescent="0.2">
      <c r="B18" s="348" t="s">
        <v>1656</v>
      </c>
      <c r="C18" s="547" t="s">
        <v>1657</v>
      </c>
      <c r="D18" s="223" t="s">
        <v>94</v>
      </c>
      <c r="E18" s="545"/>
      <c r="F18" s="490"/>
      <c r="G18" s="501"/>
      <c r="H18" s="546">
        <v>18</v>
      </c>
      <c r="I18" s="491">
        <f t="shared" si="1"/>
        <v>0</v>
      </c>
    </row>
    <row r="19" spans="2:9" x14ac:dyDescent="0.2">
      <c r="B19" s="348" t="s">
        <v>1658</v>
      </c>
      <c r="C19" s="547" t="s">
        <v>1659</v>
      </c>
      <c r="D19" s="223" t="s">
        <v>1660</v>
      </c>
      <c r="E19" s="545"/>
      <c r="F19" s="490"/>
      <c r="G19" s="501"/>
      <c r="H19" s="546">
        <v>44</v>
      </c>
      <c r="I19" s="491">
        <f t="shared" si="1"/>
        <v>0</v>
      </c>
    </row>
    <row r="20" spans="2:9" x14ac:dyDescent="0.2">
      <c r="B20" s="348" t="s">
        <v>1661</v>
      </c>
      <c r="C20" s="547" t="s">
        <v>1662</v>
      </c>
      <c r="D20" s="223"/>
      <c r="E20" s="545"/>
      <c r="F20" s="490"/>
      <c r="G20" s="501"/>
      <c r="H20" s="546">
        <v>44</v>
      </c>
      <c r="I20" s="491">
        <f t="shared" si="1"/>
        <v>0</v>
      </c>
    </row>
    <row r="21" spans="2:9" x14ac:dyDescent="0.2">
      <c r="B21" s="548" t="s">
        <v>1663</v>
      </c>
      <c r="C21" s="549" t="s">
        <v>1659</v>
      </c>
      <c r="D21" s="223" t="s">
        <v>1664</v>
      </c>
      <c r="E21" s="545"/>
      <c r="F21" s="490"/>
      <c r="G21" s="501"/>
      <c r="H21" s="546">
        <v>74</v>
      </c>
      <c r="I21" s="491">
        <f t="shared" si="1"/>
        <v>0</v>
      </c>
    </row>
    <row r="22" spans="2:9" x14ac:dyDescent="0.2">
      <c r="B22" s="548" t="s">
        <v>1665</v>
      </c>
      <c r="C22" s="549" t="s">
        <v>1666</v>
      </c>
      <c r="D22" s="223" t="s">
        <v>1552</v>
      </c>
      <c r="E22" s="545"/>
      <c r="F22" s="490"/>
      <c r="G22" s="501"/>
      <c r="H22" s="546">
        <v>5.04</v>
      </c>
      <c r="I22" s="491">
        <f t="shared" si="1"/>
        <v>0</v>
      </c>
    </row>
    <row r="23" spans="2:9" x14ac:dyDescent="0.2">
      <c r="B23" s="348" t="s">
        <v>1667</v>
      </c>
      <c r="C23" s="585" t="s">
        <v>1505</v>
      </c>
      <c r="D23" s="586" t="s">
        <v>1668</v>
      </c>
      <c r="E23" s="545"/>
      <c r="F23" s="490"/>
      <c r="G23" s="501"/>
      <c r="H23" s="546">
        <v>24</v>
      </c>
      <c r="I23" s="491">
        <f t="shared" si="1"/>
        <v>0</v>
      </c>
    </row>
    <row r="24" spans="2:9" x14ac:dyDescent="0.2">
      <c r="B24" s="348" t="s">
        <v>1669</v>
      </c>
      <c r="C24" s="585" t="s">
        <v>1507</v>
      </c>
      <c r="D24" s="586" t="s">
        <v>1668</v>
      </c>
      <c r="E24" s="545"/>
      <c r="F24" s="490"/>
      <c r="G24" s="501"/>
      <c r="H24" s="546">
        <v>24</v>
      </c>
      <c r="I24" s="491">
        <f t="shared" si="1"/>
        <v>0</v>
      </c>
    </row>
    <row r="25" spans="2:9" x14ac:dyDescent="0.2">
      <c r="B25" s="348" t="s">
        <v>1670</v>
      </c>
      <c r="C25" s="585" t="s">
        <v>1509</v>
      </c>
      <c r="D25" s="586" t="s">
        <v>1668</v>
      </c>
      <c r="E25" s="545"/>
      <c r="F25" s="490"/>
      <c r="G25" s="501"/>
      <c r="H25" s="546">
        <v>24</v>
      </c>
      <c r="I25" s="491">
        <f t="shared" si="1"/>
        <v>0</v>
      </c>
    </row>
    <row r="26" spans="2:9" x14ac:dyDescent="0.2">
      <c r="B26" s="348" t="s">
        <v>1671</v>
      </c>
      <c r="C26" s="547" t="s">
        <v>1634</v>
      </c>
      <c r="D26" s="223" t="s">
        <v>1672</v>
      </c>
      <c r="E26" s="545"/>
      <c r="F26" s="490"/>
      <c r="G26" s="501"/>
      <c r="H26" s="546">
        <v>102</v>
      </c>
      <c r="I26" s="491">
        <f t="shared" si="1"/>
        <v>0</v>
      </c>
    </row>
    <row r="27" spans="2:9" x14ac:dyDescent="0.2">
      <c r="B27" s="348" t="s">
        <v>1673</v>
      </c>
      <c r="C27" s="547" t="s">
        <v>1674</v>
      </c>
      <c r="D27" s="223" t="s">
        <v>1675</v>
      </c>
      <c r="E27" s="545"/>
      <c r="F27" s="490"/>
      <c r="G27" s="501"/>
      <c r="H27" s="546">
        <v>178</v>
      </c>
      <c r="I27" s="491">
        <f t="shared" si="1"/>
        <v>0</v>
      </c>
    </row>
    <row r="28" spans="2:9" x14ac:dyDescent="0.2">
      <c r="B28" s="348" t="s">
        <v>1676</v>
      </c>
      <c r="C28" s="547" t="s">
        <v>1677</v>
      </c>
      <c r="D28" s="223" t="s">
        <v>1675</v>
      </c>
      <c r="E28" s="545"/>
      <c r="F28" s="490"/>
      <c r="G28" s="501"/>
      <c r="H28" s="546">
        <v>131.04</v>
      </c>
      <c r="I28" s="491">
        <f t="shared" si="1"/>
        <v>0</v>
      </c>
    </row>
    <row r="29" spans="2:9" x14ac:dyDescent="0.2">
      <c r="B29" s="348" t="s">
        <v>1678</v>
      </c>
      <c r="C29" s="547" t="s">
        <v>1679</v>
      </c>
      <c r="D29" s="223" t="s">
        <v>94</v>
      </c>
      <c r="E29" s="545"/>
      <c r="F29" s="490"/>
      <c r="G29" s="501"/>
      <c r="H29" s="546">
        <v>5.12</v>
      </c>
      <c r="I29" s="491">
        <f t="shared" si="1"/>
        <v>0</v>
      </c>
    </row>
    <row r="30" spans="2:9" x14ac:dyDescent="0.2">
      <c r="B30" s="548" t="s">
        <v>1680</v>
      </c>
      <c r="C30" s="547" t="s">
        <v>1681</v>
      </c>
      <c r="D30" s="223" t="s">
        <v>1682</v>
      </c>
      <c r="E30" s="545"/>
      <c r="F30" s="490"/>
      <c r="G30" s="501"/>
      <c r="H30" s="546">
        <v>33.28</v>
      </c>
      <c r="I30" s="491">
        <f t="shared" si="1"/>
        <v>0</v>
      </c>
    </row>
    <row r="31" spans="2:9" x14ac:dyDescent="0.2">
      <c r="B31" s="348" t="s">
        <v>1683</v>
      </c>
      <c r="C31" s="547" t="s">
        <v>1684</v>
      </c>
      <c r="D31" s="223" t="s">
        <v>1664</v>
      </c>
      <c r="E31" s="545"/>
      <c r="F31" s="490"/>
      <c r="G31" s="501"/>
      <c r="H31" s="546">
        <v>74</v>
      </c>
      <c r="I31" s="491">
        <f t="shared" ref="I31:I32" si="2">G31*H31</f>
        <v>0</v>
      </c>
    </row>
    <row r="32" spans="2:9" x14ac:dyDescent="0.2">
      <c r="B32" s="348" t="s">
        <v>1685</v>
      </c>
      <c r="C32" s="547" t="s">
        <v>1686</v>
      </c>
      <c r="D32" s="223" t="s">
        <v>1643</v>
      </c>
      <c r="E32" s="545"/>
      <c r="F32" s="490"/>
      <c r="G32" s="501"/>
      <c r="H32" s="546">
        <v>52</v>
      </c>
      <c r="I32" s="491">
        <f t="shared" si="2"/>
        <v>0</v>
      </c>
    </row>
    <row r="33" spans="2:9" x14ac:dyDescent="0.2">
      <c r="B33" s="615" t="s">
        <v>1687</v>
      </c>
      <c r="C33" s="616" t="s">
        <v>1688</v>
      </c>
      <c r="D33" s="223" t="s">
        <v>1682</v>
      </c>
      <c r="E33" s="545"/>
      <c r="F33" s="490"/>
      <c r="G33" s="501"/>
      <c r="H33" s="546">
        <v>37.97</v>
      </c>
      <c r="I33" s="491">
        <f t="shared" si="1"/>
        <v>0</v>
      </c>
    </row>
    <row r="34" spans="2:9" ht="17" thickBot="1" x14ac:dyDescent="0.25">
      <c r="B34" s="695"/>
      <c r="C34" s="696"/>
      <c r="D34" s="696"/>
      <c r="E34" s="696"/>
      <c r="F34" s="696"/>
      <c r="G34" s="696"/>
      <c r="H34" s="697"/>
      <c r="I34" s="583">
        <f>SUM(I10:I33)</f>
        <v>0</v>
      </c>
    </row>
  </sheetData>
  <mergeCells count="10">
    <mergeCell ref="C6:D6"/>
    <mergeCell ref="C7:D7"/>
    <mergeCell ref="C8:D8"/>
    <mergeCell ref="B34:H34"/>
    <mergeCell ref="B2:D2"/>
    <mergeCell ref="F2:G2"/>
    <mergeCell ref="C3:D3"/>
    <mergeCell ref="F3:G3"/>
    <mergeCell ref="C4:D4"/>
    <mergeCell ref="C5:D5"/>
  </mergeCells>
  <pageMargins left="0.23622047244094491" right="0.23622047244094491" top="0.74803149606299213" bottom="0.74803149606299213" header="0.31496062992125984" footer="0.31496062992125984"/>
  <pageSetup paperSize="9" scale="59" fitToHeight="2" orientation="portrait" r:id="rId1"/>
  <headerFooter>
    <oddFooter>&amp;L&amp;P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82FEC-AB28-EC4F-AAE2-E685C1FE7264}">
  <sheetPr>
    <tabColor rgb="FFFF0000"/>
    <pageSetUpPr fitToPage="1"/>
  </sheetPr>
  <dimension ref="A1:BE138"/>
  <sheetViews>
    <sheetView topLeftCell="A3" zoomScaleNormal="100" workbookViewId="0">
      <selection activeCell="H12" sqref="H12:H47"/>
    </sheetView>
  </sheetViews>
  <sheetFormatPr baseColWidth="10" defaultColWidth="8.6640625" defaultRowHeight="16" x14ac:dyDescent="0.2"/>
  <cols>
    <col min="1" max="1" width="8.6640625" style="33" customWidth="1"/>
    <col min="2" max="2" width="42" style="111" bestFit="1" customWidth="1"/>
    <col min="3" max="3" width="24.1640625" style="111" customWidth="1"/>
    <col min="4" max="4" width="16" style="111" bestFit="1" customWidth="1"/>
    <col min="5" max="5" width="15.6640625" style="111" customWidth="1"/>
    <col min="6" max="6" width="15.6640625" style="292" customWidth="1"/>
    <col min="7" max="7" width="15.6640625" style="293" customWidth="1"/>
    <col min="8" max="8" width="12.6640625" style="294" customWidth="1"/>
    <col min="9" max="9" width="15" style="111" customWidth="1"/>
    <col min="10" max="10" width="12.6640625" style="33" customWidth="1"/>
    <col min="11" max="57" width="8.6640625" style="33"/>
    <col min="58" max="16384" width="8.6640625" style="111"/>
  </cols>
  <sheetData>
    <row r="1" spans="1:57" s="33" customFormat="1" ht="17" thickBot="1" x14ac:dyDescent="0.25"/>
    <row r="2" spans="1:57" s="33" customFormat="1" ht="15.5" customHeight="1" x14ac:dyDescent="0.2">
      <c r="B2" s="704"/>
      <c r="C2" s="705"/>
      <c r="D2" s="706"/>
      <c r="F2" s="699" t="s">
        <v>61</v>
      </c>
      <c r="G2" s="699"/>
    </row>
    <row r="3" spans="1:57" s="33" customFormat="1" ht="16" customHeight="1" x14ac:dyDescent="0.2">
      <c r="B3" s="69" t="s">
        <v>62</v>
      </c>
      <c r="C3" s="667"/>
      <c r="D3" s="707"/>
      <c r="F3" s="700" t="str">
        <f>COVER!C9</f>
        <v>ian.shotam@programmed.com.au</v>
      </c>
      <c r="G3" s="701"/>
    </row>
    <row r="4" spans="1:57" s="33" customFormat="1" ht="15.5" customHeight="1" x14ac:dyDescent="0.2">
      <c r="B4" s="69" t="str">
        <f>COVER!B12</f>
        <v>SITE</v>
      </c>
      <c r="C4" s="668" t="str">
        <f>COVER!C12</f>
        <v>GOLDEN GROVE</v>
      </c>
      <c r="D4" s="710"/>
      <c r="F4" s="702"/>
      <c r="G4" s="703"/>
    </row>
    <row r="5" spans="1:57" s="33" customFormat="1" ht="16" customHeight="1" x14ac:dyDescent="0.2">
      <c r="B5" s="69" t="str">
        <f>COVER!B13</f>
        <v>MANAGERS NAME</v>
      </c>
      <c r="C5" s="668" t="str">
        <f>COVER!C13</f>
        <v>Ian Shotam</v>
      </c>
      <c r="D5" s="710"/>
      <c r="F5" s="708"/>
      <c r="G5" s="709"/>
    </row>
    <row r="6" spans="1:57" s="33" customFormat="1" x14ac:dyDescent="0.2">
      <c r="B6" s="69" t="str">
        <f>COVER!B14</f>
        <v>DATE - ORDER PLACED</v>
      </c>
      <c r="C6" s="665">
        <f>COVER!C14</f>
        <v>45082</v>
      </c>
      <c r="D6" s="711"/>
    </row>
    <row r="7" spans="1:57" s="33" customFormat="1" ht="34" x14ac:dyDescent="0.2">
      <c r="B7" s="543" t="str">
        <f>COVER!B15</f>
        <v>DATE - DELIVERY PERTH - FREIGHT LINES, 12-26 RIVERSDALE RD, WELSHPOOL WA 6100</v>
      </c>
      <c r="C7" s="665">
        <f>COVER!C15</f>
        <v>45085</v>
      </c>
      <c r="D7" s="711"/>
    </row>
    <row r="8" spans="1:57" s="33" customFormat="1" x14ac:dyDescent="0.2">
      <c r="B8" s="69" t="str">
        <f>COVER!B16</f>
        <v>DATE - ESTIMATED ARRIVAL SITE</v>
      </c>
      <c r="C8" s="665">
        <f>COVER!C16</f>
        <v>45086</v>
      </c>
      <c r="D8" s="711"/>
      <c r="F8" s="268"/>
      <c r="G8" s="269"/>
      <c r="H8" s="270"/>
    </row>
    <row r="9" spans="1:57" s="33" customFormat="1" ht="17" thickBot="1" x14ac:dyDescent="0.25">
      <c r="B9" s="47"/>
      <c r="C9" s="271"/>
      <c r="D9" s="271"/>
      <c r="F9" s="272"/>
      <c r="G9" s="273"/>
      <c r="H9" s="270"/>
      <c r="I9" s="274"/>
    </row>
    <row r="10" spans="1:57" s="33" customFormat="1" ht="30" customHeight="1" thickBot="1" x14ac:dyDescent="0.25">
      <c r="B10" s="655" t="s">
        <v>38</v>
      </c>
      <c r="C10" s="676"/>
      <c r="D10" s="676"/>
      <c r="E10" s="676"/>
      <c r="F10" s="676"/>
      <c r="G10" s="676"/>
      <c r="H10" s="676"/>
      <c r="I10" s="698"/>
    </row>
    <row r="11" spans="1:57" s="281" customFormat="1" ht="35" thickBot="1" x14ac:dyDescent="0.25">
      <c r="A11" s="275"/>
      <c r="B11" s="276" t="s">
        <v>38</v>
      </c>
      <c r="C11" s="277" t="s">
        <v>65</v>
      </c>
      <c r="D11" s="278" t="s">
        <v>66</v>
      </c>
      <c r="E11" s="278" t="s">
        <v>67</v>
      </c>
      <c r="F11" s="278" t="s">
        <v>68</v>
      </c>
      <c r="G11" s="278" t="s">
        <v>69</v>
      </c>
      <c r="H11" s="279" t="s">
        <v>70</v>
      </c>
      <c r="I11" s="280" t="s">
        <v>25</v>
      </c>
      <c r="J11" s="275"/>
      <c r="K11" s="275"/>
      <c r="L11" s="275"/>
      <c r="M11" s="275"/>
      <c r="N11" s="275"/>
      <c r="O11" s="275"/>
      <c r="P11" s="275"/>
      <c r="Q11" s="275"/>
      <c r="R11" s="275"/>
      <c r="S11" s="275"/>
      <c r="T11" s="275"/>
      <c r="U11" s="275"/>
      <c r="V11" s="275"/>
      <c r="W11" s="275"/>
      <c r="X11" s="275"/>
      <c r="Y11" s="275"/>
      <c r="Z11" s="275"/>
      <c r="AA11" s="275"/>
      <c r="AB11" s="275"/>
      <c r="AC11" s="275"/>
      <c r="AD11" s="275"/>
      <c r="AE11" s="275"/>
      <c r="AF11" s="275"/>
      <c r="AG11" s="275"/>
      <c r="AH11" s="275"/>
      <c r="AI11" s="275"/>
      <c r="AJ11" s="275"/>
      <c r="AK11" s="275"/>
      <c r="AL11" s="275"/>
      <c r="AM11" s="275"/>
      <c r="AN11" s="275"/>
      <c r="AO11" s="275"/>
      <c r="AP11" s="275"/>
      <c r="AQ11" s="275"/>
      <c r="AR11" s="275"/>
      <c r="AS11" s="275"/>
      <c r="AT11" s="275"/>
      <c r="AU11" s="275"/>
      <c r="AV11" s="275"/>
      <c r="AW11" s="275"/>
      <c r="AX11" s="275"/>
      <c r="AY11" s="275"/>
      <c r="AZ11" s="275"/>
      <c r="BA11" s="275"/>
      <c r="BB11" s="275"/>
      <c r="BC11" s="275"/>
      <c r="BD11" s="275"/>
      <c r="BE11" s="275"/>
    </row>
    <row r="12" spans="1:57" x14ac:dyDescent="0.2">
      <c r="B12" s="53" t="s">
        <v>1689</v>
      </c>
      <c r="C12" s="106" t="s">
        <v>1654</v>
      </c>
      <c r="D12" s="282"/>
      <c r="E12" s="3"/>
      <c r="F12" s="3"/>
      <c r="G12" s="17"/>
      <c r="H12" s="90">
        <v>52.74</v>
      </c>
      <c r="I12" s="283">
        <f t="shared" ref="I12:I33" si="0">G12*H12</f>
        <v>0</v>
      </c>
      <c r="J12" s="270"/>
      <c r="BB12" s="111"/>
      <c r="BC12" s="111"/>
      <c r="BD12" s="111"/>
      <c r="BE12" s="111"/>
    </row>
    <row r="13" spans="1:57" x14ac:dyDescent="0.2">
      <c r="A13" s="33" t="s">
        <v>1690</v>
      </c>
      <c r="B13" s="53" t="s">
        <v>1691</v>
      </c>
      <c r="C13" s="106" t="s">
        <v>1677</v>
      </c>
      <c r="D13" s="282"/>
      <c r="E13" s="3"/>
      <c r="F13" s="3"/>
      <c r="G13" s="17"/>
      <c r="H13" s="92">
        <v>131.04</v>
      </c>
      <c r="I13" s="283">
        <f t="shared" si="0"/>
        <v>0</v>
      </c>
    </row>
    <row r="14" spans="1:57" x14ac:dyDescent="0.2">
      <c r="A14" s="33" t="s">
        <v>1690</v>
      </c>
      <c r="B14" s="53" t="s">
        <v>1692</v>
      </c>
      <c r="C14" s="106" t="s">
        <v>1674</v>
      </c>
      <c r="D14" s="282"/>
      <c r="E14" s="3"/>
      <c r="F14" s="3"/>
      <c r="G14" s="17"/>
      <c r="H14" s="92">
        <v>178</v>
      </c>
      <c r="I14" s="283">
        <f t="shared" si="0"/>
        <v>0</v>
      </c>
    </row>
    <row r="15" spans="1:57" x14ac:dyDescent="0.2">
      <c r="A15" s="33" t="s">
        <v>1690</v>
      </c>
      <c r="B15" s="53" t="s">
        <v>1693</v>
      </c>
      <c r="C15" s="581" t="s">
        <v>1694</v>
      </c>
      <c r="D15" s="282"/>
      <c r="E15" s="3"/>
      <c r="F15" s="3"/>
      <c r="G15" s="17"/>
      <c r="H15" s="92">
        <v>192.48</v>
      </c>
      <c r="I15" s="283">
        <f t="shared" si="0"/>
        <v>0</v>
      </c>
    </row>
    <row r="16" spans="1:57" x14ac:dyDescent="0.2">
      <c r="A16" s="33" t="s">
        <v>1690</v>
      </c>
      <c r="B16" s="53" t="s">
        <v>1695</v>
      </c>
      <c r="C16" s="106" t="s">
        <v>1696</v>
      </c>
      <c r="D16" s="282"/>
      <c r="E16" s="3"/>
      <c r="F16" s="3"/>
      <c r="G16" s="17"/>
      <c r="H16" s="92">
        <v>120.22</v>
      </c>
      <c r="I16" s="283">
        <f t="shared" si="0"/>
        <v>0</v>
      </c>
    </row>
    <row r="17" spans="1:57" x14ac:dyDescent="0.2">
      <c r="A17" s="33" t="s">
        <v>1690</v>
      </c>
      <c r="B17" s="53" t="s">
        <v>1697</v>
      </c>
      <c r="C17" s="106" t="s">
        <v>1698</v>
      </c>
      <c r="D17" s="282"/>
      <c r="E17" s="3"/>
      <c r="F17" s="3"/>
      <c r="G17" s="17"/>
      <c r="H17" s="92">
        <v>77.422363489160148</v>
      </c>
      <c r="I17" s="283">
        <f t="shared" si="0"/>
        <v>0</v>
      </c>
    </row>
    <row r="18" spans="1:57" x14ac:dyDescent="0.2">
      <c r="A18" s="33" t="s">
        <v>1690</v>
      </c>
      <c r="B18" s="53" t="s">
        <v>1699</v>
      </c>
      <c r="C18" s="106" t="s">
        <v>1700</v>
      </c>
      <c r="D18" s="282"/>
      <c r="E18" s="3"/>
      <c r="F18" s="3"/>
      <c r="G18" s="17"/>
      <c r="H18" s="92">
        <v>166.4</v>
      </c>
      <c r="I18" s="283">
        <f t="shared" si="0"/>
        <v>0</v>
      </c>
    </row>
    <row r="19" spans="1:57" x14ac:dyDescent="0.2">
      <c r="A19" s="33" t="s">
        <v>1690</v>
      </c>
      <c r="B19" s="53" t="s">
        <v>1701</v>
      </c>
      <c r="C19" s="106" t="s">
        <v>1702</v>
      </c>
      <c r="D19" s="282"/>
      <c r="E19" s="3"/>
      <c r="F19" s="3"/>
      <c r="G19" s="17"/>
      <c r="H19" s="92">
        <v>149.86000000000001</v>
      </c>
      <c r="I19" s="283">
        <f t="shared" si="0"/>
        <v>0</v>
      </c>
    </row>
    <row r="20" spans="1:57" x14ac:dyDescent="0.2">
      <c r="A20" s="33" t="s">
        <v>1690</v>
      </c>
      <c r="B20" s="53" t="s">
        <v>1703</v>
      </c>
      <c r="C20" s="106" t="s">
        <v>1704</v>
      </c>
      <c r="D20" s="282"/>
      <c r="E20" s="3"/>
      <c r="F20" s="3"/>
      <c r="G20" s="17"/>
      <c r="H20" s="92">
        <v>404</v>
      </c>
      <c r="I20" s="283">
        <f t="shared" si="0"/>
        <v>0</v>
      </c>
    </row>
    <row r="21" spans="1:57" x14ac:dyDescent="0.2">
      <c r="A21" s="33" t="s">
        <v>1690</v>
      </c>
      <c r="B21" s="53" t="s">
        <v>1705</v>
      </c>
      <c r="C21" s="106" t="s">
        <v>1706</v>
      </c>
      <c r="D21" s="282"/>
      <c r="E21" s="3"/>
      <c r="F21" s="3"/>
      <c r="G21" s="17"/>
      <c r="H21" s="92">
        <v>346.00387158912162</v>
      </c>
      <c r="I21" s="283">
        <f t="shared" si="0"/>
        <v>0</v>
      </c>
    </row>
    <row r="22" spans="1:57" x14ac:dyDescent="0.2">
      <c r="A22" s="33" t="s">
        <v>1690</v>
      </c>
      <c r="B22" s="53" t="s">
        <v>1707</v>
      </c>
      <c r="C22" s="106" t="s">
        <v>1708</v>
      </c>
      <c r="D22" s="282"/>
      <c r="E22" s="3"/>
      <c r="F22" s="3"/>
      <c r="G22" s="17"/>
      <c r="H22" s="90">
        <v>31.007614050000004</v>
      </c>
      <c r="I22" s="283">
        <f t="shared" si="0"/>
        <v>0</v>
      </c>
    </row>
    <row r="23" spans="1:57" x14ac:dyDescent="0.2">
      <c r="A23" s="33" t="s">
        <v>1690</v>
      </c>
      <c r="B23" s="53" t="s">
        <v>1709</v>
      </c>
      <c r="C23" s="106" t="s">
        <v>1710</v>
      </c>
      <c r="D23" s="282"/>
      <c r="E23" s="3"/>
      <c r="F23" s="3"/>
      <c r="G23" s="17"/>
      <c r="H23" s="90">
        <v>213.13770765106528</v>
      </c>
      <c r="I23" s="283">
        <f t="shared" si="0"/>
        <v>0</v>
      </c>
    </row>
    <row r="24" spans="1:57" x14ac:dyDescent="0.2">
      <c r="A24" s="33" t="s">
        <v>1690</v>
      </c>
      <c r="B24" s="53" t="s">
        <v>1711</v>
      </c>
      <c r="C24" s="106" t="s">
        <v>1712</v>
      </c>
      <c r="D24" s="282"/>
      <c r="E24" s="3"/>
      <c r="F24" s="3"/>
      <c r="G24" s="17"/>
      <c r="H24" s="90">
        <v>309.42002274594063</v>
      </c>
      <c r="I24" s="283">
        <f t="shared" si="0"/>
        <v>0</v>
      </c>
      <c r="L24" s="268"/>
      <c r="M24" s="269"/>
      <c r="N24" s="270"/>
    </row>
    <row r="25" spans="1:57" x14ac:dyDescent="0.2">
      <c r="A25" s="33" t="s">
        <v>1690</v>
      </c>
      <c r="B25" s="53" t="s">
        <v>1713</v>
      </c>
      <c r="C25" s="106" t="s">
        <v>1714</v>
      </c>
      <c r="D25" s="282"/>
      <c r="E25" s="3"/>
      <c r="F25" s="3"/>
      <c r="G25" s="17"/>
      <c r="H25" s="92">
        <v>54.974619000000011</v>
      </c>
      <c r="I25" s="283">
        <f t="shared" si="0"/>
        <v>0</v>
      </c>
    </row>
    <row r="26" spans="1:57" x14ac:dyDescent="0.2">
      <c r="A26" s="33" t="s">
        <v>1690</v>
      </c>
      <c r="B26" s="53" t="s">
        <v>1715</v>
      </c>
      <c r="C26" s="106" t="s">
        <v>1716</v>
      </c>
      <c r="D26" s="282"/>
      <c r="E26" s="3"/>
      <c r="F26" s="3"/>
      <c r="G26" s="17"/>
      <c r="H26" s="90">
        <v>76.531499999999994</v>
      </c>
      <c r="I26" s="283">
        <f t="shared" si="0"/>
        <v>0</v>
      </c>
      <c r="BB26" s="111"/>
      <c r="BC26" s="111"/>
      <c r="BD26" s="111"/>
      <c r="BE26" s="111"/>
    </row>
    <row r="27" spans="1:57" x14ac:dyDescent="0.2">
      <c r="A27" s="33" t="s">
        <v>1690</v>
      </c>
      <c r="B27" s="53" t="s">
        <v>1717</v>
      </c>
      <c r="C27" s="106" t="s">
        <v>1718</v>
      </c>
      <c r="D27" s="282"/>
      <c r="E27" s="3"/>
      <c r="F27" s="3"/>
      <c r="G27" s="17"/>
      <c r="H27" s="90">
        <v>128.38127400000002</v>
      </c>
      <c r="I27" s="283">
        <f t="shared" si="0"/>
        <v>0</v>
      </c>
      <c r="BB27" s="111"/>
      <c r="BC27" s="111"/>
      <c r="BD27" s="111"/>
      <c r="BE27" s="111"/>
    </row>
    <row r="28" spans="1:57" x14ac:dyDescent="0.2">
      <c r="A28" s="33" t="s">
        <v>1690</v>
      </c>
      <c r="B28" s="53" t="s">
        <v>1719</v>
      </c>
      <c r="C28" s="106" t="s">
        <v>1720</v>
      </c>
      <c r="D28" s="282"/>
      <c r="E28" s="3"/>
      <c r="F28" s="3"/>
      <c r="G28" s="17"/>
      <c r="H28" s="90">
        <v>230.25403030425346</v>
      </c>
      <c r="I28" s="283">
        <f t="shared" si="0"/>
        <v>0</v>
      </c>
      <c r="BB28" s="111"/>
      <c r="BC28" s="111"/>
      <c r="BD28" s="111"/>
      <c r="BE28" s="111"/>
    </row>
    <row r="29" spans="1:57" x14ac:dyDescent="0.2">
      <c r="A29" s="33" t="s">
        <v>1690</v>
      </c>
      <c r="B29" s="53" t="s">
        <v>1721</v>
      </c>
      <c r="C29" s="106" t="s">
        <v>1722</v>
      </c>
      <c r="D29" s="282"/>
      <c r="E29" s="3"/>
      <c r="F29" s="3"/>
      <c r="G29" s="17"/>
      <c r="H29" s="92">
        <v>91.624999999999986</v>
      </c>
      <c r="I29" s="283">
        <f t="shared" si="0"/>
        <v>0</v>
      </c>
    </row>
    <row r="30" spans="1:57" x14ac:dyDescent="0.2">
      <c r="A30" s="33" t="s">
        <v>1690</v>
      </c>
      <c r="B30" s="97" t="s">
        <v>1723</v>
      </c>
      <c r="C30" s="100" t="s">
        <v>1724</v>
      </c>
      <c r="D30" s="284"/>
      <c r="E30" s="3"/>
      <c r="F30" s="3"/>
      <c r="G30" s="17"/>
      <c r="H30" s="92">
        <v>122.16582</v>
      </c>
      <c r="I30" s="283">
        <f t="shared" si="0"/>
        <v>0</v>
      </c>
    </row>
    <row r="31" spans="1:57" x14ac:dyDescent="0.2">
      <c r="A31" s="33" t="s">
        <v>1690</v>
      </c>
      <c r="B31" s="97" t="s">
        <v>1725</v>
      </c>
      <c r="C31" s="100" t="s">
        <v>1726</v>
      </c>
      <c r="D31" s="284"/>
      <c r="E31" s="3"/>
      <c r="F31" s="3"/>
      <c r="G31" s="17"/>
      <c r="H31" s="92">
        <v>366.48</v>
      </c>
      <c r="I31" s="283">
        <f t="shared" si="0"/>
        <v>0</v>
      </c>
    </row>
    <row r="32" spans="1:57" x14ac:dyDescent="0.2">
      <c r="A32" s="33" t="s">
        <v>1690</v>
      </c>
      <c r="B32" s="97" t="s">
        <v>1727</v>
      </c>
      <c r="C32" s="100" t="s">
        <v>1728</v>
      </c>
      <c r="D32" s="284"/>
      <c r="E32" s="3"/>
      <c r="F32" s="3"/>
      <c r="G32" s="17"/>
      <c r="H32" s="92">
        <v>404.87531404394201</v>
      </c>
      <c r="I32" s="283">
        <f t="shared" si="0"/>
        <v>0</v>
      </c>
    </row>
    <row r="33" spans="2:9" x14ac:dyDescent="0.2">
      <c r="B33" s="97"/>
      <c r="C33" s="100"/>
      <c r="D33" s="284"/>
      <c r="E33" s="3"/>
      <c r="F33" s="3"/>
      <c r="G33" s="17"/>
      <c r="H33" s="92"/>
      <c r="I33" s="283">
        <f t="shared" si="0"/>
        <v>0</v>
      </c>
    </row>
    <row r="34" spans="2:9" x14ac:dyDescent="0.2">
      <c r="B34" s="97" t="s">
        <v>1729</v>
      </c>
      <c r="C34" s="100" t="s">
        <v>1730</v>
      </c>
      <c r="D34" s="101" t="s">
        <v>94</v>
      </c>
      <c r="E34" s="3"/>
      <c r="F34" s="3"/>
      <c r="G34" s="17"/>
      <c r="H34" s="92">
        <v>16</v>
      </c>
      <c r="I34" s="283">
        <f>G34*H34</f>
        <v>0</v>
      </c>
    </row>
    <row r="35" spans="2:9" x14ac:dyDescent="0.2">
      <c r="B35" s="97"/>
      <c r="C35" s="100"/>
      <c r="D35" s="101"/>
      <c r="E35" s="3"/>
      <c r="F35" s="3"/>
      <c r="G35" s="17"/>
      <c r="H35" s="92"/>
      <c r="I35" s="283">
        <f t="shared" ref="I35:I39" si="1">G35*H35</f>
        <v>0</v>
      </c>
    </row>
    <row r="36" spans="2:9" x14ac:dyDescent="0.2">
      <c r="B36" s="97" t="s">
        <v>1653</v>
      </c>
      <c r="C36" s="100" t="s">
        <v>1654</v>
      </c>
      <c r="D36" s="101" t="s">
        <v>1655</v>
      </c>
      <c r="E36" s="3"/>
      <c r="F36" s="3"/>
      <c r="G36" s="17"/>
      <c r="H36" s="92">
        <v>52.74</v>
      </c>
      <c r="I36" s="283">
        <f t="shared" si="1"/>
        <v>0</v>
      </c>
    </row>
    <row r="37" spans="2:9" x14ac:dyDescent="0.2">
      <c r="B37" s="97"/>
      <c r="C37" s="100"/>
      <c r="D37" s="101"/>
      <c r="E37" s="3"/>
      <c r="F37" s="3"/>
      <c r="G37" s="17"/>
      <c r="H37" s="92"/>
      <c r="I37" s="283">
        <f t="shared" si="1"/>
        <v>0</v>
      </c>
    </row>
    <row r="38" spans="2:9" x14ac:dyDescent="0.2">
      <c r="B38" s="97" t="s">
        <v>1731</v>
      </c>
      <c r="C38" s="100" t="s">
        <v>1732</v>
      </c>
      <c r="D38" s="101" t="s">
        <v>1655</v>
      </c>
      <c r="E38" s="3"/>
      <c r="F38" s="3"/>
      <c r="G38" s="17"/>
      <c r="H38" s="92">
        <v>186</v>
      </c>
      <c r="I38" s="283">
        <f t="shared" si="1"/>
        <v>0</v>
      </c>
    </row>
    <row r="39" spans="2:9" x14ac:dyDescent="0.2">
      <c r="B39" s="97"/>
      <c r="C39" s="284"/>
      <c r="D39" s="284"/>
      <c r="E39" s="3"/>
      <c r="F39" s="3"/>
      <c r="G39" s="17"/>
      <c r="H39" s="92"/>
      <c r="I39" s="283">
        <f t="shared" si="1"/>
        <v>0</v>
      </c>
    </row>
    <row r="40" spans="2:9" x14ac:dyDescent="0.2">
      <c r="B40" s="97" t="s">
        <v>1733</v>
      </c>
      <c r="C40" s="582" t="s">
        <v>1734</v>
      </c>
      <c r="D40" s="284"/>
      <c r="E40" s="3"/>
      <c r="F40" s="3"/>
      <c r="G40" s="17"/>
      <c r="H40" s="92">
        <v>56.2</v>
      </c>
      <c r="I40" s="283">
        <f t="shared" ref="I40:I47" si="2">G40*H40</f>
        <v>0</v>
      </c>
    </row>
    <row r="41" spans="2:9" x14ac:dyDescent="0.2">
      <c r="B41" s="97" t="s">
        <v>1735</v>
      </c>
      <c r="C41" s="101" t="s">
        <v>1730</v>
      </c>
      <c r="D41" s="284"/>
      <c r="E41" s="3"/>
      <c r="F41" s="3"/>
      <c r="G41" s="17"/>
      <c r="H41" s="92">
        <v>16</v>
      </c>
      <c r="I41" s="283">
        <f t="shared" si="2"/>
        <v>0</v>
      </c>
    </row>
    <row r="42" spans="2:9" x14ac:dyDescent="0.2">
      <c r="B42" s="97" t="s">
        <v>1736</v>
      </c>
      <c r="C42" s="101" t="s">
        <v>1737</v>
      </c>
      <c r="D42" s="284"/>
      <c r="E42" s="3"/>
      <c r="F42" s="3"/>
      <c r="G42" s="17"/>
      <c r="H42" s="92">
        <v>66</v>
      </c>
      <c r="I42" s="283">
        <f t="shared" si="2"/>
        <v>0</v>
      </c>
    </row>
    <row r="43" spans="2:9" x14ac:dyDescent="0.2">
      <c r="B43" s="97"/>
      <c r="C43" s="284"/>
      <c r="D43" s="284"/>
      <c r="E43" s="3"/>
      <c r="F43" s="3"/>
      <c r="G43" s="17"/>
      <c r="H43" s="92"/>
      <c r="I43" s="283">
        <f t="shared" si="2"/>
        <v>0</v>
      </c>
    </row>
    <row r="44" spans="2:9" x14ac:dyDescent="0.2">
      <c r="B44" s="97" t="s">
        <v>1738</v>
      </c>
      <c r="C44" s="101" t="s">
        <v>1739</v>
      </c>
      <c r="D44" s="284"/>
      <c r="E44" s="3"/>
      <c r="F44" s="3"/>
      <c r="G44" s="17"/>
      <c r="H44" s="92">
        <v>133</v>
      </c>
      <c r="I44" s="283">
        <f t="shared" si="2"/>
        <v>0</v>
      </c>
    </row>
    <row r="45" spans="2:9" x14ac:dyDescent="0.2">
      <c r="B45" s="97" t="s">
        <v>1740</v>
      </c>
      <c r="C45" s="101" t="s">
        <v>1741</v>
      </c>
      <c r="D45" s="284"/>
      <c r="E45" s="3"/>
      <c r="F45" s="3"/>
      <c r="G45" s="17"/>
      <c r="H45" s="92">
        <v>133</v>
      </c>
      <c r="I45" s="283">
        <f t="shared" si="2"/>
        <v>0</v>
      </c>
    </row>
    <row r="46" spans="2:9" x14ac:dyDescent="0.2">
      <c r="B46" s="97"/>
      <c r="C46" s="101"/>
      <c r="D46" s="284"/>
      <c r="E46" s="3"/>
      <c r="F46" s="3"/>
      <c r="G46" s="17"/>
      <c r="H46" s="92"/>
      <c r="I46" s="283"/>
    </row>
    <row r="47" spans="2:9" ht="17" thickBot="1" x14ac:dyDescent="0.25">
      <c r="B47" s="97" t="s">
        <v>1742</v>
      </c>
      <c r="C47" s="101" t="s">
        <v>1743</v>
      </c>
      <c r="D47" s="284"/>
      <c r="E47" s="3"/>
      <c r="F47" s="3"/>
      <c r="G47" s="17"/>
      <c r="H47" s="92">
        <v>38</v>
      </c>
      <c r="I47" s="283">
        <f t="shared" si="2"/>
        <v>0</v>
      </c>
    </row>
    <row r="48" spans="2:9" s="33" customFormat="1" ht="17" thickBot="1" x14ac:dyDescent="0.25">
      <c r="B48" s="285"/>
      <c r="C48" s="286"/>
      <c r="D48" s="287"/>
      <c r="E48" s="288"/>
      <c r="F48" s="287"/>
      <c r="G48" s="289"/>
      <c r="H48" s="290"/>
      <c r="I48" s="291">
        <f>SUM(I12:I47)</f>
        <v>0</v>
      </c>
    </row>
    <row r="49" spans="6:8" s="33" customFormat="1" x14ac:dyDescent="0.2">
      <c r="F49" s="268"/>
      <c r="G49" s="269"/>
      <c r="H49" s="270"/>
    </row>
    <row r="50" spans="6:8" s="33" customFormat="1" x14ac:dyDescent="0.2">
      <c r="F50" s="268"/>
      <c r="G50" s="269"/>
      <c r="H50" s="270"/>
    </row>
    <row r="51" spans="6:8" s="33" customFormat="1" x14ac:dyDescent="0.2">
      <c r="F51" s="268"/>
      <c r="G51" s="269"/>
      <c r="H51" s="270"/>
    </row>
    <row r="52" spans="6:8" s="33" customFormat="1" x14ac:dyDescent="0.2">
      <c r="F52" s="268"/>
      <c r="G52" s="269"/>
      <c r="H52" s="270"/>
    </row>
    <row r="53" spans="6:8" s="33" customFormat="1" x14ac:dyDescent="0.2">
      <c r="F53" s="268"/>
      <c r="G53" s="269"/>
      <c r="H53" s="270"/>
    </row>
    <row r="54" spans="6:8" s="33" customFormat="1" x14ac:dyDescent="0.2">
      <c r="F54" s="268"/>
      <c r="G54" s="269"/>
      <c r="H54" s="270"/>
    </row>
    <row r="55" spans="6:8" s="33" customFormat="1" x14ac:dyDescent="0.2">
      <c r="F55" s="268"/>
      <c r="G55" s="269"/>
      <c r="H55" s="270"/>
    </row>
    <row r="56" spans="6:8" s="33" customFormat="1" x14ac:dyDescent="0.2">
      <c r="F56" s="268"/>
      <c r="G56" s="269"/>
      <c r="H56" s="270"/>
    </row>
    <row r="57" spans="6:8" s="33" customFormat="1" x14ac:dyDescent="0.2">
      <c r="F57" s="268"/>
      <c r="G57" s="269"/>
      <c r="H57" s="270"/>
    </row>
    <row r="58" spans="6:8" s="33" customFormat="1" x14ac:dyDescent="0.2">
      <c r="F58" s="268"/>
      <c r="G58" s="269"/>
      <c r="H58" s="270"/>
    </row>
    <row r="59" spans="6:8" s="33" customFormat="1" x14ac:dyDescent="0.2">
      <c r="F59" s="268"/>
      <c r="G59" s="269"/>
      <c r="H59" s="270"/>
    </row>
    <row r="60" spans="6:8" s="33" customFormat="1" x14ac:dyDescent="0.2">
      <c r="F60" s="268"/>
      <c r="G60" s="269"/>
      <c r="H60" s="270"/>
    </row>
    <row r="61" spans="6:8" s="33" customFormat="1" x14ac:dyDescent="0.2">
      <c r="F61" s="268"/>
      <c r="G61" s="269"/>
      <c r="H61" s="270"/>
    </row>
    <row r="62" spans="6:8" s="33" customFormat="1" x14ac:dyDescent="0.2">
      <c r="F62" s="268"/>
      <c r="G62" s="269"/>
      <c r="H62" s="270"/>
    </row>
    <row r="63" spans="6:8" s="33" customFormat="1" x14ac:dyDescent="0.2">
      <c r="F63" s="268"/>
      <c r="G63" s="269"/>
      <c r="H63" s="270"/>
    </row>
    <row r="64" spans="6:8" s="33" customFormat="1" x14ac:dyDescent="0.2">
      <c r="F64" s="268"/>
      <c r="G64" s="269"/>
      <c r="H64" s="270"/>
    </row>
    <row r="65" spans="6:8" s="33" customFormat="1" x14ac:dyDescent="0.2">
      <c r="F65" s="268"/>
      <c r="G65" s="269"/>
      <c r="H65" s="270"/>
    </row>
    <row r="66" spans="6:8" s="33" customFormat="1" x14ac:dyDescent="0.2">
      <c r="F66" s="268"/>
      <c r="G66" s="269"/>
      <c r="H66" s="270"/>
    </row>
    <row r="67" spans="6:8" s="33" customFormat="1" x14ac:dyDescent="0.2">
      <c r="F67" s="268"/>
      <c r="G67" s="269"/>
      <c r="H67" s="270"/>
    </row>
    <row r="68" spans="6:8" s="33" customFormat="1" x14ac:dyDescent="0.2">
      <c r="F68" s="268"/>
      <c r="G68" s="269"/>
      <c r="H68" s="270"/>
    </row>
    <row r="69" spans="6:8" s="33" customFormat="1" x14ac:dyDescent="0.2">
      <c r="F69" s="268"/>
      <c r="G69" s="269"/>
      <c r="H69" s="270"/>
    </row>
    <row r="70" spans="6:8" s="33" customFormat="1" x14ac:dyDescent="0.2">
      <c r="F70" s="268"/>
      <c r="G70" s="269"/>
      <c r="H70" s="270"/>
    </row>
    <row r="71" spans="6:8" s="33" customFormat="1" x14ac:dyDescent="0.2">
      <c r="F71" s="268"/>
      <c r="G71" s="269"/>
      <c r="H71" s="270"/>
    </row>
    <row r="72" spans="6:8" s="33" customFormat="1" x14ac:dyDescent="0.2">
      <c r="F72" s="268"/>
      <c r="G72" s="269"/>
      <c r="H72" s="270"/>
    </row>
    <row r="73" spans="6:8" s="33" customFormat="1" x14ac:dyDescent="0.2">
      <c r="F73" s="268"/>
      <c r="G73" s="269"/>
      <c r="H73" s="270"/>
    </row>
    <row r="74" spans="6:8" s="33" customFormat="1" x14ac:dyDescent="0.2">
      <c r="F74" s="268"/>
      <c r="G74" s="269"/>
      <c r="H74" s="270"/>
    </row>
    <row r="75" spans="6:8" s="33" customFormat="1" x14ac:dyDescent="0.2">
      <c r="F75" s="268"/>
      <c r="G75" s="269"/>
      <c r="H75" s="270"/>
    </row>
    <row r="76" spans="6:8" s="33" customFormat="1" x14ac:dyDescent="0.2">
      <c r="F76" s="268"/>
      <c r="G76" s="269"/>
      <c r="H76" s="270"/>
    </row>
    <row r="77" spans="6:8" s="33" customFormat="1" x14ac:dyDescent="0.2">
      <c r="F77" s="268"/>
      <c r="G77" s="269"/>
      <c r="H77" s="270"/>
    </row>
    <row r="78" spans="6:8" s="33" customFormat="1" x14ac:dyDescent="0.2">
      <c r="F78" s="268"/>
      <c r="G78" s="269"/>
      <c r="H78" s="270"/>
    </row>
    <row r="79" spans="6:8" s="33" customFormat="1" x14ac:dyDescent="0.2">
      <c r="F79" s="268"/>
      <c r="G79" s="269"/>
      <c r="H79" s="270"/>
    </row>
    <row r="80" spans="6:8" s="33" customFormat="1" x14ac:dyDescent="0.2">
      <c r="F80" s="268"/>
      <c r="G80" s="269"/>
      <c r="H80" s="270"/>
    </row>
    <row r="81" spans="6:8" s="33" customFormat="1" x14ac:dyDescent="0.2">
      <c r="F81" s="268"/>
      <c r="G81" s="269"/>
      <c r="H81" s="270"/>
    </row>
    <row r="82" spans="6:8" s="33" customFormat="1" x14ac:dyDescent="0.2">
      <c r="F82" s="268"/>
      <c r="G82" s="269"/>
      <c r="H82" s="270"/>
    </row>
    <row r="83" spans="6:8" s="33" customFormat="1" x14ac:dyDescent="0.2">
      <c r="F83" s="268"/>
      <c r="G83" s="269"/>
      <c r="H83" s="270"/>
    </row>
    <row r="84" spans="6:8" s="33" customFormat="1" x14ac:dyDescent="0.2">
      <c r="F84" s="268"/>
      <c r="G84" s="269"/>
      <c r="H84" s="270"/>
    </row>
    <row r="85" spans="6:8" s="33" customFormat="1" x14ac:dyDescent="0.2">
      <c r="F85" s="268"/>
      <c r="G85" s="269"/>
      <c r="H85" s="270"/>
    </row>
    <row r="86" spans="6:8" s="33" customFormat="1" x14ac:dyDescent="0.2">
      <c r="F86" s="268"/>
      <c r="G86" s="269"/>
      <c r="H86" s="270"/>
    </row>
    <row r="87" spans="6:8" s="33" customFormat="1" x14ac:dyDescent="0.2">
      <c r="F87" s="268"/>
      <c r="G87" s="269"/>
      <c r="H87" s="270"/>
    </row>
    <row r="88" spans="6:8" s="33" customFormat="1" x14ac:dyDescent="0.2">
      <c r="F88" s="268"/>
      <c r="G88" s="269"/>
      <c r="H88" s="270"/>
    </row>
    <row r="89" spans="6:8" s="33" customFormat="1" x14ac:dyDescent="0.2">
      <c r="F89" s="268"/>
      <c r="G89" s="269"/>
      <c r="H89" s="270"/>
    </row>
    <row r="90" spans="6:8" s="33" customFormat="1" x14ac:dyDescent="0.2">
      <c r="F90" s="268"/>
      <c r="G90" s="269"/>
      <c r="H90" s="270"/>
    </row>
    <row r="91" spans="6:8" s="33" customFormat="1" x14ac:dyDescent="0.2">
      <c r="F91" s="268"/>
      <c r="G91" s="269"/>
      <c r="H91" s="270"/>
    </row>
    <row r="92" spans="6:8" s="33" customFormat="1" x14ac:dyDescent="0.2">
      <c r="F92" s="268"/>
      <c r="G92" s="269"/>
      <c r="H92" s="270"/>
    </row>
    <row r="93" spans="6:8" s="33" customFormat="1" x14ac:dyDescent="0.2">
      <c r="F93" s="268"/>
      <c r="G93" s="269"/>
      <c r="H93" s="270"/>
    </row>
    <row r="94" spans="6:8" s="33" customFormat="1" x14ac:dyDescent="0.2">
      <c r="F94" s="268"/>
      <c r="G94" s="269"/>
      <c r="H94" s="270"/>
    </row>
    <row r="95" spans="6:8" s="33" customFormat="1" x14ac:dyDescent="0.2">
      <c r="F95" s="268"/>
      <c r="G95" s="269"/>
      <c r="H95" s="270"/>
    </row>
    <row r="96" spans="6:8" s="33" customFormat="1" x14ac:dyDescent="0.2">
      <c r="F96" s="268"/>
      <c r="G96" s="269"/>
      <c r="H96" s="270"/>
    </row>
    <row r="97" spans="6:8" s="33" customFormat="1" x14ac:dyDescent="0.2">
      <c r="F97" s="268"/>
      <c r="G97" s="269"/>
      <c r="H97" s="270"/>
    </row>
    <row r="98" spans="6:8" s="33" customFormat="1" x14ac:dyDescent="0.2">
      <c r="F98" s="268"/>
      <c r="G98" s="269"/>
      <c r="H98" s="270"/>
    </row>
    <row r="99" spans="6:8" s="33" customFormat="1" x14ac:dyDescent="0.2">
      <c r="F99" s="268"/>
      <c r="G99" s="269"/>
      <c r="H99" s="270"/>
    </row>
    <row r="100" spans="6:8" s="33" customFormat="1" x14ac:dyDescent="0.2">
      <c r="F100" s="268"/>
      <c r="G100" s="269"/>
      <c r="H100" s="270"/>
    </row>
    <row r="101" spans="6:8" s="33" customFormat="1" x14ac:dyDescent="0.2">
      <c r="F101" s="268"/>
      <c r="G101" s="269"/>
      <c r="H101" s="270"/>
    </row>
    <row r="102" spans="6:8" s="33" customFormat="1" x14ac:dyDescent="0.2">
      <c r="F102" s="268"/>
      <c r="G102" s="269"/>
      <c r="H102" s="270"/>
    </row>
    <row r="103" spans="6:8" s="33" customFormat="1" x14ac:dyDescent="0.2">
      <c r="F103" s="268"/>
      <c r="G103" s="269"/>
      <c r="H103" s="270"/>
    </row>
    <row r="104" spans="6:8" s="33" customFormat="1" x14ac:dyDescent="0.2">
      <c r="F104" s="268"/>
      <c r="G104" s="269"/>
      <c r="H104" s="270"/>
    </row>
    <row r="105" spans="6:8" s="33" customFormat="1" x14ac:dyDescent="0.2">
      <c r="F105" s="268"/>
      <c r="G105" s="269"/>
      <c r="H105" s="270"/>
    </row>
    <row r="106" spans="6:8" s="33" customFormat="1" x14ac:dyDescent="0.2">
      <c r="F106" s="268"/>
      <c r="G106" s="269"/>
      <c r="H106" s="270"/>
    </row>
    <row r="107" spans="6:8" s="33" customFormat="1" x14ac:dyDescent="0.2">
      <c r="F107" s="268"/>
      <c r="G107" s="269"/>
      <c r="H107" s="270"/>
    </row>
    <row r="108" spans="6:8" s="33" customFormat="1" x14ac:dyDescent="0.2">
      <c r="F108" s="268"/>
      <c r="G108" s="269"/>
      <c r="H108" s="270"/>
    </row>
    <row r="109" spans="6:8" s="33" customFormat="1" x14ac:dyDescent="0.2">
      <c r="F109" s="268"/>
      <c r="G109" s="269"/>
      <c r="H109" s="270"/>
    </row>
    <row r="110" spans="6:8" s="33" customFormat="1" x14ac:dyDescent="0.2">
      <c r="F110" s="268"/>
      <c r="G110" s="269"/>
      <c r="H110" s="270"/>
    </row>
    <row r="111" spans="6:8" s="33" customFormat="1" x14ac:dyDescent="0.2">
      <c r="F111" s="268"/>
      <c r="G111" s="269"/>
      <c r="H111" s="270"/>
    </row>
    <row r="112" spans="6:8" s="33" customFormat="1" x14ac:dyDescent="0.2">
      <c r="F112" s="268"/>
      <c r="G112" s="269"/>
      <c r="H112" s="270"/>
    </row>
    <row r="113" spans="6:8" s="33" customFormat="1" x14ac:dyDescent="0.2">
      <c r="F113" s="268"/>
      <c r="G113" s="269"/>
      <c r="H113" s="270"/>
    </row>
    <row r="114" spans="6:8" s="33" customFormat="1" x14ac:dyDescent="0.2">
      <c r="F114" s="268"/>
      <c r="G114" s="269"/>
      <c r="H114" s="270"/>
    </row>
    <row r="115" spans="6:8" s="33" customFormat="1" x14ac:dyDescent="0.2">
      <c r="F115" s="268"/>
      <c r="G115" s="269"/>
      <c r="H115" s="270"/>
    </row>
    <row r="116" spans="6:8" s="33" customFormat="1" x14ac:dyDescent="0.2">
      <c r="F116" s="268"/>
      <c r="G116" s="269"/>
      <c r="H116" s="270"/>
    </row>
    <row r="117" spans="6:8" s="33" customFormat="1" x14ac:dyDescent="0.2">
      <c r="F117" s="268"/>
      <c r="G117" s="269"/>
      <c r="H117" s="270"/>
    </row>
    <row r="118" spans="6:8" s="33" customFormat="1" x14ac:dyDescent="0.2">
      <c r="F118" s="268"/>
      <c r="G118" s="269"/>
      <c r="H118" s="270"/>
    </row>
    <row r="119" spans="6:8" s="33" customFormat="1" x14ac:dyDescent="0.2">
      <c r="F119" s="268"/>
      <c r="G119" s="269"/>
      <c r="H119" s="270"/>
    </row>
    <row r="120" spans="6:8" s="33" customFormat="1" x14ac:dyDescent="0.2">
      <c r="F120" s="268"/>
      <c r="G120" s="269"/>
      <c r="H120" s="270"/>
    </row>
    <row r="121" spans="6:8" s="33" customFormat="1" x14ac:dyDescent="0.2">
      <c r="F121" s="268"/>
      <c r="G121" s="269"/>
      <c r="H121" s="270"/>
    </row>
    <row r="122" spans="6:8" s="33" customFormat="1" x14ac:dyDescent="0.2">
      <c r="F122" s="268"/>
      <c r="G122" s="269"/>
      <c r="H122" s="270"/>
    </row>
    <row r="123" spans="6:8" s="33" customFormat="1" x14ac:dyDescent="0.2">
      <c r="F123" s="268"/>
      <c r="G123" s="269"/>
      <c r="H123" s="270"/>
    </row>
    <row r="124" spans="6:8" s="33" customFormat="1" x14ac:dyDescent="0.2">
      <c r="F124" s="268"/>
      <c r="G124" s="269"/>
      <c r="H124" s="270"/>
    </row>
    <row r="125" spans="6:8" s="33" customFormat="1" x14ac:dyDescent="0.2">
      <c r="F125" s="268"/>
      <c r="G125" s="269"/>
      <c r="H125" s="270"/>
    </row>
    <row r="126" spans="6:8" s="33" customFormat="1" x14ac:dyDescent="0.2">
      <c r="F126" s="268"/>
      <c r="G126" s="269"/>
      <c r="H126" s="270"/>
    </row>
    <row r="127" spans="6:8" s="33" customFormat="1" x14ac:dyDescent="0.2">
      <c r="F127" s="268"/>
      <c r="G127" s="269"/>
      <c r="H127" s="270"/>
    </row>
    <row r="128" spans="6:8" s="33" customFormat="1" x14ac:dyDescent="0.2">
      <c r="F128" s="268"/>
      <c r="G128" s="269"/>
      <c r="H128" s="270"/>
    </row>
    <row r="129" spans="6:8" s="33" customFormat="1" x14ac:dyDescent="0.2">
      <c r="F129" s="268"/>
      <c r="G129" s="269"/>
      <c r="H129" s="270"/>
    </row>
    <row r="130" spans="6:8" s="33" customFormat="1" x14ac:dyDescent="0.2">
      <c r="F130" s="268"/>
      <c r="G130" s="269"/>
      <c r="H130" s="270"/>
    </row>
    <row r="131" spans="6:8" s="33" customFormat="1" x14ac:dyDescent="0.2">
      <c r="F131" s="268"/>
      <c r="G131" s="269"/>
      <c r="H131" s="270"/>
    </row>
    <row r="132" spans="6:8" s="33" customFormat="1" x14ac:dyDescent="0.2">
      <c r="F132" s="268"/>
      <c r="G132" s="269"/>
      <c r="H132" s="270"/>
    </row>
    <row r="133" spans="6:8" s="33" customFormat="1" x14ac:dyDescent="0.2">
      <c r="F133" s="268"/>
      <c r="G133" s="269"/>
      <c r="H133" s="270"/>
    </row>
    <row r="134" spans="6:8" s="33" customFormat="1" x14ac:dyDescent="0.2">
      <c r="F134" s="268"/>
      <c r="G134" s="269"/>
      <c r="H134" s="270"/>
    </row>
    <row r="135" spans="6:8" s="33" customFormat="1" x14ac:dyDescent="0.2">
      <c r="F135" s="268"/>
      <c r="G135" s="269"/>
      <c r="H135" s="270"/>
    </row>
    <row r="136" spans="6:8" s="33" customFormat="1" x14ac:dyDescent="0.2">
      <c r="F136" s="268"/>
      <c r="G136" s="269"/>
      <c r="H136" s="270"/>
    </row>
    <row r="137" spans="6:8" s="33" customFormat="1" x14ac:dyDescent="0.2">
      <c r="F137" s="268"/>
      <c r="G137" s="269"/>
      <c r="H137" s="270"/>
    </row>
    <row r="138" spans="6:8" s="33" customFormat="1" x14ac:dyDescent="0.2">
      <c r="F138" s="268"/>
      <c r="G138" s="269"/>
      <c r="H138" s="270"/>
    </row>
  </sheetData>
  <mergeCells count="12">
    <mergeCell ref="B10:I10"/>
    <mergeCell ref="F2:G2"/>
    <mergeCell ref="F3:G3"/>
    <mergeCell ref="F4:G4"/>
    <mergeCell ref="B2:D2"/>
    <mergeCell ref="C3:D3"/>
    <mergeCell ref="F5:G5"/>
    <mergeCell ref="C4:D4"/>
    <mergeCell ref="C5:D5"/>
    <mergeCell ref="C6:D6"/>
    <mergeCell ref="C7:D7"/>
    <mergeCell ref="C8:D8"/>
  </mergeCells>
  <pageMargins left="0.23622047244094491" right="0.23622047244094491" top="0.74803149606299213" bottom="0.74803149606299213" header="0.31496062992125984" footer="0.31496062992125984"/>
  <pageSetup paperSize="9" scale="58" fitToHeight="2" orientation="portrait" r:id="rId1"/>
  <headerFooter>
    <oddFooter>&amp;L&amp;P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2E0A3-0F74-42B3-8829-1DEB6842C123}">
  <sheetPr>
    <tabColor rgb="FF00B0F0"/>
    <pageSetUpPr fitToPage="1"/>
  </sheetPr>
  <dimension ref="C1:T44"/>
  <sheetViews>
    <sheetView topLeftCell="A11" zoomScale="109" zoomScaleNormal="80" workbookViewId="0">
      <selection activeCell="L14" sqref="L14:L42"/>
    </sheetView>
  </sheetViews>
  <sheetFormatPr baseColWidth="10" defaultColWidth="11" defaultRowHeight="16" x14ac:dyDescent="0.2"/>
  <cols>
    <col min="1" max="2" width="5.6640625" style="120" customWidth="1"/>
    <col min="3" max="3" width="57.33203125" style="120" customWidth="1"/>
    <col min="4" max="4" width="15.5" style="120" bestFit="1" customWidth="1"/>
    <col min="5" max="5" width="21.83203125" style="120" customWidth="1"/>
    <col min="6" max="8" width="15.6640625" style="120" customWidth="1"/>
    <col min="9" max="10" width="15.6640625" style="129" customWidth="1"/>
    <col min="11" max="11" width="15.6640625" style="130" customWidth="1"/>
    <col min="12" max="16" width="15.6640625" style="120" customWidth="1"/>
    <col min="17" max="17" width="15.6640625" style="131" customWidth="1"/>
    <col min="18" max="20" width="15.6640625" style="120" customWidth="1"/>
    <col min="21" max="16384" width="11" style="120"/>
  </cols>
  <sheetData>
    <row r="1" spans="3:20" ht="17" thickBot="1" x14ac:dyDescent="0.25"/>
    <row r="2" spans="3:20" x14ac:dyDescent="0.2">
      <c r="C2" s="704" t="s">
        <v>1744</v>
      </c>
      <c r="D2" s="718"/>
      <c r="E2" s="718"/>
      <c r="F2" s="705"/>
      <c r="G2" s="706"/>
      <c r="H2" s="132"/>
      <c r="J2" s="699" t="s">
        <v>61</v>
      </c>
      <c r="K2" s="699"/>
      <c r="Q2" s="120"/>
      <c r="R2" s="131"/>
    </row>
    <row r="3" spans="3:20" x14ac:dyDescent="0.2">
      <c r="C3" s="712" t="s">
        <v>62</v>
      </c>
      <c r="D3" s="713"/>
      <c r="E3" s="703"/>
      <c r="F3" s="660" t="s">
        <v>1745</v>
      </c>
      <c r="G3" s="719"/>
      <c r="H3" s="134"/>
      <c r="J3" s="720" t="str">
        <f>COVER!C9</f>
        <v>ian.shotam@programmed.com.au</v>
      </c>
      <c r="K3" s="721"/>
      <c r="Q3" s="120"/>
      <c r="R3" s="131"/>
    </row>
    <row r="4" spans="3:20" ht="15.5" customHeight="1" x14ac:dyDescent="0.2">
      <c r="C4" s="712" t="str">
        <f>COVER!B12</f>
        <v>SITE</v>
      </c>
      <c r="D4" s="713"/>
      <c r="E4" s="703"/>
      <c r="F4" s="714" t="str">
        <f>COVER!C12</f>
        <v>GOLDEN GROVE</v>
      </c>
      <c r="G4" s="715"/>
      <c r="H4" s="134"/>
      <c r="J4" s="716"/>
      <c r="K4" s="717"/>
      <c r="Q4" s="120"/>
      <c r="R4" s="131"/>
    </row>
    <row r="5" spans="3:20" ht="16" customHeight="1" x14ac:dyDescent="0.2">
      <c r="C5" s="712" t="str">
        <f>COVER!B13</f>
        <v>MANAGERS NAME</v>
      </c>
      <c r="D5" s="713"/>
      <c r="E5" s="703"/>
      <c r="F5" s="714" t="str">
        <f>COVER!C13</f>
        <v>Ian Shotam</v>
      </c>
      <c r="G5" s="715"/>
      <c r="H5" s="134"/>
      <c r="J5" s="727"/>
      <c r="K5" s="717"/>
      <c r="Q5" s="120"/>
      <c r="R5" s="131"/>
    </row>
    <row r="6" spans="3:20" x14ac:dyDescent="0.2">
      <c r="C6" s="712" t="str">
        <f>COVER!B14</f>
        <v>DATE - ORDER PLACED</v>
      </c>
      <c r="D6" s="713"/>
      <c r="E6" s="703"/>
      <c r="F6" s="722">
        <f>COVER!C14</f>
        <v>45082</v>
      </c>
      <c r="G6" s="723"/>
    </row>
    <row r="7" spans="3:20" x14ac:dyDescent="0.2">
      <c r="C7" s="712" t="str">
        <f>COVER!B15</f>
        <v>DATE - DELIVERY PERTH - FREIGHT LINES, 12-26 RIVERSDALE RD, WELSHPOOL WA 6100</v>
      </c>
      <c r="D7" s="713"/>
      <c r="E7" s="703"/>
      <c r="F7" s="722">
        <f>COVER!C15</f>
        <v>45085</v>
      </c>
      <c r="G7" s="723"/>
    </row>
    <row r="8" spans="3:20" x14ac:dyDescent="0.2">
      <c r="C8" s="712" t="str">
        <f>COVER!B16</f>
        <v>DATE - ESTIMATED ARRIVAL SITE</v>
      </c>
      <c r="D8" s="713"/>
      <c r="E8" s="703"/>
      <c r="F8" s="722">
        <f>COVER!C16</f>
        <v>45086</v>
      </c>
      <c r="G8" s="723"/>
    </row>
    <row r="9" spans="3:20" ht="17" thickBot="1" x14ac:dyDescent="0.25"/>
    <row r="10" spans="3:20" ht="30" customHeight="1" thickBot="1" x14ac:dyDescent="0.25">
      <c r="C10" s="138"/>
      <c r="D10" s="139"/>
      <c r="E10" s="140"/>
      <c r="F10" s="140"/>
      <c r="G10" s="140"/>
      <c r="H10" s="140"/>
      <c r="I10" s="141"/>
      <c r="J10" s="141"/>
      <c r="K10" s="141"/>
      <c r="L10" s="142"/>
      <c r="M10" s="143"/>
      <c r="R10" s="129">
        <v>1.1000000000000001</v>
      </c>
    </row>
    <row r="11" spans="3:20" ht="24.75" customHeight="1" thickBot="1" x14ac:dyDescent="0.25">
      <c r="C11" s="211"/>
      <c r="D11" s="145" t="s">
        <v>1746</v>
      </c>
      <c r="E11" s="146" t="s">
        <v>65</v>
      </c>
      <c r="F11" s="146" t="s">
        <v>66</v>
      </c>
      <c r="G11" s="146" t="s">
        <v>1747</v>
      </c>
      <c r="H11" s="146" t="s">
        <v>1748</v>
      </c>
      <c r="I11" s="76" t="s">
        <v>1749</v>
      </c>
      <c r="J11" s="76" t="s">
        <v>1750</v>
      </c>
      <c r="K11" s="76" t="s">
        <v>1751</v>
      </c>
      <c r="L11" s="77" t="s">
        <v>1752</v>
      </c>
      <c r="M11" s="212" t="s">
        <v>25</v>
      </c>
      <c r="N11" s="149" t="s">
        <v>1753</v>
      </c>
      <c r="O11" s="371"/>
      <c r="P11" s="371"/>
      <c r="Q11" s="150" t="s">
        <v>1754</v>
      </c>
      <c r="R11" s="151" t="s">
        <v>1755</v>
      </c>
      <c r="S11" s="152" t="s">
        <v>1756</v>
      </c>
      <c r="T11" s="153" t="s">
        <v>1757</v>
      </c>
    </row>
    <row r="12" spans="3:20" x14ac:dyDescent="0.2">
      <c r="C12" s="404"/>
      <c r="D12" s="432"/>
      <c r="E12" s="433"/>
      <c r="F12" s="407"/>
      <c r="G12" s="406"/>
      <c r="H12" s="406"/>
      <c r="I12" s="408"/>
      <c r="J12" s="408"/>
      <c r="K12" s="408"/>
      <c r="L12" s="434"/>
      <c r="M12" s="435"/>
      <c r="N12" s="436"/>
      <c r="O12" s="437">
        <v>8.6999999999999994E-2</v>
      </c>
      <c r="P12" s="438"/>
      <c r="Q12" s="439"/>
      <c r="R12" s="440"/>
      <c r="S12" s="441"/>
      <c r="T12" s="442"/>
    </row>
    <row r="13" spans="3:20" x14ac:dyDescent="0.2">
      <c r="C13" s="617" t="s">
        <v>1758</v>
      </c>
      <c r="D13" s="237"/>
      <c r="E13" s="429"/>
      <c r="F13" s="430"/>
      <c r="G13" s="216"/>
      <c r="H13" s="217"/>
      <c r="I13" s="9"/>
      <c r="J13" s="2"/>
      <c r="K13" s="19"/>
      <c r="L13" s="264"/>
      <c r="M13" s="220"/>
      <c r="N13" s="418"/>
      <c r="O13" s="419"/>
      <c r="P13" s="419"/>
      <c r="Q13" s="431"/>
      <c r="R13" s="419"/>
      <c r="S13" s="419"/>
      <c r="T13" s="421"/>
    </row>
    <row r="14" spans="3:20" x14ac:dyDescent="0.2">
      <c r="C14" s="578" t="s">
        <v>1759</v>
      </c>
      <c r="D14" s="168"/>
      <c r="E14" s="225">
        <v>12218565</v>
      </c>
      <c r="F14" s="215" t="s">
        <v>466</v>
      </c>
      <c r="G14" s="223">
        <v>20</v>
      </c>
      <c r="H14" s="224"/>
      <c r="I14" s="8"/>
      <c r="J14" s="3"/>
      <c r="K14" s="20"/>
      <c r="L14" s="260">
        <v>74.36</v>
      </c>
      <c r="M14" s="220">
        <f t="shared" ref="M14:M41" si="0">K14*L14</f>
        <v>0</v>
      </c>
      <c r="N14" s="183">
        <f t="shared" ref="N14:N31" si="1">L14/G14</f>
        <v>3.718</v>
      </c>
      <c r="O14" s="184">
        <f t="shared" ref="O14:O43" si="2">N14*$O$12</f>
        <v>0.32346599999999998</v>
      </c>
      <c r="P14" s="184">
        <f t="shared" ref="P14:P43" si="3">N14+O14</f>
        <v>4.0414659999999998</v>
      </c>
      <c r="Q14" s="207">
        <v>71</v>
      </c>
      <c r="R14" s="184">
        <f t="shared" ref="R14:R43" si="4">Q14/$R$10</f>
        <v>64.545454545454547</v>
      </c>
      <c r="S14" s="184">
        <f t="shared" ref="S14:S43" si="5">R14-P14</f>
        <v>60.503988545454547</v>
      </c>
      <c r="T14" s="171">
        <f t="shared" ref="T14:T43" si="6">S14/R14</f>
        <v>0.93738573802816905</v>
      </c>
    </row>
    <row r="15" spans="3:20" x14ac:dyDescent="0.2">
      <c r="C15" s="578" t="s">
        <v>1760</v>
      </c>
      <c r="D15" s="168"/>
      <c r="E15" s="225">
        <v>12218568</v>
      </c>
      <c r="F15" s="215" t="s">
        <v>466</v>
      </c>
      <c r="G15" s="223">
        <v>20</v>
      </c>
      <c r="H15" s="224"/>
      <c r="I15" s="8"/>
      <c r="J15" s="3"/>
      <c r="K15" s="20"/>
      <c r="L15" s="260">
        <v>74.36</v>
      </c>
      <c r="M15" s="220">
        <f t="shared" si="0"/>
        <v>0</v>
      </c>
      <c r="N15" s="183">
        <f t="shared" si="1"/>
        <v>3.718</v>
      </c>
      <c r="O15" s="184">
        <f t="shared" si="2"/>
        <v>0.32346599999999998</v>
      </c>
      <c r="P15" s="184">
        <f t="shared" si="3"/>
        <v>4.0414659999999998</v>
      </c>
      <c r="Q15" s="207">
        <v>70</v>
      </c>
      <c r="R15" s="184">
        <f t="shared" si="4"/>
        <v>63.636363636363633</v>
      </c>
      <c r="S15" s="184">
        <f t="shared" si="5"/>
        <v>59.594897636363633</v>
      </c>
      <c r="T15" s="171">
        <f t="shared" si="6"/>
        <v>0.93649124857142862</v>
      </c>
    </row>
    <row r="16" spans="3:20" x14ac:dyDescent="0.2">
      <c r="C16" s="578" t="s">
        <v>1761</v>
      </c>
      <c r="D16" s="168"/>
      <c r="E16" s="225">
        <v>13030074</v>
      </c>
      <c r="F16" s="215" t="s">
        <v>466</v>
      </c>
      <c r="G16" s="223">
        <v>20</v>
      </c>
      <c r="H16" s="224"/>
      <c r="I16" s="8"/>
      <c r="J16" s="3"/>
      <c r="K16" s="20"/>
      <c r="L16" s="260">
        <v>74.36</v>
      </c>
      <c r="M16" s="220">
        <f t="shared" si="0"/>
        <v>0</v>
      </c>
      <c r="N16" s="183">
        <f t="shared" si="1"/>
        <v>3.718</v>
      </c>
      <c r="O16" s="184">
        <f t="shared" si="2"/>
        <v>0.32346599999999998</v>
      </c>
      <c r="P16" s="184">
        <f t="shared" si="3"/>
        <v>4.0414659999999998</v>
      </c>
      <c r="Q16" s="207">
        <v>142</v>
      </c>
      <c r="R16" s="184">
        <f t="shared" si="4"/>
        <v>129.09090909090909</v>
      </c>
      <c r="S16" s="184">
        <f t="shared" si="5"/>
        <v>125.04944309090909</v>
      </c>
      <c r="T16" s="171">
        <f t="shared" si="6"/>
        <v>0.96869286901408447</v>
      </c>
    </row>
    <row r="17" spans="3:20" x14ac:dyDescent="0.2">
      <c r="C17" s="578" t="s">
        <v>1762</v>
      </c>
      <c r="D17" s="168"/>
      <c r="E17" s="225">
        <v>13033315</v>
      </c>
      <c r="F17" s="215" t="s">
        <v>466</v>
      </c>
      <c r="G17" s="223">
        <v>20</v>
      </c>
      <c r="H17" s="224"/>
      <c r="I17" s="8"/>
      <c r="J17" s="3"/>
      <c r="K17" s="20"/>
      <c r="L17" s="260">
        <v>74.36</v>
      </c>
      <c r="M17" s="220">
        <f t="shared" si="0"/>
        <v>0</v>
      </c>
      <c r="N17" s="183">
        <f t="shared" si="1"/>
        <v>3.718</v>
      </c>
      <c r="O17" s="184">
        <f t="shared" si="2"/>
        <v>0.32346599999999998</v>
      </c>
      <c r="P17" s="184">
        <f t="shared" si="3"/>
        <v>4.0414659999999998</v>
      </c>
      <c r="Q17" s="207">
        <v>142</v>
      </c>
      <c r="R17" s="184">
        <f t="shared" si="4"/>
        <v>129.09090909090909</v>
      </c>
      <c r="S17" s="184">
        <f t="shared" si="5"/>
        <v>125.04944309090909</v>
      </c>
      <c r="T17" s="171">
        <f t="shared" si="6"/>
        <v>0.96869286901408447</v>
      </c>
    </row>
    <row r="18" spans="3:20" x14ac:dyDescent="0.2">
      <c r="C18" s="578" t="s">
        <v>1763</v>
      </c>
      <c r="D18" s="168"/>
      <c r="E18" s="225">
        <v>13033328</v>
      </c>
      <c r="F18" s="215" t="s">
        <v>466</v>
      </c>
      <c r="G18" s="223">
        <v>20</v>
      </c>
      <c r="H18" s="224"/>
      <c r="I18" s="8"/>
      <c r="J18" s="3"/>
      <c r="K18" s="20"/>
      <c r="L18" s="260">
        <v>74.36</v>
      </c>
      <c r="M18" s="220"/>
      <c r="N18" s="183"/>
      <c r="O18" s="184"/>
      <c r="P18" s="184"/>
      <c r="Q18" s="207"/>
      <c r="R18" s="184"/>
      <c r="S18" s="184"/>
      <c r="T18" s="171"/>
    </row>
    <row r="19" spans="3:20" x14ac:dyDescent="0.2">
      <c r="C19" s="578" t="s">
        <v>1764</v>
      </c>
      <c r="D19" s="168"/>
      <c r="E19" s="225">
        <v>13033387</v>
      </c>
      <c r="F19" s="215" t="s">
        <v>466</v>
      </c>
      <c r="G19" s="223">
        <v>20</v>
      </c>
      <c r="H19" s="224"/>
      <c r="I19" s="8"/>
      <c r="J19" s="3"/>
      <c r="K19" s="20"/>
      <c r="L19" s="260">
        <v>74.36</v>
      </c>
      <c r="M19" s="220">
        <f t="shared" si="0"/>
        <v>0</v>
      </c>
      <c r="N19" s="183">
        <f t="shared" si="1"/>
        <v>3.718</v>
      </c>
      <c r="O19" s="184">
        <f t="shared" si="2"/>
        <v>0.32346599999999998</v>
      </c>
      <c r="P19" s="184">
        <f t="shared" si="3"/>
        <v>4.0414659999999998</v>
      </c>
      <c r="Q19" s="207">
        <v>43</v>
      </c>
      <c r="R19" s="184">
        <f t="shared" si="4"/>
        <v>39.090909090909086</v>
      </c>
      <c r="S19" s="184">
        <f t="shared" si="5"/>
        <v>35.049443090909087</v>
      </c>
      <c r="T19" s="171">
        <f t="shared" si="6"/>
        <v>0.89661366046511626</v>
      </c>
    </row>
    <row r="20" spans="3:20" x14ac:dyDescent="0.2">
      <c r="C20" s="578" t="s">
        <v>1765</v>
      </c>
      <c r="D20" s="168"/>
      <c r="E20" s="225">
        <v>13033459</v>
      </c>
      <c r="F20" s="215" t="s">
        <v>466</v>
      </c>
      <c r="G20" s="223">
        <v>20</v>
      </c>
      <c r="H20" s="224"/>
      <c r="I20" s="8"/>
      <c r="J20" s="3"/>
      <c r="K20" s="20"/>
      <c r="L20" s="260">
        <v>74.36</v>
      </c>
      <c r="M20" s="220">
        <f t="shared" si="0"/>
        <v>0</v>
      </c>
      <c r="N20" s="183">
        <f t="shared" si="1"/>
        <v>3.718</v>
      </c>
      <c r="O20" s="184">
        <f t="shared" si="2"/>
        <v>0.32346599999999998</v>
      </c>
      <c r="P20" s="184">
        <f t="shared" si="3"/>
        <v>4.0414659999999998</v>
      </c>
      <c r="Q20" s="207">
        <v>43</v>
      </c>
      <c r="R20" s="184">
        <f t="shared" si="4"/>
        <v>39.090909090909086</v>
      </c>
      <c r="S20" s="184">
        <f t="shared" si="5"/>
        <v>35.049443090909087</v>
      </c>
      <c r="T20" s="171">
        <f t="shared" si="6"/>
        <v>0.89661366046511626</v>
      </c>
    </row>
    <row r="21" spans="3:20" x14ac:dyDescent="0.2">
      <c r="C21" s="617" t="s">
        <v>1766</v>
      </c>
      <c r="D21" s="224"/>
      <c r="E21" s="224"/>
      <c r="F21" s="224"/>
      <c r="G21" s="224"/>
      <c r="H21" s="224"/>
      <c r="I21" s="224"/>
      <c r="J21" s="224"/>
      <c r="K21" s="224"/>
      <c r="L21" s="224"/>
      <c r="M21" s="224"/>
      <c r="N21" s="224"/>
      <c r="O21" s="224"/>
      <c r="P21" s="224"/>
      <c r="Q21" s="224"/>
      <c r="R21" s="224"/>
      <c r="S21" s="224"/>
      <c r="T21" s="224"/>
    </row>
    <row r="22" spans="3:20" x14ac:dyDescent="0.2">
      <c r="C22" s="578" t="s">
        <v>1767</v>
      </c>
      <c r="D22" s="168"/>
      <c r="E22" s="225">
        <v>109841</v>
      </c>
      <c r="F22" s="215" t="s">
        <v>466</v>
      </c>
      <c r="G22" s="215">
        <v>24</v>
      </c>
      <c r="H22" s="224"/>
      <c r="I22" s="8"/>
      <c r="J22" s="3"/>
      <c r="K22" s="20"/>
      <c r="L22" s="260">
        <v>84.216000000000008</v>
      </c>
      <c r="M22" s="220">
        <f t="shared" si="0"/>
        <v>0</v>
      </c>
      <c r="N22" s="183">
        <f t="shared" si="1"/>
        <v>3.5090000000000003</v>
      </c>
      <c r="O22" s="184">
        <f t="shared" si="2"/>
        <v>0.30528300000000003</v>
      </c>
      <c r="P22" s="184">
        <f t="shared" si="3"/>
        <v>3.8142830000000005</v>
      </c>
      <c r="Q22" s="207">
        <v>62</v>
      </c>
      <c r="R22" s="184">
        <f t="shared" si="4"/>
        <v>56.36363636363636</v>
      </c>
      <c r="S22" s="184">
        <f t="shared" si="5"/>
        <v>52.549353363636357</v>
      </c>
      <c r="T22" s="171">
        <f t="shared" si="6"/>
        <v>0.93232723709677412</v>
      </c>
    </row>
    <row r="23" spans="3:20" x14ac:dyDescent="0.2">
      <c r="C23" s="578" t="s">
        <v>1768</v>
      </c>
      <c r="D23" s="168"/>
      <c r="E23" s="225">
        <v>109728</v>
      </c>
      <c r="F23" s="215" t="s">
        <v>466</v>
      </c>
      <c r="G23" s="215">
        <v>24</v>
      </c>
      <c r="H23" s="224"/>
      <c r="I23" s="8"/>
      <c r="J23" s="3"/>
      <c r="K23" s="20"/>
      <c r="L23" s="260">
        <v>84.216000000000008</v>
      </c>
      <c r="M23" s="220">
        <f t="shared" si="0"/>
        <v>0</v>
      </c>
      <c r="N23" s="183">
        <f t="shared" si="1"/>
        <v>3.5090000000000003</v>
      </c>
      <c r="O23" s="184">
        <f t="shared" si="2"/>
        <v>0.30528300000000003</v>
      </c>
      <c r="P23" s="184">
        <f t="shared" si="3"/>
        <v>3.8142830000000005</v>
      </c>
      <c r="Q23" s="207">
        <v>62</v>
      </c>
      <c r="R23" s="184">
        <f t="shared" si="4"/>
        <v>56.36363636363636</v>
      </c>
      <c r="S23" s="184">
        <f t="shared" si="5"/>
        <v>52.549353363636357</v>
      </c>
      <c r="T23" s="171">
        <f t="shared" si="6"/>
        <v>0.93232723709677412</v>
      </c>
    </row>
    <row r="24" spans="3:20" x14ac:dyDescent="0.2">
      <c r="C24" s="578" t="s">
        <v>1769</v>
      </c>
      <c r="D24" s="168"/>
      <c r="E24" s="225">
        <v>12089844</v>
      </c>
      <c r="F24" s="215" t="s">
        <v>466</v>
      </c>
      <c r="G24" s="215">
        <v>24</v>
      </c>
      <c r="H24" s="224"/>
      <c r="I24" s="8"/>
      <c r="J24" s="3"/>
      <c r="K24" s="20"/>
      <c r="L24" s="260">
        <v>84.216000000000008</v>
      </c>
      <c r="M24" s="220">
        <f t="shared" si="0"/>
        <v>0</v>
      </c>
      <c r="N24" s="183">
        <f t="shared" si="1"/>
        <v>3.5090000000000003</v>
      </c>
      <c r="O24" s="184">
        <f t="shared" si="2"/>
        <v>0.30528300000000003</v>
      </c>
      <c r="P24" s="184">
        <f t="shared" si="3"/>
        <v>3.8142830000000005</v>
      </c>
      <c r="Q24" s="207">
        <v>62</v>
      </c>
      <c r="R24" s="184">
        <f t="shared" si="4"/>
        <v>56.36363636363636</v>
      </c>
      <c r="S24" s="184">
        <f t="shared" si="5"/>
        <v>52.549353363636357</v>
      </c>
      <c r="T24" s="171">
        <f t="shared" si="6"/>
        <v>0.93232723709677412</v>
      </c>
    </row>
    <row r="25" spans="3:20" x14ac:dyDescent="0.2">
      <c r="C25" s="578" t="s">
        <v>1770</v>
      </c>
      <c r="D25" s="168"/>
      <c r="E25" s="225">
        <v>13033260</v>
      </c>
      <c r="F25" s="215" t="s">
        <v>466</v>
      </c>
      <c r="G25" s="215">
        <v>24</v>
      </c>
      <c r="H25" s="224"/>
      <c r="I25" s="8"/>
      <c r="J25" s="3"/>
      <c r="K25" s="20"/>
      <c r="L25" s="260">
        <v>84.216000000000008</v>
      </c>
      <c r="M25" s="220"/>
      <c r="N25" s="183"/>
      <c r="O25" s="184"/>
      <c r="P25" s="184"/>
      <c r="Q25" s="207"/>
      <c r="R25" s="184"/>
      <c r="S25" s="184"/>
      <c r="T25" s="171"/>
    </row>
    <row r="26" spans="3:20" x14ac:dyDescent="0.2">
      <c r="C26" s="578" t="s">
        <v>1771</v>
      </c>
      <c r="D26" s="237"/>
      <c r="E26" s="429">
        <v>13033401</v>
      </c>
      <c r="F26" s="215" t="s">
        <v>466</v>
      </c>
      <c r="G26" s="430">
        <v>24</v>
      </c>
      <c r="H26" s="217"/>
      <c r="I26" s="9"/>
      <c r="J26" s="2"/>
      <c r="K26" s="19"/>
      <c r="L26" s="264">
        <v>84.216000000000008</v>
      </c>
      <c r="M26" s="220">
        <f t="shared" ref="M26" si="7">K26*L26</f>
        <v>0</v>
      </c>
      <c r="N26" s="418">
        <f t="shared" ref="N26" si="8">L26/G26</f>
        <v>3.5090000000000003</v>
      </c>
      <c r="O26" s="419">
        <f>N26*$O$12</f>
        <v>0.30528300000000003</v>
      </c>
      <c r="P26" s="419">
        <f>N26+O26</f>
        <v>3.8142830000000005</v>
      </c>
      <c r="Q26" s="431">
        <v>1.9</v>
      </c>
      <c r="R26" s="419">
        <f>Q26/$R$10</f>
        <v>1.7272727272727271</v>
      </c>
      <c r="S26" s="419">
        <f>R26-P26</f>
        <v>-2.0870102727272735</v>
      </c>
      <c r="T26" s="421">
        <f t="shared" ref="T26" si="9">S26/R26</f>
        <v>-1.2082691052631584</v>
      </c>
    </row>
    <row r="27" spans="3:20" x14ac:dyDescent="0.2">
      <c r="C27" s="578" t="s">
        <v>1772</v>
      </c>
      <c r="D27" s="168"/>
      <c r="E27" s="225">
        <v>13033468</v>
      </c>
      <c r="F27" s="215" t="s">
        <v>466</v>
      </c>
      <c r="G27" s="215">
        <v>24</v>
      </c>
      <c r="H27" s="217"/>
      <c r="I27" s="8"/>
      <c r="J27" s="3"/>
      <c r="K27" s="20"/>
      <c r="L27" s="260">
        <v>84.216000000000008</v>
      </c>
      <c r="M27" s="220">
        <f t="shared" si="0"/>
        <v>0</v>
      </c>
      <c r="N27" s="183">
        <f>L27/G27</f>
        <v>3.5090000000000003</v>
      </c>
      <c r="O27" s="184">
        <f t="shared" si="2"/>
        <v>0.30528300000000003</v>
      </c>
      <c r="P27" s="184">
        <f t="shared" si="3"/>
        <v>3.8142830000000005</v>
      </c>
      <c r="Q27" s="207">
        <v>1.4</v>
      </c>
      <c r="R27" s="184">
        <f t="shared" si="4"/>
        <v>1.2727272727272725</v>
      </c>
      <c r="S27" s="184">
        <f t="shared" si="5"/>
        <v>-2.541555727272728</v>
      </c>
      <c r="T27" s="171">
        <f t="shared" si="6"/>
        <v>-1.9969366428571438</v>
      </c>
    </row>
    <row r="28" spans="3:20" x14ac:dyDescent="0.2">
      <c r="C28" s="617" t="s">
        <v>1773</v>
      </c>
      <c r="D28" s="217"/>
      <c r="E28" s="217"/>
      <c r="F28" s="217"/>
      <c r="G28" s="217"/>
      <c r="H28" s="217"/>
      <c r="I28" s="217"/>
      <c r="J28" s="217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3:20" x14ac:dyDescent="0.2">
      <c r="C29" s="578" t="s">
        <v>1774</v>
      </c>
      <c r="D29" s="168"/>
      <c r="E29" s="225">
        <v>12133678</v>
      </c>
      <c r="F29" s="215" t="s">
        <v>466</v>
      </c>
      <c r="G29" s="215">
        <v>24</v>
      </c>
      <c r="H29" s="217"/>
      <c r="I29" s="8"/>
      <c r="J29" s="3"/>
      <c r="K29" s="20"/>
      <c r="L29" s="260">
        <v>86.855999999999995</v>
      </c>
      <c r="M29" s="220">
        <f t="shared" si="0"/>
        <v>0</v>
      </c>
      <c r="N29" s="183">
        <f>L29/G29</f>
        <v>3.6189999999999998</v>
      </c>
      <c r="O29" s="184">
        <f t="shared" si="2"/>
        <v>0.31485299999999994</v>
      </c>
      <c r="P29" s="184">
        <f t="shared" si="3"/>
        <v>3.9338529999999996</v>
      </c>
      <c r="Q29" s="207"/>
      <c r="R29" s="184"/>
      <c r="S29" s="184"/>
      <c r="T29" s="171"/>
    </row>
    <row r="30" spans="3:20" x14ac:dyDescent="0.2">
      <c r="C30" s="578" t="s">
        <v>1775</v>
      </c>
      <c r="D30" s="168"/>
      <c r="E30" s="225">
        <v>12133557</v>
      </c>
      <c r="F30" s="215" t="s">
        <v>466</v>
      </c>
      <c r="G30" s="215">
        <v>24</v>
      </c>
      <c r="H30" s="217"/>
      <c r="I30" s="8"/>
      <c r="J30" s="3"/>
      <c r="K30" s="20"/>
      <c r="L30" s="260">
        <v>86.855999999999995</v>
      </c>
      <c r="M30" s="220">
        <f t="shared" si="0"/>
        <v>0</v>
      </c>
      <c r="N30" s="183">
        <f>L30/G30</f>
        <v>3.6189999999999998</v>
      </c>
      <c r="O30" s="184">
        <f t="shared" si="2"/>
        <v>0.31485299999999994</v>
      </c>
      <c r="P30" s="184">
        <f t="shared" si="3"/>
        <v>3.9338529999999996</v>
      </c>
      <c r="Q30" s="207"/>
      <c r="R30" s="184"/>
      <c r="S30" s="184"/>
      <c r="T30" s="171"/>
    </row>
    <row r="31" spans="3:20" ht="17" thickBot="1" x14ac:dyDescent="0.25">
      <c r="C31" s="578" t="s">
        <v>1776</v>
      </c>
      <c r="D31" s="168"/>
      <c r="E31" s="225">
        <v>12097171</v>
      </c>
      <c r="F31" s="215" t="s">
        <v>466</v>
      </c>
      <c r="G31" s="215">
        <v>24</v>
      </c>
      <c r="H31" s="217"/>
      <c r="I31" s="8"/>
      <c r="J31" s="3"/>
      <c r="K31" s="20"/>
      <c r="L31" s="260">
        <v>86.855999999999995</v>
      </c>
      <c r="M31" s="220">
        <f t="shared" si="0"/>
        <v>0</v>
      </c>
      <c r="N31" s="183">
        <f t="shared" si="1"/>
        <v>3.6189999999999998</v>
      </c>
      <c r="O31" s="184">
        <f t="shared" si="2"/>
        <v>0.31485299999999994</v>
      </c>
      <c r="P31" s="184">
        <f t="shared" si="3"/>
        <v>3.9338529999999996</v>
      </c>
      <c r="Q31" s="207">
        <v>0.9</v>
      </c>
      <c r="R31" s="184">
        <f t="shared" si="4"/>
        <v>0.81818181818181812</v>
      </c>
      <c r="S31" s="184">
        <f t="shared" si="5"/>
        <v>-3.1156711818181817</v>
      </c>
      <c r="T31" s="171">
        <f t="shared" si="6"/>
        <v>-3.8080425555555557</v>
      </c>
    </row>
    <row r="32" spans="3:20" x14ac:dyDescent="0.2">
      <c r="C32" s="578" t="s">
        <v>1777</v>
      </c>
      <c r="D32" s="214"/>
      <c r="E32" s="227">
        <v>13033074</v>
      </c>
      <c r="F32" s="215" t="s">
        <v>466</v>
      </c>
      <c r="G32" s="89">
        <v>24</v>
      </c>
      <c r="H32" s="159"/>
      <c r="I32" s="8"/>
      <c r="J32" s="8"/>
      <c r="K32" s="17"/>
      <c r="L32" s="260">
        <v>86.855999999999995</v>
      </c>
      <c r="M32" s="220">
        <f t="shared" si="0"/>
        <v>0</v>
      </c>
      <c r="N32" s="183">
        <f t="shared" ref="N32:N42" si="10">L32/G32</f>
        <v>3.6189999999999998</v>
      </c>
      <c r="O32" s="184">
        <f t="shared" si="2"/>
        <v>0.31485299999999994</v>
      </c>
      <c r="P32" s="184">
        <f t="shared" si="3"/>
        <v>3.9338529999999996</v>
      </c>
      <c r="Q32" s="207">
        <v>1.8</v>
      </c>
      <c r="R32" s="184">
        <f t="shared" si="4"/>
        <v>1.6363636363636362</v>
      </c>
      <c r="S32" s="184">
        <f t="shared" si="5"/>
        <v>-2.2974893636363634</v>
      </c>
      <c r="T32" s="171">
        <f t="shared" si="6"/>
        <v>-1.4040212777777776</v>
      </c>
    </row>
    <row r="33" spans="3:20" x14ac:dyDescent="0.2">
      <c r="C33" s="578" t="s">
        <v>1778</v>
      </c>
      <c r="D33" s="168"/>
      <c r="E33" s="222">
        <v>13033453</v>
      </c>
      <c r="F33" s="215" t="s">
        <v>466</v>
      </c>
      <c r="G33" s="89">
        <v>24</v>
      </c>
      <c r="H33" s="159"/>
      <c r="I33" s="8"/>
      <c r="J33" s="8"/>
      <c r="K33" s="17"/>
      <c r="L33" s="260">
        <v>86.855999999999995</v>
      </c>
      <c r="M33" s="220">
        <f t="shared" si="0"/>
        <v>0</v>
      </c>
      <c r="N33" s="183">
        <f t="shared" si="10"/>
        <v>3.6189999999999998</v>
      </c>
      <c r="O33" s="184">
        <f t="shared" si="2"/>
        <v>0.31485299999999994</v>
      </c>
      <c r="P33" s="184">
        <f t="shared" si="3"/>
        <v>3.9338529999999996</v>
      </c>
      <c r="Q33" s="207">
        <v>1.9</v>
      </c>
      <c r="R33" s="184">
        <f t="shared" si="4"/>
        <v>1.7272727272727271</v>
      </c>
      <c r="S33" s="184">
        <f t="shared" si="5"/>
        <v>-2.2065802727272725</v>
      </c>
      <c r="T33" s="171">
        <f t="shared" si="6"/>
        <v>-1.2774938421052633</v>
      </c>
    </row>
    <row r="34" spans="3:20" x14ac:dyDescent="0.2">
      <c r="C34" s="578" t="s">
        <v>1779</v>
      </c>
      <c r="D34" s="168"/>
      <c r="E34" s="222">
        <v>13033410</v>
      </c>
      <c r="F34" s="215" t="s">
        <v>466</v>
      </c>
      <c r="G34" s="89">
        <v>24</v>
      </c>
      <c r="H34" s="159"/>
      <c r="I34" s="8"/>
      <c r="J34" s="8"/>
      <c r="K34" s="17"/>
      <c r="L34" s="260">
        <v>86.855999999999995</v>
      </c>
      <c r="M34" s="220">
        <f t="shared" si="0"/>
        <v>0</v>
      </c>
      <c r="N34" s="183">
        <f t="shared" si="10"/>
        <v>3.6189999999999998</v>
      </c>
      <c r="O34" s="184">
        <f t="shared" si="2"/>
        <v>0.31485299999999994</v>
      </c>
      <c r="P34" s="184">
        <f t="shared" si="3"/>
        <v>3.9338529999999996</v>
      </c>
      <c r="Q34" s="207">
        <v>3.7</v>
      </c>
      <c r="R34" s="184">
        <f t="shared" si="4"/>
        <v>3.3636363636363633</v>
      </c>
      <c r="S34" s="184">
        <f t="shared" si="5"/>
        <v>-0.57021663636363629</v>
      </c>
      <c r="T34" s="171">
        <f t="shared" si="6"/>
        <v>-0.16952386486486487</v>
      </c>
    </row>
    <row r="35" spans="3:20" x14ac:dyDescent="0.2">
      <c r="C35" s="617" t="s">
        <v>1780</v>
      </c>
      <c r="D35" s="159"/>
      <c r="E35" s="159"/>
      <c r="F35" s="159"/>
      <c r="G35" s="159"/>
      <c r="H35" s="159"/>
      <c r="I35" s="159"/>
      <c r="J35" s="159"/>
      <c r="K35" s="159"/>
      <c r="L35" s="159"/>
      <c r="M35" s="159"/>
      <c r="N35" s="159"/>
      <c r="O35" s="159"/>
      <c r="P35" s="159"/>
      <c r="Q35" s="159"/>
      <c r="R35" s="159"/>
      <c r="S35" s="159"/>
      <c r="T35" s="159"/>
    </row>
    <row r="36" spans="3:20" x14ac:dyDescent="0.2">
      <c r="C36" s="578" t="s">
        <v>1781</v>
      </c>
      <c r="D36" s="168"/>
      <c r="E36" s="222">
        <v>13033158</v>
      </c>
      <c r="F36" s="89" t="s">
        <v>466</v>
      </c>
      <c r="G36" s="89">
        <v>18</v>
      </c>
      <c r="H36" s="159"/>
      <c r="I36" s="8"/>
      <c r="J36" s="8"/>
      <c r="K36" s="17"/>
      <c r="L36" s="260">
        <v>62.370000000000005</v>
      </c>
      <c r="M36" s="220">
        <f t="shared" si="0"/>
        <v>0</v>
      </c>
      <c r="N36" s="183">
        <f t="shared" si="10"/>
        <v>3.4650000000000003</v>
      </c>
      <c r="O36" s="184">
        <f t="shared" si="2"/>
        <v>0.30145500000000003</v>
      </c>
      <c r="P36" s="184">
        <f t="shared" si="3"/>
        <v>3.7664550000000006</v>
      </c>
      <c r="Q36" s="207">
        <v>3.7</v>
      </c>
      <c r="R36" s="184">
        <f t="shared" si="4"/>
        <v>3.3636363636363633</v>
      </c>
      <c r="S36" s="184">
        <f t="shared" si="5"/>
        <v>-0.40281863636363724</v>
      </c>
      <c r="T36" s="171">
        <f t="shared" si="6"/>
        <v>-0.11975689189189216</v>
      </c>
    </row>
    <row r="37" spans="3:20" x14ac:dyDescent="0.2">
      <c r="C37" s="578" t="s">
        <v>1782</v>
      </c>
      <c r="D37" s="168"/>
      <c r="E37" s="229">
        <v>13033429</v>
      </c>
      <c r="F37" s="89" t="s">
        <v>466</v>
      </c>
      <c r="G37" s="89">
        <v>24</v>
      </c>
      <c r="H37" s="159"/>
      <c r="I37" s="8"/>
      <c r="J37" s="8"/>
      <c r="K37" s="17"/>
      <c r="L37" s="260">
        <v>83.16</v>
      </c>
      <c r="M37" s="220">
        <f t="shared" si="0"/>
        <v>0</v>
      </c>
      <c r="N37" s="183">
        <f t="shared" si="10"/>
        <v>3.4649999999999999</v>
      </c>
      <c r="O37" s="184">
        <f t="shared" si="2"/>
        <v>0.30145499999999997</v>
      </c>
      <c r="P37" s="184">
        <f t="shared" si="3"/>
        <v>3.7664549999999997</v>
      </c>
      <c r="Q37" s="207">
        <v>3.3</v>
      </c>
      <c r="R37" s="184">
        <f t="shared" si="4"/>
        <v>2.9999999999999996</v>
      </c>
      <c r="S37" s="184">
        <f t="shared" si="5"/>
        <v>-0.76645500000000011</v>
      </c>
      <c r="T37" s="171">
        <f t="shared" si="6"/>
        <v>-0.25548500000000007</v>
      </c>
    </row>
    <row r="38" spans="3:20" x14ac:dyDescent="0.2">
      <c r="C38" s="617" t="s">
        <v>1783</v>
      </c>
      <c r="D38" s="159"/>
      <c r="E38" s="159"/>
      <c r="F38" s="159"/>
      <c r="G38" s="159"/>
      <c r="H38" s="159"/>
      <c r="I38" s="159"/>
      <c r="J38" s="159"/>
      <c r="K38" s="159"/>
      <c r="L38" s="159"/>
      <c r="M38" s="159"/>
      <c r="N38" s="159"/>
      <c r="O38" s="159"/>
      <c r="P38" s="159"/>
      <c r="Q38" s="159"/>
      <c r="R38" s="159"/>
      <c r="S38" s="159"/>
      <c r="T38" s="159"/>
    </row>
    <row r="39" spans="3:20" x14ac:dyDescent="0.2">
      <c r="C39" s="578" t="s">
        <v>1784</v>
      </c>
      <c r="D39" s="168"/>
      <c r="E39" s="229">
        <v>13033364</v>
      </c>
      <c r="F39" s="89" t="s">
        <v>466</v>
      </c>
      <c r="G39" s="89">
        <v>20</v>
      </c>
      <c r="H39" s="159"/>
      <c r="I39" s="8"/>
      <c r="J39" s="8"/>
      <c r="K39" s="17"/>
      <c r="L39" s="260">
        <v>69.3</v>
      </c>
      <c r="M39" s="220">
        <f t="shared" si="0"/>
        <v>0</v>
      </c>
      <c r="N39" s="183">
        <f t="shared" si="10"/>
        <v>3.4649999999999999</v>
      </c>
      <c r="O39" s="184">
        <f t="shared" si="2"/>
        <v>0.30145499999999997</v>
      </c>
      <c r="P39" s="184">
        <f t="shared" si="3"/>
        <v>3.7664549999999997</v>
      </c>
      <c r="Q39" s="207">
        <v>4.8</v>
      </c>
      <c r="R39" s="184">
        <f t="shared" si="4"/>
        <v>4.3636363636363633</v>
      </c>
      <c r="S39" s="184">
        <f t="shared" si="5"/>
        <v>0.59718136363636365</v>
      </c>
      <c r="T39" s="171">
        <f t="shared" si="6"/>
        <v>0.13685406250000001</v>
      </c>
    </row>
    <row r="40" spans="3:20" x14ac:dyDescent="0.2">
      <c r="C40" s="617" t="s">
        <v>1785</v>
      </c>
      <c r="D40" s="159"/>
      <c r="E40" s="159"/>
      <c r="F40" s="159"/>
      <c r="G40" s="159"/>
      <c r="H40" s="159"/>
      <c r="I40" s="159"/>
      <c r="J40" s="159"/>
      <c r="K40" s="159"/>
      <c r="L40" s="159"/>
      <c r="M40" s="159"/>
      <c r="N40" s="159"/>
      <c r="O40" s="159"/>
      <c r="P40" s="159"/>
      <c r="Q40" s="159"/>
      <c r="R40" s="159"/>
      <c r="S40" s="159"/>
      <c r="T40" s="159"/>
    </row>
    <row r="41" spans="3:20" x14ac:dyDescent="0.2">
      <c r="C41" s="578" t="s">
        <v>1786</v>
      </c>
      <c r="D41" s="168"/>
      <c r="E41" s="222">
        <v>109185</v>
      </c>
      <c r="F41" s="89" t="s">
        <v>466</v>
      </c>
      <c r="G41" s="89">
        <v>30</v>
      </c>
      <c r="H41" s="159"/>
      <c r="I41" s="8"/>
      <c r="J41" s="8"/>
      <c r="K41" s="17"/>
      <c r="L41" s="260">
        <v>56.760000000000005</v>
      </c>
      <c r="M41" s="220">
        <f t="shared" si="0"/>
        <v>0</v>
      </c>
      <c r="N41" s="183">
        <f t="shared" si="10"/>
        <v>1.8920000000000001</v>
      </c>
      <c r="O41" s="184">
        <f t="shared" si="2"/>
        <v>0.164604</v>
      </c>
      <c r="P41" s="184">
        <f t="shared" si="3"/>
        <v>2.0566040000000001</v>
      </c>
      <c r="Q41" s="207">
        <v>3.7</v>
      </c>
      <c r="R41" s="184">
        <f t="shared" si="4"/>
        <v>3.3636363636363633</v>
      </c>
      <c r="S41" s="184">
        <f t="shared" si="5"/>
        <v>1.3070323636363632</v>
      </c>
      <c r="T41" s="171">
        <f t="shared" si="6"/>
        <v>0.3885771891891891</v>
      </c>
    </row>
    <row r="42" spans="3:20" x14ac:dyDescent="0.2">
      <c r="C42" s="578" t="s">
        <v>1787</v>
      </c>
      <c r="D42" s="168"/>
      <c r="E42" s="222">
        <v>12104780</v>
      </c>
      <c r="F42" s="89" t="s">
        <v>466</v>
      </c>
      <c r="G42" s="89">
        <v>24</v>
      </c>
      <c r="H42" s="159"/>
      <c r="I42" s="8"/>
      <c r="J42" s="8"/>
      <c r="K42" s="17"/>
      <c r="L42" s="260">
        <v>45.408000000000001</v>
      </c>
      <c r="M42" s="220">
        <f>K42*L42</f>
        <v>0</v>
      </c>
      <c r="N42" s="183">
        <f t="shared" si="10"/>
        <v>1.8920000000000001</v>
      </c>
      <c r="O42" s="184">
        <f t="shared" si="2"/>
        <v>0.164604</v>
      </c>
      <c r="P42" s="184">
        <f t="shared" si="3"/>
        <v>2.0566040000000001</v>
      </c>
      <c r="Q42" s="207">
        <v>3.7</v>
      </c>
      <c r="R42" s="184">
        <f t="shared" si="4"/>
        <v>3.3636363636363633</v>
      </c>
      <c r="S42" s="184">
        <f t="shared" si="5"/>
        <v>1.3070323636363632</v>
      </c>
      <c r="T42" s="171">
        <f t="shared" si="6"/>
        <v>0.3885771891891891</v>
      </c>
    </row>
    <row r="43" spans="3:20" ht="17" thickBot="1" x14ac:dyDescent="0.25">
      <c r="C43" s="221"/>
      <c r="D43" s="168"/>
      <c r="E43" s="222"/>
      <c r="F43" s="89"/>
      <c r="G43" s="106"/>
      <c r="H43" s="159"/>
      <c r="I43" s="8"/>
      <c r="J43" s="8"/>
      <c r="K43" s="17"/>
      <c r="L43" s="260"/>
      <c r="M43" s="220">
        <f>K43*L43</f>
        <v>0</v>
      </c>
      <c r="N43" s="183"/>
      <c r="O43" s="184">
        <f t="shared" si="2"/>
        <v>0</v>
      </c>
      <c r="P43" s="184">
        <f t="shared" si="3"/>
        <v>0</v>
      </c>
      <c r="Q43" s="207">
        <v>3.7</v>
      </c>
      <c r="R43" s="184">
        <f t="shared" si="4"/>
        <v>3.3636363636363633</v>
      </c>
      <c r="S43" s="184">
        <f t="shared" si="5"/>
        <v>3.3636363636363633</v>
      </c>
      <c r="T43" s="171">
        <f t="shared" si="6"/>
        <v>1</v>
      </c>
    </row>
    <row r="44" spans="3:20" ht="17" thickBot="1" x14ac:dyDescent="0.25">
      <c r="C44" s="724"/>
      <c r="D44" s="725"/>
      <c r="E44" s="725"/>
      <c r="F44" s="726"/>
      <c r="G44" s="726"/>
      <c r="H44" s="726"/>
      <c r="I44" s="726"/>
      <c r="J44" s="726"/>
      <c r="K44" s="726"/>
      <c r="L44" s="726"/>
      <c r="M44" s="240">
        <f>SUM(M32:M43)</f>
        <v>0</v>
      </c>
      <c r="N44" s="183"/>
      <c r="O44" s="184">
        <f>N44*$O$12</f>
        <v>0</v>
      </c>
      <c r="P44" s="184">
        <f t="shared" ref="P44" si="11">N44+O44</f>
        <v>0</v>
      </c>
      <c r="Q44" s="207"/>
      <c r="R44" s="184"/>
      <c r="S44" s="184">
        <f t="shared" ref="S44" si="12">R44-P44</f>
        <v>0</v>
      </c>
      <c r="T44" s="171"/>
    </row>
  </sheetData>
  <mergeCells count="18">
    <mergeCell ref="C8:E8"/>
    <mergeCell ref="F8:G8"/>
    <mergeCell ref="C44:L44"/>
    <mergeCell ref="C5:E5"/>
    <mergeCell ref="F5:G5"/>
    <mergeCell ref="J5:K5"/>
    <mergeCell ref="C6:E6"/>
    <mergeCell ref="F6:G6"/>
    <mergeCell ref="C7:E7"/>
    <mergeCell ref="F7:G7"/>
    <mergeCell ref="C4:E4"/>
    <mergeCell ref="F4:G4"/>
    <mergeCell ref="J4:K4"/>
    <mergeCell ref="C2:G2"/>
    <mergeCell ref="J2:K2"/>
    <mergeCell ref="C3:E3"/>
    <mergeCell ref="F3:G3"/>
    <mergeCell ref="J3:K3"/>
  </mergeCells>
  <pageMargins left="0.23622047244094491" right="0.23622047244094491" top="0.74803149606299213" bottom="0.74803149606299213" header="0.31496062992125984" footer="0.31496062992125984"/>
  <pageSetup paperSize="9" scale="48" fitToHeight="6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A859C-9AF7-40F9-BD7F-3C8D20B7D579}">
  <sheetPr>
    <tabColor rgb="FF00B0F0"/>
    <pageSetUpPr fitToPage="1"/>
  </sheetPr>
  <dimension ref="C1:T32"/>
  <sheetViews>
    <sheetView zoomScale="108" zoomScaleNormal="80" workbookViewId="0">
      <selection activeCell="C2" sqref="C2:G2"/>
    </sheetView>
  </sheetViews>
  <sheetFormatPr baseColWidth="10" defaultColWidth="11" defaultRowHeight="16" x14ac:dyDescent="0.2"/>
  <cols>
    <col min="1" max="2" width="5.6640625" style="120" customWidth="1"/>
    <col min="3" max="3" width="57.33203125" style="120" customWidth="1"/>
    <col min="4" max="4" width="15.5" style="120" bestFit="1" customWidth="1"/>
    <col min="5" max="5" width="7.6640625" style="120" bestFit="1" customWidth="1"/>
    <col min="6" max="8" width="15.6640625" style="120" customWidth="1"/>
    <col min="9" max="10" width="15.6640625" style="129" customWidth="1"/>
    <col min="11" max="11" width="15.6640625" style="130" customWidth="1"/>
    <col min="12" max="16" width="15.6640625" style="120" customWidth="1"/>
    <col min="17" max="17" width="15.6640625" style="131" customWidth="1"/>
    <col min="18" max="20" width="15.6640625" style="120" customWidth="1"/>
    <col min="21" max="16384" width="11" style="120"/>
  </cols>
  <sheetData>
    <row r="1" spans="3:20" ht="17" thickBot="1" x14ac:dyDescent="0.25"/>
    <row r="2" spans="3:20" x14ac:dyDescent="0.2">
      <c r="C2" s="704" t="s">
        <v>1788</v>
      </c>
      <c r="D2" s="718"/>
      <c r="E2" s="718"/>
      <c r="F2" s="705"/>
      <c r="G2" s="706"/>
      <c r="H2" s="132"/>
      <c r="J2" s="699" t="s">
        <v>61</v>
      </c>
      <c r="K2" s="699"/>
      <c r="Q2" s="120"/>
      <c r="R2" s="131"/>
    </row>
    <row r="3" spans="3:20" x14ac:dyDescent="0.2">
      <c r="C3" s="712" t="s">
        <v>62</v>
      </c>
      <c r="D3" s="713"/>
      <c r="E3" s="703"/>
      <c r="F3" s="660" t="s">
        <v>1745</v>
      </c>
      <c r="G3" s="719"/>
      <c r="H3" s="134"/>
      <c r="J3" s="720" t="str">
        <f>COVER!C9</f>
        <v>ian.shotam@programmed.com.au</v>
      </c>
      <c r="K3" s="721"/>
      <c r="Q3" s="120"/>
      <c r="R3" s="131"/>
    </row>
    <row r="4" spans="3:20" ht="15.5" customHeight="1" x14ac:dyDescent="0.2">
      <c r="C4" s="712" t="str">
        <f>COVER!B12</f>
        <v>SITE</v>
      </c>
      <c r="D4" s="713"/>
      <c r="E4" s="703"/>
      <c r="F4" s="714" t="str">
        <f>COVER!C12</f>
        <v>GOLDEN GROVE</v>
      </c>
      <c r="G4" s="715"/>
      <c r="H4" s="134"/>
      <c r="J4" s="716" t="s">
        <v>54</v>
      </c>
      <c r="K4" s="717"/>
      <c r="Q4" s="120"/>
      <c r="R4" s="131"/>
    </row>
    <row r="5" spans="3:20" ht="16" customHeight="1" x14ac:dyDescent="0.2">
      <c r="C5" s="712" t="str">
        <f>COVER!B13</f>
        <v>MANAGERS NAME</v>
      </c>
      <c r="D5" s="713"/>
      <c r="E5" s="703"/>
      <c r="F5" s="714" t="str">
        <f>COVER!C13</f>
        <v>Ian Shotam</v>
      </c>
      <c r="G5" s="715"/>
      <c r="H5" s="134"/>
      <c r="J5" s="727" t="s">
        <v>55</v>
      </c>
      <c r="K5" s="717"/>
      <c r="Q5" s="120"/>
      <c r="R5" s="131"/>
    </row>
    <row r="6" spans="3:20" x14ac:dyDescent="0.2">
      <c r="C6" s="712" t="str">
        <f>COVER!B14</f>
        <v>DATE - ORDER PLACED</v>
      </c>
      <c r="D6" s="713"/>
      <c r="E6" s="703"/>
      <c r="F6" s="722">
        <f>COVER!C14</f>
        <v>45082</v>
      </c>
      <c r="G6" s="723"/>
    </row>
    <row r="7" spans="3:20" x14ac:dyDescent="0.2">
      <c r="C7" s="712" t="str">
        <f>COVER!B15</f>
        <v>DATE - DELIVERY PERTH - FREIGHT LINES, 12-26 RIVERSDALE RD, WELSHPOOL WA 6100</v>
      </c>
      <c r="D7" s="713"/>
      <c r="E7" s="703"/>
      <c r="F7" s="722">
        <f>COVER!C15</f>
        <v>45085</v>
      </c>
      <c r="G7" s="723"/>
    </row>
    <row r="8" spans="3:20" x14ac:dyDescent="0.2">
      <c r="C8" s="712" t="str">
        <f>COVER!B16</f>
        <v>DATE - ESTIMATED ARRIVAL SITE</v>
      </c>
      <c r="D8" s="713"/>
      <c r="E8" s="703"/>
      <c r="F8" s="722">
        <f>COVER!C16</f>
        <v>45086</v>
      </c>
      <c r="G8" s="723"/>
    </row>
    <row r="9" spans="3:20" ht="17" thickBot="1" x14ac:dyDescent="0.25"/>
    <row r="10" spans="3:20" ht="30" customHeight="1" thickBot="1" x14ac:dyDescent="0.25">
      <c r="C10" s="138"/>
      <c r="D10" s="139"/>
      <c r="E10" s="140"/>
      <c r="F10" s="140"/>
      <c r="G10" s="140"/>
      <c r="H10" s="140"/>
      <c r="I10" s="141"/>
      <c r="J10" s="141"/>
      <c r="K10" s="141"/>
      <c r="L10" s="142"/>
      <c r="M10" s="143"/>
      <c r="R10" s="129">
        <v>1.1000000000000001</v>
      </c>
    </row>
    <row r="11" spans="3:20" ht="24.75" customHeight="1" thickBot="1" x14ac:dyDescent="0.25">
      <c r="C11" s="211" t="s">
        <v>1789</v>
      </c>
      <c r="D11" s="145" t="s">
        <v>1746</v>
      </c>
      <c r="E11" s="146" t="s">
        <v>65</v>
      </c>
      <c r="F11" s="146" t="s">
        <v>66</v>
      </c>
      <c r="G11" s="146" t="s">
        <v>1747</v>
      </c>
      <c r="H11" s="146" t="s">
        <v>1748</v>
      </c>
      <c r="I11" s="76" t="s">
        <v>1749</v>
      </c>
      <c r="J11" s="76" t="s">
        <v>1750</v>
      </c>
      <c r="K11" s="76" t="s">
        <v>1751</v>
      </c>
      <c r="L11" s="77" t="s">
        <v>1752</v>
      </c>
      <c r="M11" s="212" t="s">
        <v>25</v>
      </c>
      <c r="N11" s="149" t="s">
        <v>1753</v>
      </c>
      <c r="O11" s="371"/>
      <c r="P11" s="371"/>
      <c r="Q11" s="150" t="s">
        <v>1754</v>
      </c>
      <c r="R11" s="151" t="s">
        <v>1755</v>
      </c>
      <c r="S11" s="152" t="s">
        <v>1756</v>
      </c>
      <c r="T11" s="153" t="s">
        <v>1757</v>
      </c>
    </row>
    <row r="12" spans="3:20" x14ac:dyDescent="0.2">
      <c r="C12" s="404"/>
      <c r="D12" s="432"/>
      <c r="E12" s="433"/>
      <c r="F12" s="407"/>
      <c r="G12" s="406"/>
      <c r="H12" s="406"/>
      <c r="I12" s="408"/>
      <c r="J12" s="408"/>
      <c r="K12" s="408"/>
      <c r="L12" s="434"/>
      <c r="M12" s="435"/>
      <c r="N12" s="436"/>
      <c r="O12" s="437">
        <v>8.6999999999999994E-2</v>
      </c>
      <c r="P12" s="438"/>
      <c r="Q12" s="439"/>
      <c r="R12" s="440"/>
      <c r="S12" s="441"/>
      <c r="T12" s="442"/>
    </row>
    <row r="13" spans="3:20" x14ac:dyDescent="0.2">
      <c r="C13" s="600" t="s">
        <v>1790</v>
      </c>
      <c r="D13" s="237"/>
      <c r="E13" s="429"/>
      <c r="F13" s="430"/>
      <c r="G13" s="216"/>
      <c r="H13" s="217"/>
      <c r="I13" s="9"/>
      <c r="J13" s="2"/>
      <c r="K13" s="19"/>
      <c r="L13" s="264"/>
      <c r="M13" s="220"/>
      <c r="N13" s="418"/>
      <c r="O13" s="419"/>
      <c r="P13" s="419"/>
      <c r="Q13" s="431"/>
      <c r="R13" s="419"/>
      <c r="S13" s="419"/>
      <c r="T13" s="421"/>
    </row>
    <row r="14" spans="3:20" x14ac:dyDescent="0.2">
      <c r="C14" s="221" t="s">
        <v>1791</v>
      </c>
      <c r="D14" s="168">
        <v>9327329010628</v>
      </c>
      <c r="E14" s="225">
        <v>407804</v>
      </c>
      <c r="F14" s="215" t="s">
        <v>1792</v>
      </c>
      <c r="G14" s="223">
        <v>10</v>
      </c>
      <c r="H14" s="224" t="s">
        <v>77</v>
      </c>
      <c r="I14" s="8"/>
      <c r="J14" s="3"/>
      <c r="K14" s="20"/>
      <c r="L14" s="260">
        <v>513.44000000000005</v>
      </c>
      <c r="M14" s="220">
        <f t="shared" ref="M14:M31" si="0">K14*L14</f>
        <v>0</v>
      </c>
      <c r="N14" s="183">
        <f t="shared" ref="N14:N31" si="1">L14/G14</f>
        <v>51.344000000000008</v>
      </c>
      <c r="O14" s="184">
        <f t="shared" ref="O14:O31" si="2">N14*$O$12</f>
        <v>4.4669280000000002</v>
      </c>
      <c r="P14" s="184">
        <f t="shared" ref="P14:P31" si="3">N14+O14</f>
        <v>55.810928000000011</v>
      </c>
      <c r="Q14" s="207">
        <v>71</v>
      </c>
      <c r="R14" s="184">
        <f t="shared" ref="R14:R31" si="4">Q14/$R$10</f>
        <v>64.545454545454547</v>
      </c>
      <c r="S14" s="184">
        <f t="shared" ref="S14:S32" si="5">R14-P14</f>
        <v>8.7345265454545356</v>
      </c>
      <c r="T14" s="171">
        <f t="shared" ref="T14:T31" si="6">S14/R14</f>
        <v>0.1353236507042252</v>
      </c>
    </row>
    <row r="15" spans="3:20" x14ac:dyDescent="0.2">
      <c r="C15" s="221" t="s">
        <v>1793</v>
      </c>
      <c r="D15" s="168">
        <v>9310797281683</v>
      </c>
      <c r="E15" s="225">
        <v>602629</v>
      </c>
      <c r="F15" s="215" t="s">
        <v>1792</v>
      </c>
      <c r="G15" s="223">
        <v>5</v>
      </c>
      <c r="H15" s="224" t="s">
        <v>77</v>
      </c>
      <c r="I15" s="8"/>
      <c r="J15" s="3"/>
      <c r="K15" s="20"/>
      <c r="L15" s="260">
        <v>254.13</v>
      </c>
      <c r="M15" s="220">
        <f t="shared" si="0"/>
        <v>0</v>
      </c>
      <c r="N15" s="183">
        <f t="shared" si="1"/>
        <v>50.826000000000001</v>
      </c>
      <c r="O15" s="184">
        <f t="shared" si="2"/>
        <v>4.421862</v>
      </c>
      <c r="P15" s="184">
        <f t="shared" si="3"/>
        <v>55.247861999999998</v>
      </c>
      <c r="Q15" s="207">
        <v>70</v>
      </c>
      <c r="R15" s="184">
        <f t="shared" si="4"/>
        <v>63.636363636363633</v>
      </c>
      <c r="S15" s="184">
        <f t="shared" si="5"/>
        <v>8.3885016363636353</v>
      </c>
      <c r="T15" s="171">
        <f t="shared" si="6"/>
        <v>0.13181931142857142</v>
      </c>
    </row>
    <row r="16" spans="3:20" x14ac:dyDescent="0.2">
      <c r="C16" s="226" t="s">
        <v>1794</v>
      </c>
      <c r="D16" s="168">
        <v>9310764297488</v>
      </c>
      <c r="E16" s="225">
        <v>349365</v>
      </c>
      <c r="F16" s="215" t="s">
        <v>1795</v>
      </c>
      <c r="G16" s="223">
        <v>5</v>
      </c>
      <c r="H16" s="224" t="s">
        <v>77</v>
      </c>
      <c r="I16" s="8"/>
      <c r="J16" s="3"/>
      <c r="K16" s="20"/>
      <c r="L16" s="260">
        <v>516.53</v>
      </c>
      <c r="M16" s="220">
        <f t="shared" si="0"/>
        <v>0</v>
      </c>
      <c r="N16" s="183">
        <f t="shared" si="1"/>
        <v>103.306</v>
      </c>
      <c r="O16" s="184">
        <f t="shared" si="2"/>
        <v>8.987622</v>
      </c>
      <c r="P16" s="184">
        <f t="shared" si="3"/>
        <v>112.293622</v>
      </c>
      <c r="Q16" s="207">
        <v>142</v>
      </c>
      <c r="R16" s="184">
        <f t="shared" si="4"/>
        <v>129.09090909090909</v>
      </c>
      <c r="S16" s="184">
        <f t="shared" si="5"/>
        <v>16.797287090909094</v>
      </c>
      <c r="T16" s="171">
        <f t="shared" si="6"/>
        <v>0.13011982957746482</v>
      </c>
    </row>
    <row r="17" spans="3:20" x14ac:dyDescent="0.2">
      <c r="C17" s="226" t="s">
        <v>1796</v>
      </c>
      <c r="D17" s="168"/>
      <c r="E17" s="225">
        <v>6616</v>
      </c>
      <c r="F17" s="215" t="s">
        <v>1795</v>
      </c>
      <c r="G17" s="223">
        <v>5</v>
      </c>
      <c r="H17" s="224" t="s">
        <v>77</v>
      </c>
      <c r="I17" s="8"/>
      <c r="J17" s="3"/>
      <c r="K17" s="20"/>
      <c r="L17" s="260">
        <v>516.53</v>
      </c>
      <c r="M17" s="220">
        <f t="shared" si="0"/>
        <v>0</v>
      </c>
      <c r="N17" s="183">
        <f t="shared" si="1"/>
        <v>103.306</v>
      </c>
      <c r="O17" s="184">
        <f t="shared" si="2"/>
        <v>8.987622</v>
      </c>
      <c r="P17" s="184">
        <f t="shared" si="3"/>
        <v>112.293622</v>
      </c>
      <c r="Q17" s="207">
        <v>142</v>
      </c>
      <c r="R17" s="184">
        <f t="shared" si="4"/>
        <v>129.09090909090909</v>
      </c>
      <c r="S17" s="184">
        <f t="shared" si="5"/>
        <v>16.797287090909094</v>
      </c>
      <c r="T17" s="171">
        <f t="shared" si="6"/>
        <v>0.13011982957746482</v>
      </c>
    </row>
    <row r="18" spans="3:20" x14ac:dyDescent="0.2">
      <c r="C18" s="600" t="s">
        <v>1797</v>
      </c>
      <c r="D18" s="168"/>
      <c r="E18" s="225"/>
      <c r="F18" s="215"/>
      <c r="G18" s="223"/>
      <c r="H18" s="224"/>
      <c r="I18" s="8"/>
      <c r="J18" s="3"/>
      <c r="K18" s="20"/>
      <c r="L18" s="260"/>
      <c r="M18" s="220"/>
      <c r="N18" s="183"/>
      <c r="O18" s="184"/>
      <c r="P18" s="184"/>
      <c r="Q18" s="207"/>
      <c r="R18" s="184"/>
      <c r="S18" s="184"/>
      <c r="T18" s="171"/>
    </row>
    <row r="19" spans="3:20" x14ac:dyDescent="0.2">
      <c r="C19" s="221" t="s">
        <v>1798</v>
      </c>
      <c r="D19" s="168">
        <v>9327329004962</v>
      </c>
      <c r="E19" s="225">
        <v>348762</v>
      </c>
      <c r="F19" s="215" t="s">
        <v>1799</v>
      </c>
      <c r="G19" s="223">
        <v>10</v>
      </c>
      <c r="H19" s="224" t="s">
        <v>77</v>
      </c>
      <c r="I19" s="8"/>
      <c r="J19" s="3"/>
      <c r="K19" s="20"/>
      <c r="L19" s="260">
        <v>313.41000000000003</v>
      </c>
      <c r="M19" s="220">
        <f t="shared" si="0"/>
        <v>0</v>
      </c>
      <c r="N19" s="183">
        <f t="shared" si="1"/>
        <v>31.341000000000001</v>
      </c>
      <c r="O19" s="184">
        <f t="shared" si="2"/>
        <v>2.726667</v>
      </c>
      <c r="P19" s="184">
        <f t="shared" si="3"/>
        <v>34.067667</v>
      </c>
      <c r="Q19" s="207">
        <v>43</v>
      </c>
      <c r="R19" s="184">
        <f t="shared" si="4"/>
        <v>39.090909090909086</v>
      </c>
      <c r="S19" s="184">
        <f t="shared" si="5"/>
        <v>5.0232420909090862</v>
      </c>
      <c r="T19" s="171">
        <f t="shared" si="6"/>
        <v>0.128501541860465</v>
      </c>
    </row>
    <row r="20" spans="3:20" x14ac:dyDescent="0.2">
      <c r="C20" s="221" t="s">
        <v>1800</v>
      </c>
      <c r="D20" s="168">
        <v>9327329004948</v>
      </c>
      <c r="E20" s="225">
        <v>348788</v>
      </c>
      <c r="F20" s="215" t="s">
        <v>1799</v>
      </c>
      <c r="G20" s="223">
        <v>10</v>
      </c>
      <c r="H20" s="224" t="s">
        <v>77</v>
      </c>
      <c r="I20" s="8"/>
      <c r="J20" s="3"/>
      <c r="K20" s="20"/>
      <c r="L20" s="260">
        <v>313.41000000000003</v>
      </c>
      <c r="M20" s="220">
        <f t="shared" si="0"/>
        <v>0</v>
      </c>
      <c r="N20" s="183">
        <f t="shared" si="1"/>
        <v>31.341000000000001</v>
      </c>
      <c r="O20" s="184">
        <f t="shared" si="2"/>
        <v>2.726667</v>
      </c>
      <c r="P20" s="184">
        <f t="shared" si="3"/>
        <v>34.067667</v>
      </c>
      <c r="Q20" s="207">
        <v>43</v>
      </c>
      <c r="R20" s="184">
        <f t="shared" si="4"/>
        <v>39.090909090909086</v>
      </c>
      <c r="S20" s="184">
        <f t="shared" si="5"/>
        <v>5.0232420909090862</v>
      </c>
      <c r="T20" s="171">
        <f t="shared" si="6"/>
        <v>0.128501541860465</v>
      </c>
    </row>
    <row r="21" spans="3:20" x14ac:dyDescent="0.2">
      <c r="C21" s="226" t="s">
        <v>1801</v>
      </c>
      <c r="D21" s="168"/>
      <c r="E21" s="225">
        <v>631791</v>
      </c>
      <c r="F21" s="215" t="s">
        <v>1802</v>
      </c>
      <c r="G21" s="223">
        <v>6</v>
      </c>
      <c r="H21" s="224" t="s">
        <v>77</v>
      </c>
      <c r="I21" s="8"/>
      <c r="J21" s="3"/>
      <c r="K21" s="20"/>
      <c r="L21" s="260">
        <v>269.56</v>
      </c>
      <c r="M21" s="220">
        <f t="shared" si="0"/>
        <v>0</v>
      </c>
      <c r="N21" s="183">
        <f t="shared" si="1"/>
        <v>44.926666666666669</v>
      </c>
      <c r="O21" s="184">
        <f t="shared" si="2"/>
        <v>3.90862</v>
      </c>
      <c r="P21" s="184">
        <f t="shared" si="3"/>
        <v>48.835286666666669</v>
      </c>
      <c r="Q21" s="207">
        <v>62</v>
      </c>
      <c r="R21" s="184">
        <f t="shared" si="4"/>
        <v>56.36363636363636</v>
      </c>
      <c r="S21" s="184">
        <f t="shared" si="5"/>
        <v>7.5283496969696913</v>
      </c>
      <c r="T21" s="171">
        <f t="shared" si="6"/>
        <v>0.13356749462365583</v>
      </c>
    </row>
    <row r="22" spans="3:20" x14ac:dyDescent="0.2">
      <c r="C22" s="226" t="s">
        <v>1803</v>
      </c>
      <c r="D22" s="168"/>
      <c r="E22" s="225">
        <v>253954</v>
      </c>
      <c r="F22" s="215" t="s">
        <v>1802</v>
      </c>
      <c r="G22" s="223">
        <v>6</v>
      </c>
      <c r="H22" s="224" t="s">
        <v>77</v>
      </c>
      <c r="I22" s="8"/>
      <c r="J22" s="3"/>
      <c r="K22" s="20"/>
      <c r="L22" s="260">
        <v>269.56</v>
      </c>
      <c r="M22" s="220">
        <f t="shared" si="0"/>
        <v>0</v>
      </c>
      <c r="N22" s="183">
        <f t="shared" si="1"/>
        <v>44.926666666666669</v>
      </c>
      <c r="O22" s="184">
        <f t="shared" si="2"/>
        <v>3.90862</v>
      </c>
      <c r="P22" s="184">
        <f t="shared" si="3"/>
        <v>48.835286666666669</v>
      </c>
      <c r="Q22" s="207">
        <v>62</v>
      </c>
      <c r="R22" s="184">
        <f t="shared" si="4"/>
        <v>56.36363636363636</v>
      </c>
      <c r="S22" s="184">
        <f t="shared" si="5"/>
        <v>7.5283496969696913</v>
      </c>
      <c r="T22" s="171">
        <f t="shared" si="6"/>
        <v>0.13356749462365583</v>
      </c>
    </row>
    <row r="23" spans="3:20" x14ac:dyDescent="0.2">
      <c r="C23" s="226" t="s">
        <v>1804</v>
      </c>
      <c r="D23" s="168"/>
      <c r="E23" s="225">
        <v>254170</v>
      </c>
      <c r="F23" s="215" t="s">
        <v>1802</v>
      </c>
      <c r="G23" s="223">
        <v>6</v>
      </c>
      <c r="H23" s="224" t="s">
        <v>77</v>
      </c>
      <c r="I23" s="8"/>
      <c r="J23" s="3"/>
      <c r="K23" s="20"/>
      <c r="L23" s="260">
        <v>269.56</v>
      </c>
      <c r="M23" s="220">
        <f t="shared" si="0"/>
        <v>0</v>
      </c>
      <c r="N23" s="183">
        <f t="shared" si="1"/>
        <v>44.926666666666669</v>
      </c>
      <c r="O23" s="184">
        <f t="shared" si="2"/>
        <v>3.90862</v>
      </c>
      <c r="P23" s="184">
        <f t="shared" si="3"/>
        <v>48.835286666666669</v>
      </c>
      <c r="Q23" s="207">
        <v>62</v>
      </c>
      <c r="R23" s="184">
        <f t="shared" si="4"/>
        <v>56.36363636363636</v>
      </c>
      <c r="S23" s="184">
        <f t="shared" si="5"/>
        <v>7.5283496969696913</v>
      </c>
      <c r="T23" s="171">
        <f t="shared" si="6"/>
        <v>0.13356749462365583</v>
      </c>
    </row>
    <row r="24" spans="3:20" x14ac:dyDescent="0.2">
      <c r="C24" s="226" t="s">
        <v>1805</v>
      </c>
      <c r="D24" s="168">
        <v>9310797281478</v>
      </c>
      <c r="E24" s="225">
        <v>253912</v>
      </c>
      <c r="F24" s="215" t="s">
        <v>1802</v>
      </c>
      <c r="G24" s="223">
        <v>6</v>
      </c>
      <c r="H24" s="224" t="s">
        <v>77</v>
      </c>
      <c r="I24" s="8"/>
      <c r="J24" s="3"/>
      <c r="K24" s="20"/>
      <c r="L24" s="260">
        <v>269.56</v>
      </c>
      <c r="M24" s="220">
        <f t="shared" si="0"/>
        <v>0</v>
      </c>
      <c r="N24" s="183">
        <f t="shared" si="1"/>
        <v>44.926666666666669</v>
      </c>
      <c r="O24" s="184">
        <f t="shared" si="2"/>
        <v>3.90862</v>
      </c>
      <c r="P24" s="184">
        <f t="shared" si="3"/>
        <v>48.835286666666669</v>
      </c>
      <c r="Q24" s="207">
        <v>62</v>
      </c>
      <c r="R24" s="184">
        <f t="shared" si="4"/>
        <v>56.36363636363636</v>
      </c>
      <c r="S24" s="184">
        <f t="shared" si="5"/>
        <v>7.5283496969696913</v>
      </c>
      <c r="T24" s="171">
        <f t="shared" si="6"/>
        <v>0.13356749462365583</v>
      </c>
    </row>
    <row r="25" spans="3:20" x14ac:dyDescent="0.2">
      <c r="C25" s="600" t="s">
        <v>1806</v>
      </c>
      <c r="D25" s="168"/>
      <c r="E25" s="225"/>
      <c r="F25" s="215"/>
      <c r="G25" s="223"/>
      <c r="H25" s="224"/>
      <c r="I25" s="8"/>
      <c r="J25" s="3"/>
      <c r="K25" s="20"/>
      <c r="L25" s="260"/>
      <c r="M25" s="220"/>
      <c r="N25" s="183"/>
      <c r="O25" s="184"/>
      <c r="P25" s="184"/>
      <c r="Q25" s="207"/>
      <c r="R25" s="184"/>
      <c r="S25" s="184"/>
      <c r="T25" s="171"/>
    </row>
    <row r="26" spans="3:20" x14ac:dyDescent="0.2">
      <c r="C26" s="213" t="s">
        <v>1807</v>
      </c>
      <c r="D26" s="237">
        <v>70330600065</v>
      </c>
      <c r="E26" s="429">
        <v>437875</v>
      </c>
      <c r="F26" s="430" t="s">
        <v>223</v>
      </c>
      <c r="G26" s="216">
        <v>50</v>
      </c>
      <c r="H26" s="217" t="s">
        <v>77</v>
      </c>
      <c r="I26" s="9"/>
      <c r="J26" s="2"/>
      <c r="K26" s="19"/>
      <c r="L26" s="264">
        <v>68.42</v>
      </c>
      <c r="M26" s="220">
        <f t="shared" ref="M26" si="7">K26*L26</f>
        <v>0</v>
      </c>
      <c r="N26" s="418">
        <f t="shared" ref="N26" si="8">L26/G26</f>
        <v>1.3684000000000001</v>
      </c>
      <c r="O26" s="419">
        <f>N26*$O$12</f>
        <v>0.1190508</v>
      </c>
      <c r="P26" s="419">
        <f>N26+O26</f>
        <v>1.4874508</v>
      </c>
      <c r="Q26" s="431">
        <v>1.9</v>
      </c>
      <c r="R26" s="419">
        <f>Q26/$R$10</f>
        <v>1.7272727272727271</v>
      </c>
      <c r="S26" s="419">
        <f>R26-P26</f>
        <v>0.23982192727272711</v>
      </c>
      <c r="T26" s="421">
        <f t="shared" ref="T26" si="9">S26/R26</f>
        <v>0.13884427368421046</v>
      </c>
    </row>
    <row r="27" spans="3:20" x14ac:dyDescent="0.2">
      <c r="C27" s="226" t="s">
        <v>1808</v>
      </c>
      <c r="D27" s="168"/>
      <c r="E27" s="225">
        <v>485323</v>
      </c>
      <c r="F27" s="215" t="s">
        <v>1809</v>
      </c>
      <c r="G27" s="223">
        <v>12</v>
      </c>
      <c r="H27" s="217" t="s">
        <v>77</v>
      </c>
      <c r="I27" s="8"/>
      <c r="J27" s="3"/>
      <c r="K27" s="20"/>
      <c r="L27" s="260">
        <v>11.8</v>
      </c>
      <c r="M27" s="220">
        <f t="shared" si="0"/>
        <v>0</v>
      </c>
      <c r="N27" s="183">
        <f>L27/G27</f>
        <v>0.98333333333333339</v>
      </c>
      <c r="O27" s="184">
        <f t="shared" si="2"/>
        <v>8.5550000000000001E-2</v>
      </c>
      <c r="P27" s="184">
        <f t="shared" si="3"/>
        <v>1.0688833333333334</v>
      </c>
      <c r="Q27" s="207">
        <v>1.4</v>
      </c>
      <c r="R27" s="184">
        <f t="shared" si="4"/>
        <v>1.2727272727272725</v>
      </c>
      <c r="S27" s="184">
        <f t="shared" si="5"/>
        <v>0.20384393939393908</v>
      </c>
      <c r="T27" s="171">
        <f t="shared" si="6"/>
        <v>0.16016309523809502</v>
      </c>
    </row>
    <row r="28" spans="3:20" x14ac:dyDescent="0.2">
      <c r="C28" s="226" t="s">
        <v>1810</v>
      </c>
      <c r="D28" s="168"/>
      <c r="E28" s="225">
        <v>19041</v>
      </c>
      <c r="F28" s="215" t="s">
        <v>1811</v>
      </c>
      <c r="G28" s="223">
        <v>12</v>
      </c>
      <c r="H28" s="217" t="s">
        <v>77</v>
      </c>
      <c r="I28" s="8"/>
      <c r="J28" s="3"/>
      <c r="K28" s="20"/>
      <c r="L28" s="260">
        <v>11.61</v>
      </c>
      <c r="M28" s="220">
        <f t="shared" si="0"/>
        <v>0</v>
      </c>
      <c r="N28" s="183">
        <f>L28/G28</f>
        <v>0.96749999999999992</v>
      </c>
      <c r="O28" s="184">
        <f t="shared" si="2"/>
        <v>8.4172499999999983E-2</v>
      </c>
      <c r="P28" s="184">
        <f t="shared" si="3"/>
        <v>1.0516725</v>
      </c>
      <c r="Q28" s="207"/>
      <c r="R28" s="184"/>
      <c r="S28" s="184"/>
      <c r="T28" s="171"/>
    </row>
    <row r="29" spans="3:20" x14ac:dyDescent="0.2">
      <c r="C29" s="226" t="s">
        <v>1812</v>
      </c>
      <c r="D29" s="168"/>
      <c r="E29" s="225">
        <v>329983</v>
      </c>
      <c r="F29" s="215" t="s">
        <v>1809</v>
      </c>
      <c r="G29" s="223">
        <v>12</v>
      </c>
      <c r="H29" s="217" t="s">
        <v>77</v>
      </c>
      <c r="I29" s="8"/>
      <c r="J29" s="3"/>
      <c r="K29" s="20"/>
      <c r="L29" s="260">
        <v>11.8</v>
      </c>
      <c r="M29" s="220">
        <f t="shared" si="0"/>
        <v>0</v>
      </c>
      <c r="N29" s="183">
        <f>L29/G29</f>
        <v>0.98333333333333339</v>
      </c>
      <c r="O29" s="184">
        <f t="shared" si="2"/>
        <v>8.5550000000000001E-2</v>
      </c>
      <c r="P29" s="184">
        <f t="shared" si="3"/>
        <v>1.0688833333333334</v>
      </c>
      <c r="Q29" s="207"/>
      <c r="R29" s="184"/>
      <c r="S29" s="184"/>
      <c r="T29" s="171"/>
    </row>
    <row r="30" spans="3:20" x14ac:dyDescent="0.2">
      <c r="C30" s="226" t="s">
        <v>1813</v>
      </c>
      <c r="D30" s="168"/>
      <c r="E30" s="225">
        <v>999979</v>
      </c>
      <c r="F30" s="215" t="s">
        <v>1814</v>
      </c>
      <c r="G30" s="223">
        <v>25</v>
      </c>
      <c r="H30" s="217" t="s">
        <v>77</v>
      </c>
      <c r="I30" s="8"/>
      <c r="J30" s="3"/>
      <c r="K30" s="20"/>
      <c r="L30" s="260">
        <v>21.78</v>
      </c>
      <c r="M30" s="220">
        <f t="shared" si="0"/>
        <v>0</v>
      </c>
      <c r="N30" s="183">
        <f>L30/G30</f>
        <v>0.87120000000000009</v>
      </c>
      <c r="O30" s="184">
        <f t="shared" si="2"/>
        <v>7.5794399999999998E-2</v>
      </c>
      <c r="P30" s="184">
        <f t="shared" si="3"/>
        <v>0.94699440000000012</v>
      </c>
      <c r="Q30" s="207"/>
      <c r="R30" s="184"/>
      <c r="S30" s="184"/>
      <c r="T30" s="171"/>
    </row>
    <row r="31" spans="3:20" ht="17" thickBot="1" x14ac:dyDescent="0.25">
      <c r="C31" s="226" t="s">
        <v>1815</v>
      </c>
      <c r="D31" s="168"/>
      <c r="E31" s="225">
        <v>81103</v>
      </c>
      <c r="F31" s="215" t="s">
        <v>1816</v>
      </c>
      <c r="G31" s="223">
        <v>100</v>
      </c>
      <c r="H31" s="217" t="s">
        <v>77</v>
      </c>
      <c r="I31" s="8"/>
      <c r="J31" s="3"/>
      <c r="K31" s="20"/>
      <c r="L31" s="260">
        <v>65.3</v>
      </c>
      <c r="M31" s="220">
        <f t="shared" si="0"/>
        <v>0</v>
      </c>
      <c r="N31" s="183">
        <f t="shared" si="1"/>
        <v>0.65300000000000002</v>
      </c>
      <c r="O31" s="184">
        <f t="shared" si="2"/>
        <v>5.6811E-2</v>
      </c>
      <c r="P31" s="184">
        <f t="shared" si="3"/>
        <v>0.70981099999999997</v>
      </c>
      <c r="Q31" s="207">
        <v>0.9</v>
      </c>
      <c r="R31" s="184">
        <f t="shared" si="4"/>
        <v>0.81818181818181812</v>
      </c>
      <c r="S31" s="184">
        <f t="shared" si="5"/>
        <v>0.10837081818181815</v>
      </c>
      <c r="T31" s="171">
        <f t="shared" si="6"/>
        <v>0.13245322222222219</v>
      </c>
    </row>
    <row r="32" spans="3:20" ht="17" thickBot="1" x14ac:dyDescent="0.25">
      <c r="C32" s="724"/>
      <c r="D32" s="725"/>
      <c r="E32" s="725"/>
      <c r="F32" s="726"/>
      <c r="G32" s="726"/>
      <c r="H32" s="726"/>
      <c r="I32" s="726"/>
      <c r="J32" s="726"/>
      <c r="K32" s="726"/>
      <c r="L32" s="726"/>
      <c r="M32" s="169">
        <f>SUM(M13:M31)</f>
        <v>0</v>
      </c>
      <c r="N32" s="428"/>
      <c r="O32" s="184"/>
      <c r="P32" s="184"/>
      <c r="Q32" s="207"/>
      <c r="R32" s="184"/>
      <c r="S32" s="184">
        <f t="shared" si="5"/>
        <v>0</v>
      </c>
      <c r="T32" s="171"/>
    </row>
  </sheetData>
  <mergeCells count="18">
    <mergeCell ref="C8:E8"/>
    <mergeCell ref="F8:G8"/>
    <mergeCell ref="C32:L32"/>
    <mergeCell ref="C5:E5"/>
    <mergeCell ref="F5:G5"/>
    <mergeCell ref="J5:K5"/>
    <mergeCell ref="C6:E6"/>
    <mergeCell ref="F6:G6"/>
    <mergeCell ref="C7:E7"/>
    <mergeCell ref="F7:G7"/>
    <mergeCell ref="C4:E4"/>
    <mergeCell ref="F4:G4"/>
    <mergeCell ref="J4:K4"/>
    <mergeCell ref="C2:G2"/>
    <mergeCell ref="J2:K2"/>
    <mergeCell ref="C3:E3"/>
    <mergeCell ref="F3:G3"/>
    <mergeCell ref="J3:K3"/>
  </mergeCells>
  <hyperlinks>
    <hyperlink ref="J4" r:id="rId1" xr:uid="{16201010-E63C-4215-AA57-C8D5344F8960}"/>
  </hyperlinks>
  <pageMargins left="0.23622047244094491" right="0.23622047244094491" top="0.74803149606299213" bottom="0.74803149606299213" header="0.31496062992125984" footer="0.31496062992125984"/>
  <pageSetup paperSize="9" scale="48" fitToHeight="6"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FED0B-7045-4F39-8A0F-DCDB361A20EF}">
  <sheetPr>
    <tabColor rgb="FF00B0F0"/>
    <pageSetUpPr fitToPage="1"/>
  </sheetPr>
  <dimension ref="C1:T56"/>
  <sheetViews>
    <sheetView topLeftCell="B1" zoomScaleNormal="80" workbookViewId="0">
      <selection activeCell="C2" sqref="C2:G2"/>
    </sheetView>
  </sheetViews>
  <sheetFormatPr baseColWidth="10" defaultColWidth="11" defaultRowHeight="16" x14ac:dyDescent="0.2"/>
  <cols>
    <col min="1" max="2" width="5.6640625" style="120" customWidth="1"/>
    <col min="3" max="3" width="57.33203125" style="120" customWidth="1"/>
    <col min="4" max="4" width="15.5" style="120" bestFit="1" customWidth="1"/>
    <col min="5" max="5" width="7.6640625" style="120" bestFit="1" customWidth="1"/>
    <col min="6" max="8" width="15.6640625" style="120" customWidth="1"/>
    <col min="9" max="10" width="15.6640625" style="129" customWidth="1"/>
    <col min="11" max="11" width="15.6640625" style="130" customWidth="1"/>
    <col min="12" max="16" width="15.6640625" style="120" customWidth="1"/>
    <col min="17" max="17" width="15.6640625" style="131" customWidth="1"/>
    <col min="18" max="20" width="15.6640625" style="120" customWidth="1"/>
    <col min="21" max="16384" width="11" style="120"/>
  </cols>
  <sheetData>
    <row r="1" spans="3:20" ht="17" thickBot="1" x14ac:dyDescent="0.25"/>
    <row r="2" spans="3:20" x14ac:dyDescent="0.2">
      <c r="C2" s="704" t="s">
        <v>1817</v>
      </c>
      <c r="D2" s="718"/>
      <c r="E2" s="718"/>
      <c r="F2" s="705"/>
      <c r="G2" s="706"/>
      <c r="H2" s="132"/>
      <c r="J2" s="699" t="s">
        <v>61</v>
      </c>
      <c r="K2" s="699"/>
      <c r="Q2" s="120"/>
      <c r="R2" s="131"/>
    </row>
    <row r="3" spans="3:20" x14ac:dyDescent="0.2">
      <c r="C3" s="712" t="s">
        <v>62</v>
      </c>
      <c r="D3" s="713"/>
      <c r="E3" s="703"/>
      <c r="F3" s="660" t="s">
        <v>1745</v>
      </c>
      <c r="G3" s="719"/>
      <c r="H3" s="134"/>
      <c r="J3" s="720" t="str">
        <f>COVER!C9</f>
        <v>ian.shotam@programmed.com.au</v>
      </c>
      <c r="K3" s="721"/>
      <c r="Q3" s="120"/>
      <c r="R3" s="131"/>
    </row>
    <row r="4" spans="3:20" ht="15.5" customHeight="1" x14ac:dyDescent="0.2">
      <c r="C4" s="712" t="str">
        <f>COVER!B12</f>
        <v>SITE</v>
      </c>
      <c r="D4" s="713"/>
      <c r="E4" s="703"/>
      <c r="F4" s="714" t="str">
        <f>COVER!C12</f>
        <v>GOLDEN GROVE</v>
      </c>
      <c r="G4" s="715"/>
      <c r="H4" s="134"/>
      <c r="J4" s="716"/>
      <c r="K4" s="717"/>
      <c r="Q4" s="120"/>
      <c r="R4" s="131"/>
    </row>
    <row r="5" spans="3:20" ht="16" customHeight="1" x14ac:dyDescent="0.2">
      <c r="C5" s="712" t="str">
        <f>COVER!B13</f>
        <v>MANAGERS NAME</v>
      </c>
      <c r="D5" s="713"/>
      <c r="E5" s="703"/>
      <c r="F5" s="714" t="str">
        <f>COVER!C13</f>
        <v>Ian Shotam</v>
      </c>
      <c r="G5" s="715"/>
      <c r="H5" s="134"/>
      <c r="J5" s="727"/>
      <c r="K5" s="717"/>
      <c r="Q5" s="120"/>
      <c r="R5" s="131"/>
    </row>
    <row r="6" spans="3:20" x14ac:dyDescent="0.2">
      <c r="C6" s="712" t="str">
        <f>COVER!B14</f>
        <v>DATE - ORDER PLACED</v>
      </c>
      <c r="D6" s="713"/>
      <c r="E6" s="703"/>
      <c r="F6" s="722">
        <f>COVER!C14</f>
        <v>45082</v>
      </c>
      <c r="G6" s="723"/>
    </row>
    <row r="7" spans="3:20" x14ac:dyDescent="0.2">
      <c r="C7" s="712" t="str">
        <f>COVER!B15</f>
        <v>DATE - DELIVERY PERTH - FREIGHT LINES, 12-26 RIVERSDALE RD, WELSHPOOL WA 6100</v>
      </c>
      <c r="D7" s="713"/>
      <c r="E7" s="703"/>
      <c r="F7" s="722">
        <f>COVER!C15</f>
        <v>45085</v>
      </c>
      <c r="G7" s="723"/>
    </row>
    <row r="8" spans="3:20" x14ac:dyDescent="0.2">
      <c r="C8" s="712" t="str">
        <f>COVER!B16</f>
        <v>DATE - ESTIMATED ARRIVAL SITE</v>
      </c>
      <c r="D8" s="713"/>
      <c r="E8" s="703"/>
      <c r="F8" s="722">
        <f>COVER!C16</f>
        <v>45086</v>
      </c>
      <c r="G8" s="723"/>
    </row>
    <row r="9" spans="3:20" ht="17" thickBot="1" x14ac:dyDescent="0.25"/>
    <row r="10" spans="3:20" ht="30" customHeight="1" thickBot="1" x14ac:dyDescent="0.25">
      <c r="C10" s="138"/>
      <c r="D10" s="139"/>
      <c r="E10" s="140"/>
      <c r="F10" s="140"/>
      <c r="G10" s="140"/>
      <c r="H10" s="140"/>
      <c r="I10" s="141"/>
      <c r="J10" s="141"/>
      <c r="K10" s="141"/>
      <c r="L10" s="142"/>
      <c r="M10" s="143"/>
      <c r="R10" s="129">
        <v>1.1000000000000001</v>
      </c>
    </row>
    <row r="11" spans="3:20" ht="24.75" customHeight="1" thickBot="1" x14ac:dyDescent="0.25">
      <c r="C11" s="211"/>
      <c r="D11" s="145" t="s">
        <v>1746</v>
      </c>
      <c r="E11" s="146" t="s">
        <v>65</v>
      </c>
      <c r="F11" s="146" t="s">
        <v>66</v>
      </c>
      <c r="G11" s="146" t="s">
        <v>1747</v>
      </c>
      <c r="H11" s="146" t="s">
        <v>1748</v>
      </c>
      <c r="I11" s="76" t="s">
        <v>1749</v>
      </c>
      <c r="J11" s="76" t="s">
        <v>1750</v>
      </c>
      <c r="K11" s="76" t="s">
        <v>1751</v>
      </c>
      <c r="L11" s="77" t="s">
        <v>1752</v>
      </c>
      <c r="M11" s="212" t="s">
        <v>25</v>
      </c>
      <c r="N11" s="149" t="s">
        <v>1753</v>
      </c>
      <c r="O11" s="371"/>
      <c r="P11" s="371"/>
      <c r="Q11" s="150" t="s">
        <v>1754</v>
      </c>
      <c r="R11" s="151" t="s">
        <v>1755</v>
      </c>
      <c r="S11" s="152" t="s">
        <v>1756</v>
      </c>
      <c r="T11" s="153" t="s">
        <v>1757</v>
      </c>
    </row>
    <row r="12" spans="3:20" ht="17" thickBot="1" x14ac:dyDescent="0.25">
      <c r="C12" s="404"/>
      <c r="D12" s="432"/>
      <c r="E12" s="433"/>
      <c r="F12" s="407"/>
      <c r="G12" s="406"/>
      <c r="H12" s="406"/>
      <c r="I12" s="408"/>
      <c r="J12" s="408"/>
      <c r="K12" s="408"/>
      <c r="L12" s="434"/>
      <c r="M12" s="435"/>
      <c r="N12" s="436"/>
      <c r="O12" s="437">
        <v>8.6999999999999994E-2</v>
      </c>
      <c r="P12" s="438"/>
      <c r="Q12" s="439"/>
      <c r="R12" s="440"/>
      <c r="S12" s="441"/>
      <c r="T12" s="442"/>
    </row>
    <row r="13" spans="3:20" ht="27.75" customHeight="1" thickBot="1" x14ac:dyDescent="0.25">
      <c r="C13" s="241"/>
      <c r="D13" s="145" t="s">
        <v>1746</v>
      </c>
      <c r="E13" s="146" t="s">
        <v>65</v>
      </c>
      <c r="F13" s="146" t="s">
        <v>66</v>
      </c>
      <c r="G13" s="146" t="s">
        <v>1747</v>
      </c>
      <c r="H13" s="146" t="s">
        <v>1748</v>
      </c>
      <c r="I13" s="76" t="s">
        <v>1749</v>
      </c>
      <c r="J13" s="76" t="s">
        <v>1750</v>
      </c>
      <c r="K13" s="76" t="s">
        <v>1751</v>
      </c>
      <c r="L13" s="77" t="s">
        <v>1752</v>
      </c>
      <c r="M13" s="212" t="s">
        <v>25</v>
      </c>
      <c r="N13" s="425"/>
      <c r="O13" s="427"/>
      <c r="P13" s="427"/>
      <c r="Q13" s="265"/>
      <c r="R13" s="151"/>
      <c r="S13" s="151"/>
      <c r="T13" s="153"/>
    </row>
    <row r="14" spans="3:20" ht="17" thickBot="1" x14ac:dyDescent="0.25">
      <c r="C14" s="601" t="s">
        <v>1818</v>
      </c>
      <c r="D14" s="214"/>
      <c r="E14" s="192"/>
      <c r="F14" s="83"/>
      <c r="G14" s="218"/>
      <c r="H14" s="239"/>
      <c r="I14" s="9"/>
      <c r="J14" s="9"/>
      <c r="K14" s="28"/>
      <c r="L14" s="260"/>
      <c r="M14" s="220"/>
      <c r="N14" s="183"/>
      <c r="O14" s="184"/>
      <c r="P14" s="184"/>
      <c r="Q14" s="207"/>
      <c r="R14" s="184"/>
      <c r="S14" s="184"/>
      <c r="T14" s="171"/>
    </row>
    <row r="15" spans="3:20" x14ac:dyDescent="0.2">
      <c r="C15" s="63" t="s">
        <v>1819</v>
      </c>
      <c r="D15" s="214"/>
      <c r="E15" s="192">
        <v>89018</v>
      </c>
      <c r="F15" s="83" t="s">
        <v>1820</v>
      </c>
      <c r="G15" s="218">
        <v>6</v>
      </c>
      <c r="H15" s="239" t="s">
        <v>77</v>
      </c>
      <c r="I15" s="9"/>
      <c r="J15" s="9"/>
      <c r="K15" s="28"/>
      <c r="L15" s="260">
        <v>19.5</v>
      </c>
      <c r="M15" s="220">
        <f t="shared" ref="M15" si="0">K15*L15</f>
        <v>0</v>
      </c>
      <c r="N15" s="183">
        <f t="shared" ref="N15:N54" si="1">L15/G15</f>
        <v>3.25</v>
      </c>
      <c r="O15" s="184">
        <f t="shared" ref="O15" si="2">N15*$O$12</f>
        <v>0.28275</v>
      </c>
      <c r="P15" s="184">
        <f t="shared" ref="P15" si="3">N15+O15</f>
        <v>3.5327500000000001</v>
      </c>
      <c r="Q15" s="207">
        <v>3.5</v>
      </c>
      <c r="R15" s="184">
        <f t="shared" ref="R15" si="4">Q15/$R$10</f>
        <v>3.1818181818181817</v>
      </c>
      <c r="S15" s="184">
        <f t="shared" ref="S15" si="5">R15-P15</f>
        <v>-0.3509318181818184</v>
      </c>
      <c r="T15" s="171">
        <f t="shared" ref="T15" si="6">S15/R15</f>
        <v>-0.11029285714285722</v>
      </c>
    </row>
    <row r="16" spans="3:20" x14ac:dyDescent="0.2">
      <c r="C16" s="63" t="s">
        <v>1821</v>
      </c>
      <c r="D16" s="168"/>
      <c r="E16" s="192">
        <v>88648</v>
      </c>
      <c r="F16" s="89" t="s">
        <v>1822</v>
      </c>
      <c r="G16" s="106">
        <v>8</v>
      </c>
      <c r="H16" s="159" t="s">
        <v>77</v>
      </c>
      <c r="I16" s="8"/>
      <c r="J16" s="3"/>
      <c r="K16" s="28"/>
      <c r="L16" s="260">
        <v>17.940000000000001</v>
      </c>
      <c r="M16" s="220">
        <f t="shared" ref="M16:M54" si="7">K16*L16</f>
        <v>0</v>
      </c>
      <c r="N16" s="183">
        <f t="shared" si="1"/>
        <v>2.2425000000000002</v>
      </c>
      <c r="O16" s="184">
        <f t="shared" ref="O16:O54" si="8">N16*$O$12</f>
        <v>0.19509750000000001</v>
      </c>
      <c r="P16" s="184">
        <f t="shared" ref="P16:P33" si="9">N16+O16</f>
        <v>2.4375975000000003</v>
      </c>
      <c r="Q16" s="207">
        <v>3.5</v>
      </c>
      <c r="R16" s="184">
        <f t="shared" ref="R16:R22" si="10">Q16/$R$10</f>
        <v>3.1818181818181817</v>
      </c>
      <c r="S16" s="184">
        <f t="shared" ref="S16:S56" si="11">R16-P16</f>
        <v>0.74422068181818135</v>
      </c>
      <c r="T16" s="171">
        <f t="shared" ref="T16:T19" si="12">S16/R16</f>
        <v>0.23389792857142844</v>
      </c>
    </row>
    <row r="17" spans="3:20" x14ac:dyDescent="0.2">
      <c r="C17" s="63" t="s">
        <v>1823</v>
      </c>
      <c r="D17" s="168"/>
      <c r="E17" s="192">
        <v>88649</v>
      </c>
      <c r="F17" s="89" t="s">
        <v>1822</v>
      </c>
      <c r="G17" s="106">
        <v>8</v>
      </c>
      <c r="H17" s="159" t="s">
        <v>77</v>
      </c>
      <c r="I17" s="8"/>
      <c r="J17" s="3"/>
      <c r="K17" s="28"/>
      <c r="L17" s="260">
        <v>17.940000000000001</v>
      </c>
      <c r="M17" s="220">
        <f t="shared" si="7"/>
        <v>0</v>
      </c>
      <c r="N17" s="183">
        <f t="shared" si="1"/>
        <v>2.2425000000000002</v>
      </c>
      <c r="O17" s="184">
        <f t="shared" si="8"/>
        <v>0.19509750000000001</v>
      </c>
      <c r="P17" s="184">
        <f t="shared" si="9"/>
        <v>2.4375975000000003</v>
      </c>
      <c r="Q17" s="207">
        <v>3.5</v>
      </c>
      <c r="R17" s="184">
        <f t="shared" si="10"/>
        <v>3.1818181818181817</v>
      </c>
      <c r="S17" s="184">
        <f t="shared" si="11"/>
        <v>0.74422068181818135</v>
      </c>
      <c r="T17" s="171">
        <f t="shared" si="12"/>
        <v>0.23389792857142844</v>
      </c>
    </row>
    <row r="18" spans="3:20" x14ac:dyDescent="0.2">
      <c r="C18" s="63" t="s">
        <v>1824</v>
      </c>
      <c r="D18" s="168"/>
      <c r="E18" s="192">
        <v>88650</v>
      </c>
      <c r="F18" s="89" t="s">
        <v>1822</v>
      </c>
      <c r="G18" s="106">
        <v>8</v>
      </c>
      <c r="H18" s="159" t="s">
        <v>77</v>
      </c>
      <c r="I18" s="8"/>
      <c r="J18" s="3"/>
      <c r="K18" s="28"/>
      <c r="L18" s="260">
        <v>17.940000000000001</v>
      </c>
      <c r="M18" s="220">
        <f t="shared" si="7"/>
        <v>0</v>
      </c>
      <c r="N18" s="183">
        <f t="shared" si="1"/>
        <v>2.2425000000000002</v>
      </c>
      <c r="O18" s="184">
        <f t="shared" si="8"/>
        <v>0.19509750000000001</v>
      </c>
      <c r="P18" s="184">
        <f t="shared" si="9"/>
        <v>2.4375975000000003</v>
      </c>
      <c r="Q18" s="207">
        <v>4</v>
      </c>
      <c r="R18" s="184">
        <f t="shared" si="10"/>
        <v>3.6363636363636362</v>
      </c>
      <c r="S18" s="184">
        <f t="shared" si="11"/>
        <v>1.1987661363636359</v>
      </c>
      <c r="T18" s="171">
        <f t="shared" si="12"/>
        <v>0.32966068749999988</v>
      </c>
    </row>
    <row r="19" spans="3:20" x14ac:dyDescent="0.2">
      <c r="C19" s="63" t="s">
        <v>1825</v>
      </c>
      <c r="D19" s="168"/>
      <c r="E19" s="192">
        <v>88889</v>
      </c>
      <c r="F19" s="89" t="s">
        <v>1822</v>
      </c>
      <c r="G19" s="106">
        <v>8</v>
      </c>
      <c r="H19" s="159" t="s">
        <v>77</v>
      </c>
      <c r="I19" s="8"/>
      <c r="J19" s="3"/>
      <c r="K19" s="28"/>
      <c r="L19" s="260">
        <v>17.940000000000001</v>
      </c>
      <c r="M19" s="220">
        <f t="shared" si="7"/>
        <v>0</v>
      </c>
      <c r="N19" s="183">
        <f t="shared" si="1"/>
        <v>2.2425000000000002</v>
      </c>
      <c r="O19" s="184">
        <f t="shared" si="8"/>
        <v>0.19509750000000001</v>
      </c>
      <c r="P19" s="184">
        <f t="shared" si="9"/>
        <v>2.4375975000000003</v>
      </c>
      <c r="Q19" s="207">
        <v>5</v>
      </c>
      <c r="R19" s="184">
        <f t="shared" si="10"/>
        <v>4.545454545454545</v>
      </c>
      <c r="S19" s="184">
        <f t="shared" si="11"/>
        <v>2.1078570454545447</v>
      </c>
      <c r="T19" s="171">
        <f t="shared" si="12"/>
        <v>0.46372854999999985</v>
      </c>
    </row>
    <row r="20" spans="3:20" x14ac:dyDescent="0.2">
      <c r="C20" s="63" t="s">
        <v>1826</v>
      </c>
      <c r="D20" s="168"/>
      <c r="E20" s="192">
        <v>88990</v>
      </c>
      <c r="F20" s="89" t="s">
        <v>1822</v>
      </c>
      <c r="G20" s="106">
        <v>8</v>
      </c>
      <c r="H20" s="159" t="s">
        <v>77</v>
      </c>
      <c r="I20" s="8"/>
      <c r="J20" s="3"/>
      <c r="K20" s="28"/>
      <c r="L20" s="260">
        <v>17.940000000000001</v>
      </c>
      <c r="M20" s="220">
        <f t="shared" si="7"/>
        <v>0</v>
      </c>
      <c r="N20" s="183">
        <f t="shared" si="1"/>
        <v>2.2425000000000002</v>
      </c>
      <c r="O20" s="184">
        <f t="shared" si="8"/>
        <v>0.19509750000000001</v>
      </c>
      <c r="P20" s="184">
        <f t="shared" si="9"/>
        <v>2.4375975000000003</v>
      </c>
      <c r="Q20" s="207">
        <v>5</v>
      </c>
      <c r="R20" s="184">
        <f t="shared" si="10"/>
        <v>4.545454545454545</v>
      </c>
      <c r="S20" s="184">
        <f t="shared" si="11"/>
        <v>2.1078570454545447</v>
      </c>
      <c r="T20" s="171">
        <f t="shared" ref="T20:T54" si="13">S20/R20</f>
        <v>0.46372854999999985</v>
      </c>
    </row>
    <row r="21" spans="3:20" x14ac:dyDescent="0.2">
      <c r="C21" s="601" t="s">
        <v>1827</v>
      </c>
      <c r="D21" s="168"/>
      <c r="E21" s="192"/>
      <c r="F21" s="89"/>
      <c r="G21" s="106"/>
      <c r="H21" s="159"/>
      <c r="I21" s="8"/>
      <c r="J21" s="3"/>
      <c r="K21" s="28"/>
      <c r="L21" s="260"/>
      <c r="M21" s="220"/>
      <c r="N21" s="183"/>
      <c r="O21" s="184"/>
      <c r="P21" s="184"/>
      <c r="Q21" s="207"/>
      <c r="R21" s="184"/>
      <c r="S21" s="184"/>
      <c r="T21" s="171"/>
    </row>
    <row r="22" spans="3:20" x14ac:dyDescent="0.2">
      <c r="C22" s="63" t="s">
        <v>1828</v>
      </c>
      <c r="D22" s="168"/>
      <c r="E22" s="565">
        <v>88378</v>
      </c>
      <c r="F22" s="89" t="s">
        <v>1820</v>
      </c>
      <c r="G22" s="106">
        <v>6</v>
      </c>
      <c r="H22" s="159" t="s">
        <v>77</v>
      </c>
      <c r="I22" s="8"/>
      <c r="J22" s="3"/>
      <c r="K22" s="28"/>
      <c r="L22" s="260">
        <v>2.44</v>
      </c>
      <c r="M22" s="220">
        <f t="shared" si="7"/>
        <v>0</v>
      </c>
      <c r="N22" s="183">
        <f t="shared" si="1"/>
        <v>0.40666666666666668</v>
      </c>
      <c r="O22" s="184">
        <f t="shared" si="8"/>
        <v>3.5380000000000002E-2</v>
      </c>
      <c r="P22" s="184">
        <f t="shared" si="9"/>
        <v>0.4420466666666667</v>
      </c>
      <c r="Q22" s="207">
        <v>3.9</v>
      </c>
      <c r="R22" s="184">
        <f t="shared" si="10"/>
        <v>3.545454545454545</v>
      </c>
      <c r="S22" s="184">
        <f t="shared" si="11"/>
        <v>3.1034078787878783</v>
      </c>
      <c r="T22" s="171">
        <f t="shared" si="13"/>
        <v>0.87532017094017089</v>
      </c>
    </row>
    <row r="23" spans="3:20" x14ac:dyDescent="0.2">
      <c r="C23" s="63" t="s">
        <v>1829</v>
      </c>
      <c r="D23" s="168"/>
      <c r="E23" s="565">
        <v>31757</v>
      </c>
      <c r="F23" s="89" t="s">
        <v>1820</v>
      </c>
      <c r="G23" s="106">
        <v>6</v>
      </c>
      <c r="H23" s="159" t="s">
        <v>77</v>
      </c>
      <c r="I23" s="8"/>
      <c r="J23" s="3"/>
      <c r="K23" s="28"/>
      <c r="L23" s="260">
        <v>2.44</v>
      </c>
      <c r="M23" s="220">
        <f t="shared" si="7"/>
        <v>0</v>
      </c>
      <c r="N23" s="183">
        <f t="shared" si="1"/>
        <v>0.40666666666666668</v>
      </c>
      <c r="O23" s="184">
        <f t="shared" si="8"/>
        <v>3.5380000000000002E-2</v>
      </c>
      <c r="P23" s="184">
        <f t="shared" si="9"/>
        <v>0.4420466666666667</v>
      </c>
      <c r="Q23" s="207">
        <v>5</v>
      </c>
      <c r="R23" s="184">
        <f t="shared" ref="R23:R54" si="14">Q23/$R$10</f>
        <v>4.545454545454545</v>
      </c>
      <c r="S23" s="184">
        <f t="shared" si="11"/>
        <v>4.1034078787878787</v>
      </c>
      <c r="T23" s="171">
        <f t="shared" si="13"/>
        <v>0.90274973333333342</v>
      </c>
    </row>
    <row r="24" spans="3:20" x14ac:dyDescent="0.2">
      <c r="C24" s="63" t="s">
        <v>1830</v>
      </c>
      <c r="D24" s="167"/>
      <c r="E24" s="565">
        <v>18127</v>
      </c>
      <c r="F24" s="243" t="s">
        <v>1820</v>
      </c>
      <c r="G24" s="165">
        <v>6</v>
      </c>
      <c r="H24" s="234" t="s">
        <v>77</v>
      </c>
      <c r="I24" s="11"/>
      <c r="J24" s="3"/>
      <c r="K24" s="28"/>
      <c r="L24" s="260">
        <v>2.44</v>
      </c>
      <c r="M24" s="220">
        <f t="shared" si="7"/>
        <v>0</v>
      </c>
      <c r="N24" s="183">
        <f t="shared" si="1"/>
        <v>0.40666666666666668</v>
      </c>
      <c r="O24" s="184">
        <f t="shared" si="8"/>
        <v>3.5380000000000002E-2</v>
      </c>
      <c r="P24" s="184">
        <f t="shared" si="9"/>
        <v>0.4420466666666667</v>
      </c>
      <c r="Q24" s="207">
        <v>3.9</v>
      </c>
      <c r="R24" s="184">
        <f t="shared" si="14"/>
        <v>3.545454545454545</v>
      </c>
      <c r="S24" s="184">
        <f t="shared" si="11"/>
        <v>3.1034078787878783</v>
      </c>
      <c r="T24" s="171">
        <f t="shared" si="13"/>
        <v>0.87532017094017089</v>
      </c>
    </row>
    <row r="25" spans="3:20" x14ac:dyDescent="0.2">
      <c r="C25" s="63" t="s">
        <v>1831</v>
      </c>
      <c r="D25" s="167"/>
      <c r="E25" s="565">
        <v>88709</v>
      </c>
      <c r="F25" s="243" t="s">
        <v>1820</v>
      </c>
      <c r="G25" s="165">
        <v>1</v>
      </c>
      <c r="H25" s="234" t="s">
        <v>466</v>
      </c>
      <c r="I25" s="11"/>
      <c r="J25" s="3"/>
      <c r="K25" s="28"/>
      <c r="L25" s="260">
        <v>2.44</v>
      </c>
      <c r="M25" s="220">
        <f t="shared" si="7"/>
        <v>0</v>
      </c>
      <c r="N25" s="183">
        <f t="shared" si="1"/>
        <v>2.44</v>
      </c>
      <c r="O25" s="184">
        <f t="shared" si="8"/>
        <v>0.21227999999999997</v>
      </c>
      <c r="P25" s="184">
        <f t="shared" si="9"/>
        <v>2.6522799999999997</v>
      </c>
      <c r="Q25" s="207">
        <v>3.9</v>
      </c>
      <c r="R25" s="184">
        <f t="shared" si="14"/>
        <v>3.545454545454545</v>
      </c>
      <c r="S25" s="184">
        <f t="shared" si="11"/>
        <v>0.89317454545454522</v>
      </c>
      <c r="T25" s="171">
        <f t="shared" si="13"/>
        <v>0.25192102564102559</v>
      </c>
    </row>
    <row r="26" spans="3:20" x14ac:dyDescent="0.2">
      <c r="C26" s="63" t="s">
        <v>1832</v>
      </c>
      <c r="D26" s="167"/>
      <c r="E26" s="565">
        <v>63180</v>
      </c>
      <c r="F26" s="243" t="s">
        <v>1820</v>
      </c>
      <c r="G26" s="165">
        <v>1</v>
      </c>
      <c r="H26" s="234" t="s">
        <v>466</v>
      </c>
      <c r="I26" s="11"/>
      <c r="J26" s="3"/>
      <c r="K26" s="28"/>
      <c r="L26" s="260">
        <v>2.44</v>
      </c>
      <c r="M26" s="220">
        <f t="shared" si="7"/>
        <v>0</v>
      </c>
      <c r="N26" s="183">
        <f t="shared" si="1"/>
        <v>2.44</v>
      </c>
      <c r="O26" s="184">
        <f t="shared" si="8"/>
        <v>0.21227999999999997</v>
      </c>
      <c r="P26" s="184">
        <f t="shared" si="9"/>
        <v>2.6522799999999997</v>
      </c>
      <c r="Q26" s="207">
        <v>3.9</v>
      </c>
      <c r="R26" s="184">
        <f t="shared" si="14"/>
        <v>3.545454545454545</v>
      </c>
      <c r="S26" s="184">
        <f t="shared" si="11"/>
        <v>0.89317454545454522</v>
      </c>
      <c r="T26" s="171">
        <f t="shared" si="13"/>
        <v>0.25192102564102559</v>
      </c>
    </row>
    <row r="27" spans="3:20" x14ac:dyDescent="0.2">
      <c r="C27" s="63" t="s">
        <v>1833</v>
      </c>
      <c r="D27" s="167"/>
      <c r="E27" s="565">
        <v>88797</v>
      </c>
      <c r="F27" s="243" t="s">
        <v>1820</v>
      </c>
      <c r="G27" s="165">
        <v>1</v>
      </c>
      <c r="H27" s="234" t="s">
        <v>466</v>
      </c>
      <c r="I27" s="11"/>
      <c r="J27" s="3"/>
      <c r="K27" s="28"/>
      <c r="L27" s="260">
        <v>2.44</v>
      </c>
      <c r="M27" s="220">
        <f t="shared" si="7"/>
        <v>0</v>
      </c>
      <c r="N27" s="183">
        <f t="shared" si="1"/>
        <v>2.44</v>
      </c>
      <c r="O27" s="184">
        <f t="shared" si="8"/>
        <v>0.21227999999999997</v>
      </c>
      <c r="P27" s="184">
        <f t="shared" si="9"/>
        <v>2.6522799999999997</v>
      </c>
      <c r="Q27" s="207">
        <v>3.9</v>
      </c>
      <c r="R27" s="184">
        <f t="shared" si="14"/>
        <v>3.545454545454545</v>
      </c>
      <c r="S27" s="184">
        <f t="shared" si="11"/>
        <v>0.89317454545454522</v>
      </c>
      <c r="T27" s="171">
        <f t="shared" si="13"/>
        <v>0.25192102564102559</v>
      </c>
    </row>
    <row r="28" spans="3:20" x14ac:dyDescent="0.2">
      <c r="C28" s="63" t="s">
        <v>1834</v>
      </c>
      <c r="D28" s="167"/>
      <c r="E28" s="565">
        <v>10538</v>
      </c>
      <c r="F28" s="243" t="s">
        <v>1820</v>
      </c>
      <c r="G28" s="165">
        <v>1</v>
      </c>
      <c r="H28" s="234" t="s">
        <v>466</v>
      </c>
      <c r="I28" s="11"/>
      <c r="J28" s="3"/>
      <c r="K28" s="28"/>
      <c r="L28" s="260">
        <v>2.44</v>
      </c>
      <c r="M28" s="220">
        <f t="shared" si="7"/>
        <v>0</v>
      </c>
      <c r="N28" s="183">
        <f t="shared" si="1"/>
        <v>2.44</v>
      </c>
      <c r="O28" s="184">
        <f t="shared" si="8"/>
        <v>0.21227999999999997</v>
      </c>
      <c r="P28" s="184">
        <f t="shared" si="9"/>
        <v>2.6522799999999997</v>
      </c>
      <c r="Q28" s="207">
        <v>3.9</v>
      </c>
      <c r="R28" s="184">
        <f t="shared" si="14"/>
        <v>3.545454545454545</v>
      </c>
      <c r="S28" s="184">
        <f t="shared" si="11"/>
        <v>0.89317454545454522</v>
      </c>
      <c r="T28" s="171">
        <f t="shared" si="13"/>
        <v>0.25192102564102559</v>
      </c>
    </row>
    <row r="29" spans="3:20" x14ac:dyDescent="0.2">
      <c r="C29" s="63" t="s">
        <v>1835</v>
      </c>
      <c r="D29" s="167"/>
      <c r="E29" s="565">
        <v>3871</v>
      </c>
      <c r="F29" s="243" t="s">
        <v>1820</v>
      </c>
      <c r="G29" s="165">
        <v>1</v>
      </c>
      <c r="H29" s="234" t="s">
        <v>466</v>
      </c>
      <c r="I29" s="11"/>
      <c r="J29" s="3"/>
      <c r="K29" s="28"/>
      <c r="L29" s="260">
        <v>2.44</v>
      </c>
      <c r="M29" s="220">
        <f t="shared" si="7"/>
        <v>0</v>
      </c>
      <c r="N29" s="183">
        <f t="shared" si="1"/>
        <v>2.44</v>
      </c>
      <c r="O29" s="184">
        <f t="shared" si="8"/>
        <v>0.21227999999999997</v>
      </c>
      <c r="P29" s="184">
        <f t="shared" si="9"/>
        <v>2.6522799999999997</v>
      </c>
      <c r="Q29" s="207">
        <v>3.9</v>
      </c>
      <c r="R29" s="184">
        <f t="shared" si="14"/>
        <v>3.545454545454545</v>
      </c>
      <c r="S29" s="184">
        <f t="shared" si="11"/>
        <v>0.89317454545454522</v>
      </c>
      <c r="T29" s="171">
        <f t="shared" si="13"/>
        <v>0.25192102564102559</v>
      </c>
    </row>
    <row r="30" spans="3:20" x14ac:dyDescent="0.2">
      <c r="C30" s="63" t="s">
        <v>1836</v>
      </c>
      <c r="D30" s="167"/>
      <c r="E30" s="565">
        <v>3962</v>
      </c>
      <c r="F30" s="243" t="s">
        <v>1820</v>
      </c>
      <c r="G30" s="165">
        <v>1</v>
      </c>
      <c r="H30" s="234" t="s">
        <v>466</v>
      </c>
      <c r="I30" s="11"/>
      <c r="J30" s="3"/>
      <c r="K30" s="28"/>
      <c r="L30" s="260">
        <v>2.44</v>
      </c>
      <c r="M30" s="220">
        <f t="shared" si="7"/>
        <v>0</v>
      </c>
      <c r="N30" s="183">
        <f t="shared" si="1"/>
        <v>2.44</v>
      </c>
      <c r="O30" s="184">
        <f t="shared" si="8"/>
        <v>0.21227999999999997</v>
      </c>
      <c r="P30" s="184">
        <f t="shared" si="9"/>
        <v>2.6522799999999997</v>
      </c>
      <c r="Q30" s="207">
        <v>3.9</v>
      </c>
      <c r="R30" s="184">
        <f t="shared" si="14"/>
        <v>3.545454545454545</v>
      </c>
      <c r="S30" s="184">
        <f t="shared" si="11"/>
        <v>0.89317454545454522</v>
      </c>
      <c r="T30" s="171">
        <f t="shared" si="13"/>
        <v>0.25192102564102559</v>
      </c>
    </row>
    <row r="31" spans="3:20" x14ac:dyDescent="0.2">
      <c r="C31" s="63" t="s">
        <v>1837</v>
      </c>
      <c r="D31" s="167"/>
      <c r="E31" s="565">
        <v>89013</v>
      </c>
      <c r="F31" s="243" t="s">
        <v>1820</v>
      </c>
      <c r="G31" s="165">
        <v>1</v>
      </c>
      <c r="H31" s="234" t="s">
        <v>466</v>
      </c>
      <c r="I31" s="11"/>
      <c r="J31" s="3"/>
      <c r="K31" s="28"/>
      <c r="L31" s="260">
        <v>3.07</v>
      </c>
      <c r="M31" s="220">
        <f t="shared" si="7"/>
        <v>0</v>
      </c>
      <c r="N31" s="183">
        <f t="shared" si="1"/>
        <v>3.07</v>
      </c>
      <c r="O31" s="184">
        <f t="shared" si="8"/>
        <v>0.26708999999999999</v>
      </c>
      <c r="P31" s="184">
        <f t="shared" si="9"/>
        <v>3.3370899999999999</v>
      </c>
      <c r="Q31" s="207">
        <v>3.9</v>
      </c>
      <c r="R31" s="184">
        <f t="shared" si="14"/>
        <v>3.545454545454545</v>
      </c>
      <c r="S31" s="184">
        <f t="shared" si="11"/>
        <v>0.20836454545454508</v>
      </c>
      <c r="T31" s="171">
        <f t="shared" si="13"/>
        <v>5.876948717948708E-2</v>
      </c>
    </row>
    <row r="32" spans="3:20" x14ac:dyDescent="0.2">
      <c r="C32" s="63" t="s">
        <v>1829</v>
      </c>
      <c r="D32" s="167"/>
      <c r="E32" s="565">
        <v>89015</v>
      </c>
      <c r="F32" s="243" t="s">
        <v>1820</v>
      </c>
      <c r="G32" s="165">
        <v>1</v>
      </c>
      <c r="H32" s="234" t="s">
        <v>466</v>
      </c>
      <c r="I32" s="11"/>
      <c r="J32" s="3"/>
      <c r="K32" s="28"/>
      <c r="L32" s="260">
        <v>3.07</v>
      </c>
      <c r="M32" s="220">
        <f t="shared" si="7"/>
        <v>0</v>
      </c>
      <c r="N32" s="183">
        <f t="shared" si="1"/>
        <v>3.07</v>
      </c>
      <c r="O32" s="184">
        <f t="shared" si="8"/>
        <v>0.26708999999999999</v>
      </c>
      <c r="P32" s="184">
        <f t="shared" si="9"/>
        <v>3.3370899999999999</v>
      </c>
      <c r="Q32" s="207">
        <v>3.9</v>
      </c>
      <c r="R32" s="184">
        <f t="shared" si="14"/>
        <v>3.545454545454545</v>
      </c>
      <c r="S32" s="184">
        <f t="shared" si="11"/>
        <v>0.20836454545454508</v>
      </c>
      <c r="T32" s="171">
        <f t="shared" si="13"/>
        <v>5.876948717948708E-2</v>
      </c>
    </row>
    <row r="33" spans="3:20" x14ac:dyDescent="0.2">
      <c r="C33" s="63" t="s">
        <v>1828</v>
      </c>
      <c r="D33" s="167"/>
      <c r="E33" s="565">
        <v>89014</v>
      </c>
      <c r="F33" s="243" t="s">
        <v>1820</v>
      </c>
      <c r="G33" s="165">
        <v>1</v>
      </c>
      <c r="H33" s="234" t="s">
        <v>466</v>
      </c>
      <c r="I33" s="11"/>
      <c r="J33" s="3"/>
      <c r="K33" s="28"/>
      <c r="L33" s="260">
        <v>3.07</v>
      </c>
      <c r="M33" s="220">
        <f t="shared" si="7"/>
        <v>0</v>
      </c>
      <c r="N33" s="183">
        <f t="shared" si="1"/>
        <v>3.07</v>
      </c>
      <c r="O33" s="184">
        <f t="shared" si="8"/>
        <v>0.26708999999999999</v>
      </c>
      <c r="P33" s="184">
        <f t="shared" si="9"/>
        <v>3.3370899999999999</v>
      </c>
      <c r="Q33" s="207">
        <v>3.9</v>
      </c>
      <c r="R33" s="184">
        <f t="shared" si="14"/>
        <v>3.545454545454545</v>
      </c>
      <c r="S33" s="184">
        <f t="shared" si="11"/>
        <v>0.20836454545454508</v>
      </c>
      <c r="T33" s="171">
        <f t="shared" si="13"/>
        <v>5.876948717948708E-2</v>
      </c>
    </row>
    <row r="34" spans="3:20" x14ac:dyDescent="0.2">
      <c r="C34" s="63" t="s">
        <v>1838</v>
      </c>
      <c r="D34" s="167"/>
      <c r="E34" s="565">
        <v>89012</v>
      </c>
      <c r="F34" s="243" t="s">
        <v>1820</v>
      </c>
      <c r="G34" s="165">
        <v>1</v>
      </c>
      <c r="H34" s="234" t="s">
        <v>466</v>
      </c>
      <c r="I34" s="11"/>
      <c r="J34" s="3"/>
      <c r="K34" s="28"/>
      <c r="L34" s="260">
        <v>3.07</v>
      </c>
      <c r="M34" s="220">
        <f t="shared" si="7"/>
        <v>0</v>
      </c>
      <c r="N34" s="183">
        <f t="shared" si="1"/>
        <v>3.07</v>
      </c>
      <c r="O34" s="184">
        <f t="shared" si="8"/>
        <v>0.26708999999999999</v>
      </c>
      <c r="P34" s="184">
        <f>N34+O34</f>
        <v>3.3370899999999999</v>
      </c>
      <c r="Q34" s="207">
        <v>3.9</v>
      </c>
      <c r="R34" s="184">
        <f t="shared" si="14"/>
        <v>3.545454545454545</v>
      </c>
      <c r="S34" s="184">
        <f>R34-P34</f>
        <v>0.20836454545454508</v>
      </c>
      <c r="T34" s="171">
        <f t="shared" si="13"/>
        <v>5.876948717948708E-2</v>
      </c>
    </row>
    <row r="35" spans="3:20" x14ac:dyDescent="0.2">
      <c r="C35" s="601" t="s">
        <v>1839</v>
      </c>
      <c r="D35" s="167"/>
      <c r="E35" s="565"/>
      <c r="F35" s="243"/>
      <c r="G35" s="165"/>
      <c r="H35" s="234"/>
      <c r="I35" s="11"/>
      <c r="J35" s="3"/>
      <c r="K35" s="28"/>
      <c r="L35" s="260"/>
      <c r="M35" s="220"/>
      <c r="N35" s="183"/>
      <c r="O35" s="183"/>
      <c r="P35" s="183"/>
      <c r="Q35" s="207"/>
      <c r="R35" s="184"/>
      <c r="S35" s="184"/>
      <c r="T35" s="171"/>
    </row>
    <row r="36" spans="3:20" x14ac:dyDescent="0.2">
      <c r="C36" s="63" t="s">
        <v>1840</v>
      </c>
      <c r="D36" s="167"/>
      <c r="E36" s="192">
        <v>12062</v>
      </c>
      <c r="F36" s="243" t="s">
        <v>1820</v>
      </c>
      <c r="G36" s="165">
        <v>1</v>
      </c>
      <c r="H36" s="234" t="s">
        <v>466</v>
      </c>
      <c r="I36" s="11"/>
      <c r="J36" s="3"/>
      <c r="K36" s="28"/>
      <c r="L36" s="260">
        <v>2.4500000000000002</v>
      </c>
      <c r="M36" s="220">
        <f t="shared" si="7"/>
        <v>0</v>
      </c>
      <c r="N36" s="183">
        <f t="shared" si="1"/>
        <v>2.4500000000000002</v>
      </c>
      <c r="O36" s="184">
        <f t="shared" si="8"/>
        <v>0.21315000000000001</v>
      </c>
      <c r="P36" s="184">
        <f t="shared" ref="P36:P54" si="15">N36+O36</f>
        <v>2.6631500000000004</v>
      </c>
      <c r="Q36" s="207">
        <v>3.9</v>
      </c>
      <c r="R36" s="184">
        <f t="shared" si="14"/>
        <v>3.545454545454545</v>
      </c>
      <c r="S36" s="184">
        <f t="shared" ref="S36:S54" si="16">R36-P36</f>
        <v>0.88230454545454462</v>
      </c>
      <c r="T36" s="171">
        <f t="shared" si="13"/>
        <v>0.24885512820512801</v>
      </c>
    </row>
    <row r="37" spans="3:20" x14ac:dyDescent="0.2">
      <c r="C37" s="63" t="s">
        <v>1841</v>
      </c>
      <c r="D37" s="167"/>
      <c r="E37" s="192">
        <v>88745</v>
      </c>
      <c r="F37" s="243" t="s">
        <v>1842</v>
      </c>
      <c r="G37" s="165">
        <v>10</v>
      </c>
      <c r="H37" s="234" t="s">
        <v>77</v>
      </c>
      <c r="I37" s="11"/>
      <c r="J37" s="3"/>
      <c r="K37" s="28"/>
      <c r="L37" s="260">
        <v>26.61</v>
      </c>
      <c r="M37" s="220">
        <f t="shared" si="7"/>
        <v>0</v>
      </c>
      <c r="N37" s="183">
        <f t="shared" si="1"/>
        <v>2.661</v>
      </c>
      <c r="O37" s="184">
        <f t="shared" si="8"/>
        <v>0.23150699999999999</v>
      </c>
      <c r="P37" s="184">
        <f t="shared" si="15"/>
        <v>2.8925070000000002</v>
      </c>
      <c r="Q37" s="207">
        <v>3.9</v>
      </c>
      <c r="R37" s="184">
        <f t="shared" si="14"/>
        <v>3.545454545454545</v>
      </c>
      <c r="S37" s="184">
        <f t="shared" si="16"/>
        <v>0.65294754545454481</v>
      </c>
      <c r="T37" s="171">
        <f t="shared" si="13"/>
        <v>0.18416469230769214</v>
      </c>
    </row>
    <row r="38" spans="3:20" x14ac:dyDescent="0.2">
      <c r="C38" s="63" t="s">
        <v>1843</v>
      </c>
      <c r="D38" s="167"/>
      <c r="E38" s="192">
        <v>88746</v>
      </c>
      <c r="F38" s="243" t="s">
        <v>1842</v>
      </c>
      <c r="G38" s="165">
        <v>10</v>
      </c>
      <c r="H38" s="234" t="s">
        <v>77</v>
      </c>
      <c r="I38" s="11"/>
      <c r="J38" s="3"/>
      <c r="K38" s="28"/>
      <c r="L38" s="260">
        <v>26.61</v>
      </c>
      <c r="M38" s="220">
        <f t="shared" si="7"/>
        <v>0</v>
      </c>
      <c r="N38" s="183">
        <f t="shared" si="1"/>
        <v>2.661</v>
      </c>
      <c r="O38" s="184">
        <f t="shared" si="8"/>
        <v>0.23150699999999999</v>
      </c>
      <c r="P38" s="184">
        <f t="shared" si="15"/>
        <v>2.8925070000000002</v>
      </c>
      <c r="Q38" s="207">
        <v>3.9</v>
      </c>
      <c r="R38" s="184">
        <f t="shared" si="14"/>
        <v>3.545454545454545</v>
      </c>
      <c r="S38" s="184">
        <f t="shared" si="16"/>
        <v>0.65294754545454481</v>
      </c>
      <c r="T38" s="171">
        <f t="shared" si="13"/>
        <v>0.18416469230769214</v>
      </c>
    </row>
    <row r="39" spans="3:20" x14ac:dyDescent="0.2">
      <c r="C39" s="63" t="s">
        <v>1844</v>
      </c>
      <c r="D39" s="167"/>
      <c r="E39" s="192">
        <v>88747</v>
      </c>
      <c r="F39" s="243" t="s">
        <v>1842</v>
      </c>
      <c r="G39" s="165">
        <v>10</v>
      </c>
      <c r="H39" s="234" t="s">
        <v>77</v>
      </c>
      <c r="I39" s="11"/>
      <c r="J39" s="3"/>
      <c r="K39" s="28"/>
      <c r="L39" s="260">
        <v>26.61</v>
      </c>
      <c r="M39" s="220">
        <f t="shared" si="7"/>
        <v>0</v>
      </c>
      <c r="N39" s="183">
        <f t="shared" si="1"/>
        <v>2.661</v>
      </c>
      <c r="O39" s="184">
        <f t="shared" si="8"/>
        <v>0.23150699999999999</v>
      </c>
      <c r="P39" s="184">
        <f t="shared" si="15"/>
        <v>2.8925070000000002</v>
      </c>
      <c r="Q39" s="207">
        <v>3.9</v>
      </c>
      <c r="R39" s="184">
        <f t="shared" si="14"/>
        <v>3.545454545454545</v>
      </c>
      <c r="S39" s="184">
        <f t="shared" si="16"/>
        <v>0.65294754545454481</v>
      </c>
      <c r="T39" s="171">
        <f t="shared" si="13"/>
        <v>0.18416469230769214</v>
      </c>
    </row>
    <row r="40" spans="3:20" x14ac:dyDescent="0.2">
      <c r="C40" s="63" t="s">
        <v>1845</v>
      </c>
      <c r="D40" s="167"/>
      <c r="E40" s="192">
        <v>88748</v>
      </c>
      <c r="F40" s="243" t="s">
        <v>1842</v>
      </c>
      <c r="G40" s="165">
        <v>10</v>
      </c>
      <c r="H40" s="234" t="s">
        <v>77</v>
      </c>
      <c r="I40" s="11"/>
      <c r="J40" s="3"/>
      <c r="K40" s="28"/>
      <c r="L40" s="260">
        <v>26.61</v>
      </c>
      <c r="M40" s="220">
        <f t="shared" si="7"/>
        <v>0</v>
      </c>
      <c r="N40" s="183">
        <f t="shared" si="1"/>
        <v>2.661</v>
      </c>
      <c r="O40" s="184">
        <f t="shared" si="8"/>
        <v>0.23150699999999999</v>
      </c>
      <c r="P40" s="184">
        <f t="shared" si="15"/>
        <v>2.8925070000000002</v>
      </c>
      <c r="Q40" s="207">
        <v>3.9</v>
      </c>
      <c r="R40" s="184">
        <f t="shared" si="14"/>
        <v>3.545454545454545</v>
      </c>
      <c r="S40" s="184">
        <f t="shared" si="16"/>
        <v>0.65294754545454481</v>
      </c>
      <c r="T40" s="171">
        <f t="shared" si="13"/>
        <v>0.18416469230769214</v>
      </c>
    </row>
    <row r="41" spans="3:20" x14ac:dyDescent="0.2">
      <c r="C41" s="63" t="s">
        <v>1846</v>
      </c>
      <c r="D41" s="167"/>
      <c r="E41" s="192">
        <v>88749</v>
      </c>
      <c r="F41" s="243" t="s">
        <v>1842</v>
      </c>
      <c r="G41" s="165">
        <v>10</v>
      </c>
      <c r="H41" s="234" t="s">
        <v>77</v>
      </c>
      <c r="I41" s="11"/>
      <c r="J41" s="3"/>
      <c r="K41" s="28"/>
      <c r="L41" s="260">
        <v>26.61</v>
      </c>
      <c r="M41" s="220">
        <f t="shared" si="7"/>
        <v>0</v>
      </c>
      <c r="N41" s="183">
        <f t="shared" si="1"/>
        <v>2.661</v>
      </c>
      <c r="O41" s="184">
        <f t="shared" si="8"/>
        <v>0.23150699999999999</v>
      </c>
      <c r="P41" s="184">
        <f t="shared" si="15"/>
        <v>2.8925070000000002</v>
      </c>
      <c r="Q41" s="207">
        <v>3.9</v>
      </c>
      <c r="R41" s="184">
        <f t="shared" si="14"/>
        <v>3.545454545454545</v>
      </c>
      <c r="S41" s="184">
        <f t="shared" si="16"/>
        <v>0.65294754545454481</v>
      </c>
      <c r="T41" s="171">
        <f t="shared" si="13"/>
        <v>0.18416469230769214</v>
      </c>
    </row>
    <row r="42" spans="3:20" x14ac:dyDescent="0.2">
      <c r="C42" s="63" t="s">
        <v>1847</v>
      </c>
      <c r="D42" s="167"/>
      <c r="E42" s="192">
        <v>88863</v>
      </c>
      <c r="F42" s="243" t="s">
        <v>1842</v>
      </c>
      <c r="G42" s="165">
        <v>10</v>
      </c>
      <c r="H42" s="234" t="s">
        <v>77</v>
      </c>
      <c r="I42" s="11"/>
      <c r="J42" s="3"/>
      <c r="K42" s="28"/>
      <c r="L42" s="260">
        <v>26.61</v>
      </c>
      <c r="M42" s="220">
        <f t="shared" si="7"/>
        <v>0</v>
      </c>
      <c r="N42" s="183">
        <f t="shared" si="1"/>
        <v>2.661</v>
      </c>
      <c r="O42" s="184">
        <f t="shared" si="8"/>
        <v>0.23150699999999999</v>
      </c>
      <c r="P42" s="184">
        <f t="shared" si="15"/>
        <v>2.8925070000000002</v>
      </c>
      <c r="Q42" s="207">
        <v>3.9</v>
      </c>
      <c r="R42" s="184">
        <f t="shared" si="14"/>
        <v>3.545454545454545</v>
      </c>
      <c r="S42" s="184">
        <f t="shared" si="16"/>
        <v>0.65294754545454481</v>
      </c>
      <c r="T42" s="171">
        <f t="shared" si="13"/>
        <v>0.18416469230769214</v>
      </c>
    </row>
    <row r="43" spans="3:20" x14ac:dyDescent="0.2">
      <c r="C43" s="602" t="s">
        <v>1848</v>
      </c>
      <c r="D43" s="167"/>
      <c r="E43" s="565"/>
      <c r="F43" s="243"/>
      <c r="G43" s="165"/>
      <c r="H43" s="234"/>
      <c r="I43" s="11"/>
      <c r="J43" s="3"/>
      <c r="K43" s="28"/>
      <c r="L43" s="260"/>
      <c r="M43" s="220">
        <f t="shared" si="7"/>
        <v>0</v>
      </c>
      <c r="N43" s="183"/>
      <c r="O43" s="184"/>
      <c r="P43" s="184"/>
      <c r="Q43" s="207"/>
      <c r="R43" s="184"/>
      <c r="S43" s="184"/>
      <c r="T43" s="171"/>
    </row>
    <row r="44" spans="3:20" x14ac:dyDescent="0.2">
      <c r="C44" s="63" t="s">
        <v>1849</v>
      </c>
      <c r="D44" s="167"/>
      <c r="E44" s="63">
        <v>89054</v>
      </c>
      <c r="F44" s="243" t="s">
        <v>1850</v>
      </c>
      <c r="G44" s="165">
        <v>24</v>
      </c>
      <c r="H44" s="234" t="s">
        <v>77</v>
      </c>
      <c r="I44" s="11"/>
      <c r="J44" s="3"/>
      <c r="K44" s="28"/>
      <c r="L44" s="260">
        <v>43.64</v>
      </c>
      <c r="M44" s="220">
        <f t="shared" si="7"/>
        <v>0</v>
      </c>
      <c r="N44" s="183">
        <f t="shared" si="1"/>
        <v>1.8183333333333334</v>
      </c>
      <c r="O44" s="184">
        <f t="shared" si="8"/>
        <v>0.158195</v>
      </c>
      <c r="P44" s="184">
        <f t="shared" si="15"/>
        <v>1.9765283333333334</v>
      </c>
      <c r="Q44" s="207">
        <v>3.9</v>
      </c>
      <c r="R44" s="184">
        <f t="shared" si="14"/>
        <v>3.545454545454545</v>
      </c>
      <c r="S44" s="184">
        <f t="shared" si="16"/>
        <v>1.5689262121212115</v>
      </c>
      <c r="T44" s="171">
        <f t="shared" si="13"/>
        <v>0.44251764957264944</v>
      </c>
    </row>
    <row r="45" spans="3:20" x14ac:dyDescent="0.2">
      <c r="C45" s="63" t="s">
        <v>1851</v>
      </c>
      <c r="D45" s="167"/>
      <c r="E45" s="63">
        <v>89055</v>
      </c>
      <c r="F45" s="243" t="s">
        <v>1850</v>
      </c>
      <c r="G45" s="165">
        <v>24</v>
      </c>
      <c r="H45" s="234" t="s">
        <v>77</v>
      </c>
      <c r="I45" s="11"/>
      <c r="J45" s="3"/>
      <c r="K45" s="28"/>
      <c r="L45" s="260">
        <v>43.64</v>
      </c>
      <c r="M45" s="220">
        <f t="shared" si="7"/>
        <v>0</v>
      </c>
      <c r="N45" s="183">
        <f t="shared" si="1"/>
        <v>1.8183333333333334</v>
      </c>
      <c r="O45" s="184">
        <f t="shared" si="8"/>
        <v>0.158195</v>
      </c>
      <c r="P45" s="184">
        <f t="shared" si="15"/>
        <v>1.9765283333333334</v>
      </c>
      <c r="Q45" s="207">
        <v>3.9</v>
      </c>
      <c r="R45" s="184">
        <f t="shared" si="14"/>
        <v>3.545454545454545</v>
      </c>
      <c r="S45" s="184">
        <f t="shared" si="16"/>
        <v>1.5689262121212115</v>
      </c>
      <c r="T45" s="171">
        <f t="shared" si="13"/>
        <v>0.44251764957264944</v>
      </c>
    </row>
    <row r="46" spans="3:20" x14ac:dyDescent="0.2">
      <c r="C46" s="63" t="s">
        <v>1852</v>
      </c>
      <c r="D46" s="167"/>
      <c r="E46" s="63">
        <v>89056</v>
      </c>
      <c r="F46" s="243" t="s">
        <v>1850</v>
      </c>
      <c r="G46" s="165">
        <v>24</v>
      </c>
      <c r="H46" s="234" t="s">
        <v>77</v>
      </c>
      <c r="I46" s="11"/>
      <c r="J46" s="3"/>
      <c r="K46" s="28"/>
      <c r="L46" s="260">
        <v>43.64</v>
      </c>
      <c r="M46" s="220">
        <f t="shared" si="7"/>
        <v>0</v>
      </c>
      <c r="N46" s="183">
        <f t="shared" si="1"/>
        <v>1.8183333333333334</v>
      </c>
      <c r="O46" s="184">
        <f t="shared" si="8"/>
        <v>0.158195</v>
      </c>
      <c r="P46" s="184">
        <f t="shared" si="15"/>
        <v>1.9765283333333334</v>
      </c>
      <c r="Q46" s="207">
        <v>3.9</v>
      </c>
      <c r="R46" s="184">
        <f t="shared" si="14"/>
        <v>3.545454545454545</v>
      </c>
      <c r="S46" s="184">
        <f t="shared" si="16"/>
        <v>1.5689262121212115</v>
      </c>
      <c r="T46" s="171">
        <f t="shared" si="13"/>
        <v>0.44251764957264944</v>
      </c>
    </row>
    <row r="47" spans="3:20" x14ac:dyDescent="0.2">
      <c r="C47" s="63" t="s">
        <v>1853</v>
      </c>
      <c r="D47" s="167"/>
      <c r="E47" s="63">
        <v>89057</v>
      </c>
      <c r="F47" s="243" t="s">
        <v>1850</v>
      </c>
      <c r="G47" s="165">
        <v>24</v>
      </c>
      <c r="H47" s="234" t="s">
        <v>77</v>
      </c>
      <c r="I47" s="11"/>
      <c r="J47" s="3"/>
      <c r="K47" s="28"/>
      <c r="L47" s="260">
        <v>43.64</v>
      </c>
      <c r="M47" s="220">
        <f t="shared" si="7"/>
        <v>0</v>
      </c>
      <c r="N47" s="183">
        <f t="shared" si="1"/>
        <v>1.8183333333333334</v>
      </c>
      <c r="O47" s="184">
        <f t="shared" si="8"/>
        <v>0.158195</v>
      </c>
      <c r="P47" s="184">
        <f t="shared" si="15"/>
        <v>1.9765283333333334</v>
      </c>
      <c r="Q47" s="207">
        <v>3.9</v>
      </c>
      <c r="R47" s="184">
        <f t="shared" si="14"/>
        <v>3.545454545454545</v>
      </c>
      <c r="S47" s="184">
        <f t="shared" si="16"/>
        <v>1.5689262121212115</v>
      </c>
      <c r="T47" s="171">
        <f t="shared" si="13"/>
        <v>0.44251764957264944</v>
      </c>
    </row>
    <row r="48" spans="3:20" x14ac:dyDescent="0.2">
      <c r="C48" s="63" t="s">
        <v>1854</v>
      </c>
      <c r="D48" s="167"/>
      <c r="E48" s="63">
        <v>89059</v>
      </c>
      <c r="F48" s="243" t="s">
        <v>1850</v>
      </c>
      <c r="G48" s="165">
        <v>24</v>
      </c>
      <c r="H48" s="234" t="s">
        <v>77</v>
      </c>
      <c r="I48" s="11"/>
      <c r="J48" s="3"/>
      <c r="K48" s="28"/>
      <c r="L48" s="260">
        <v>43.64</v>
      </c>
      <c r="M48" s="220">
        <f t="shared" si="7"/>
        <v>0</v>
      </c>
      <c r="N48" s="183">
        <f t="shared" si="1"/>
        <v>1.8183333333333334</v>
      </c>
      <c r="O48" s="184">
        <f t="shared" si="8"/>
        <v>0.158195</v>
      </c>
      <c r="P48" s="184">
        <f t="shared" si="15"/>
        <v>1.9765283333333334</v>
      </c>
      <c r="Q48" s="207">
        <v>3.9</v>
      </c>
      <c r="R48" s="184">
        <f t="shared" si="14"/>
        <v>3.545454545454545</v>
      </c>
      <c r="S48" s="184">
        <f t="shared" si="16"/>
        <v>1.5689262121212115</v>
      </c>
      <c r="T48" s="171">
        <f t="shared" si="13"/>
        <v>0.44251764957264944</v>
      </c>
    </row>
    <row r="49" spans="3:20" x14ac:dyDescent="0.2">
      <c r="C49" s="63" t="s">
        <v>1855</v>
      </c>
      <c r="D49" s="167"/>
      <c r="E49" s="63">
        <v>89060</v>
      </c>
      <c r="F49" s="243" t="s">
        <v>1850</v>
      </c>
      <c r="G49" s="165">
        <v>24</v>
      </c>
      <c r="H49" s="234" t="s">
        <v>77</v>
      </c>
      <c r="I49" s="11"/>
      <c r="J49" s="3"/>
      <c r="K49" s="29"/>
      <c r="L49" s="260">
        <v>43.64</v>
      </c>
      <c r="M49" s="220">
        <f t="shared" si="7"/>
        <v>0</v>
      </c>
      <c r="N49" s="183">
        <f t="shared" si="1"/>
        <v>1.8183333333333334</v>
      </c>
      <c r="O49" s="184">
        <f t="shared" si="8"/>
        <v>0.158195</v>
      </c>
      <c r="P49" s="184">
        <f t="shared" si="15"/>
        <v>1.9765283333333334</v>
      </c>
      <c r="Q49" s="207">
        <v>3.9</v>
      </c>
      <c r="R49" s="184">
        <f t="shared" si="14"/>
        <v>3.545454545454545</v>
      </c>
      <c r="S49" s="184">
        <f t="shared" si="16"/>
        <v>1.5689262121212115</v>
      </c>
      <c r="T49" s="171">
        <f t="shared" si="13"/>
        <v>0.44251764957264944</v>
      </c>
    </row>
    <row r="50" spans="3:20" x14ac:dyDescent="0.2">
      <c r="C50" s="601" t="s">
        <v>1856</v>
      </c>
      <c r="D50" s="167"/>
      <c r="E50" s="565"/>
      <c r="F50" s="243"/>
      <c r="G50" s="165"/>
      <c r="H50" s="234"/>
      <c r="I50" s="11"/>
      <c r="J50" s="3"/>
      <c r="K50" s="29"/>
      <c r="L50" s="260"/>
      <c r="M50" s="220">
        <f t="shared" si="7"/>
        <v>0</v>
      </c>
      <c r="N50" s="183"/>
      <c r="O50" s="184"/>
      <c r="P50" s="184"/>
      <c r="Q50" s="207"/>
      <c r="R50" s="184"/>
      <c r="S50" s="184"/>
      <c r="T50" s="171"/>
    </row>
    <row r="51" spans="3:20" x14ac:dyDescent="0.2">
      <c r="C51" s="63" t="s">
        <v>1857</v>
      </c>
      <c r="D51" s="167"/>
      <c r="E51" s="63">
        <v>89049</v>
      </c>
      <c r="F51" s="243" t="s">
        <v>1858</v>
      </c>
      <c r="G51" s="165">
        <v>24</v>
      </c>
      <c r="H51" s="234" t="s">
        <v>77</v>
      </c>
      <c r="I51" s="11"/>
      <c r="J51" s="3"/>
      <c r="K51" s="29"/>
      <c r="L51" s="260">
        <v>49.09</v>
      </c>
      <c r="M51" s="220">
        <f t="shared" si="7"/>
        <v>0</v>
      </c>
      <c r="N51" s="183">
        <f t="shared" si="1"/>
        <v>2.0454166666666667</v>
      </c>
      <c r="O51" s="184">
        <f t="shared" si="8"/>
        <v>0.17795124999999998</v>
      </c>
      <c r="P51" s="184">
        <f t="shared" si="15"/>
        <v>2.2233679166666667</v>
      </c>
      <c r="Q51" s="207">
        <v>3.9</v>
      </c>
      <c r="R51" s="184">
        <f t="shared" si="14"/>
        <v>3.545454545454545</v>
      </c>
      <c r="S51" s="184">
        <f t="shared" si="16"/>
        <v>1.3220866287878783</v>
      </c>
      <c r="T51" s="171">
        <f t="shared" si="13"/>
        <v>0.37289622863247857</v>
      </c>
    </row>
    <row r="52" spans="3:20" x14ac:dyDescent="0.2">
      <c r="C52" s="63" t="s">
        <v>1859</v>
      </c>
      <c r="D52" s="167"/>
      <c r="E52" s="63">
        <v>89050</v>
      </c>
      <c r="F52" s="243" t="s">
        <v>1858</v>
      </c>
      <c r="G52" s="165">
        <v>24</v>
      </c>
      <c r="H52" s="234" t="s">
        <v>77</v>
      </c>
      <c r="I52" s="11"/>
      <c r="J52" s="3"/>
      <c r="K52" s="29"/>
      <c r="L52" s="260">
        <v>49.09</v>
      </c>
      <c r="M52" s="220">
        <f t="shared" si="7"/>
        <v>0</v>
      </c>
      <c r="N52" s="183">
        <f t="shared" si="1"/>
        <v>2.0454166666666667</v>
      </c>
      <c r="O52" s="184">
        <f t="shared" si="8"/>
        <v>0.17795124999999998</v>
      </c>
      <c r="P52" s="184">
        <f t="shared" si="15"/>
        <v>2.2233679166666667</v>
      </c>
      <c r="Q52" s="207">
        <v>3.9</v>
      </c>
      <c r="R52" s="184">
        <f t="shared" si="14"/>
        <v>3.545454545454545</v>
      </c>
      <c r="S52" s="184">
        <f t="shared" si="16"/>
        <v>1.3220866287878783</v>
      </c>
      <c r="T52" s="171">
        <f t="shared" si="13"/>
        <v>0.37289622863247857</v>
      </c>
    </row>
    <row r="53" spans="3:20" x14ac:dyDescent="0.2">
      <c r="C53" s="63" t="s">
        <v>1860</v>
      </c>
      <c r="D53" s="167"/>
      <c r="E53" s="63">
        <v>89051</v>
      </c>
      <c r="F53" s="243" t="s">
        <v>1858</v>
      </c>
      <c r="G53" s="165">
        <v>24</v>
      </c>
      <c r="H53" s="234" t="s">
        <v>77</v>
      </c>
      <c r="I53" s="11"/>
      <c r="J53" s="3"/>
      <c r="K53" s="29"/>
      <c r="L53" s="260">
        <v>49.09</v>
      </c>
      <c r="M53" s="220">
        <f t="shared" si="7"/>
        <v>0</v>
      </c>
      <c r="N53" s="183">
        <f t="shared" si="1"/>
        <v>2.0454166666666667</v>
      </c>
      <c r="O53" s="184">
        <f t="shared" si="8"/>
        <v>0.17795124999999998</v>
      </c>
      <c r="P53" s="184">
        <f t="shared" si="15"/>
        <v>2.2233679166666667</v>
      </c>
      <c r="Q53" s="207">
        <v>3.9</v>
      </c>
      <c r="R53" s="184">
        <f t="shared" si="14"/>
        <v>3.545454545454545</v>
      </c>
      <c r="S53" s="184">
        <f t="shared" si="16"/>
        <v>1.3220866287878783</v>
      </c>
      <c r="T53" s="171">
        <f t="shared" si="13"/>
        <v>0.37289622863247857</v>
      </c>
    </row>
    <row r="54" spans="3:20" x14ac:dyDescent="0.2">
      <c r="C54" s="63" t="s">
        <v>1861</v>
      </c>
      <c r="D54" s="167"/>
      <c r="E54" s="63">
        <v>89052</v>
      </c>
      <c r="F54" s="243" t="s">
        <v>1858</v>
      </c>
      <c r="G54" s="165">
        <v>24</v>
      </c>
      <c r="H54" s="234" t="s">
        <v>77</v>
      </c>
      <c r="I54" s="11"/>
      <c r="J54" s="3"/>
      <c r="K54" s="29"/>
      <c r="L54" s="260">
        <v>49.09</v>
      </c>
      <c r="M54" s="220">
        <f t="shared" si="7"/>
        <v>0</v>
      </c>
      <c r="N54" s="183">
        <f t="shared" si="1"/>
        <v>2.0454166666666667</v>
      </c>
      <c r="O54" s="184">
        <f t="shared" si="8"/>
        <v>0.17795124999999998</v>
      </c>
      <c r="P54" s="184">
        <f t="shared" si="15"/>
        <v>2.2233679166666667</v>
      </c>
      <c r="Q54" s="207">
        <v>3.9</v>
      </c>
      <c r="R54" s="184">
        <f t="shared" si="14"/>
        <v>3.545454545454545</v>
      </c>
      <c r="S54" s="184">
        <f t="shared" si="16"/>
        <v>1.3220866287878783</v>
      </c>
      <c r="T54" s="171">
        <f t="shared" si="13"/>
        <v>0.37289622863247857</v>
      </c>
    </row>
    <row r="55" spans="3:20" ht="17" thickBot="1" x14ac:dyDescent="0.25">
      <c r="C55" s="63"/>
      <c r="D55" s="167"/>
      <c r="E55" s="565"/>
      <c r="F55" s="243"/>
      <c r="G55" s="165"/>
      <c r="H55" s="234"/>
      <c r="I55" s="11"/>
      <c r="J55" s="5"/>
      <c r="K55" s="29"/>
      <c r="L55" s="260"/>
      <c r="M55" s="220"/>
      <c r="N55" s="183"/>
      <c r="O55" s="184"/>
      <c r="P55" s="184"/>
      <c r="Q55" s="207"/>
      <c r="R55" s="184"/>
      <c r="S55" s="184"/>
      <c r="T55" s="171"/>
    </row>
    <row r="56" spans="3:20" ht="17" thickBot="1" x14ac:dyDescent="0.25">
      <c r="C56" s="724"/>
      <c r="D56" s="725"/>
      <c r="E56" s="725"/>
      <c r="F56" s="726"/>
      <c r="G56" s="726"/>
      <c r="H56" s="726"/>
      <c r="I56" s="726"/>
      <c r="J56" s="726"/>
      <c r="K56" s="726"/>
      <c r="L56" s="726"/>
      <c r="M56" s="240">
        <f>SUM(M14:M55)</f>
        <v>0</v>
      </c>
      <c r="N56" s="183"/>
      <c r="O56" s="184"/>
      <c r="P56" s="184"/>
      <c r="Q56" s="207"/>
      <c r="R56" s="184"/>
      <c r="S56" s="184">
        <f t="shared" si="11"/>
        <v>0</v>
      </c>
      <c r="T56" s="171"/>
    </row>
  </sheetData>
  <mergeCells count="18">
    <mergeCell ref="C8:E8"/>
    <mergeCell ref="F8:G8"/>
    <mergeCell ref="C56:L56"/>
    <mergeCell ref="C5:E5"/>
    <mergeCell ref="F5:G5"/>
    <mergeCell ref="J5:K5"/>
    <mergeCell ref="C6:E6"/>
    <mergeCell ref="F6:G6"/>
    <mergeCell ref="C7:E7"/>
    <mergeCell ref="F7:G7"/>
    <mergeCell ref="C4:E4"/>
    <mergeCell ref="F4:G4"/>
    <mergeCell ref="J4:K4"/>
    <mergeCell ref="C2:G2"/>
    <mergeCell ref="J2:K2"/>
    <mergeCell ref="C3:E3"/>
    <mergeCell ref="F3:G3"/>
    <mergeCell ref="J3:K3"/>
  </mergeCells>
  <pageMargins left="0.23622047244094491" right="0.23622047244094491" top="0.74803149606299213" bottom="0.74803149606299213" header="0.31496062992125984" footer="0.31496062992125984"/>
  <pageSetup paperSize="9" scale="48" fitToHeight="6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12616-AAC1-0D4C-9A39-88EF3A63B554}">
  <sheetPr>
    <tabColor rgb="FF00B0F0"/>
    <pageSetUpPr fitToPage="1"/>
  </sheetPr>
  <dimension ref="A1:T278"/>
  <sheetViews>
    <sheetView tabSelected="1" topLeftCell="A83" zoomScale="118" zoomScaleNormal="80" workbookViewId="0">
      <selection activeCell="L259" sqref="L259:L276"/>
    </sheetView>
  </sheetViews>
  <sheetFormatPr baseColWidth="10" defaultColWidth="11" defaultRowHeight="16" x14ac:dyDescent="0.2"/>
  <cols>
    <col min="1" max="2" width="5.6640625" style="120" customWidth="1"/>
    <col min="3" max="3" width="51.33203125" style="120" customWidth="1"/>
    <col min="4" max="4" width="15.1640625" style="120" customWidth="1"/>
    <col min="5" max="5" width="20" style="129" customWidth="1"/>
    <col min="6" max="8" width="15.6640625" style="120" customWidth="1"/>
    <col min="9" max="10" width="15.6640625" style="129" customWidth="1"/>
    <col min="11" max="11" width="15.6640625" style="130" customWidth="1"/>
    <col min="12" max="16" width="15.6640625" style="120" customWidth="1"/>
    <col min="17" max="17" width="15.6640625" style="131" customWidth="1"/>
    <col min="18" max="20" width="15.6640625" style="120" customWidth="1"/>
    <col min="21" max="16384" width="11" style="120"/>
  </cols>
  <sheetData>
    <row r="1" spans="3:20" ht="17" thickBot="1" x14ac:dyDescent="0.25"/>
    <row r="2" spans="3:20" x14ac:dyDescent="0.2">
      <c r="C2" s="704" t="s">
        <v>1788</v>
      </c>
      <c r="D2" s="718"/>
      <c r="E2" s="718"/>
      <c r="F2" s="705"/>
      <c r="G2" s="706"/>
      <c r="H2" s="132"/>
      <c r="J2" s="699" t="s">
        <v>61</v>
      </c>
      <c r="K2" s="699"/>
      <c r="Q2" s="120"/>
      <c r="R2" s="131"/>
    </row>
    <row r="3" spans="3:20" x14ac:dyDescent="0.2">
      <c r="C3" s="712" t="s">
        <v>62</v>
      </c>
      <c r="D3" s="713"/>
      <c r="E3" s="703"/>
      <c r="F3" s="660" t="s">
        <v>1745</v>
      </c>
      <c r="G3" s="719"/>
      <c r="H3" s="134"/>
      <c r="J3" s="720" t="str">
        <f>COVER!C9</f>
        <v>ian.shotam@programmed.com.au</v>
      </c>
      <c r="K3" s="721"/>
      <c r="Q3" s="120"/>
      <c r="R3" s="131"/>
    </row>
    <row r="4" spans="3:20" ht="15.5" customHeight="1" x14ac:dyDescent="0.2">
      <c r="C4" s="712" t="str">
        <f>COVER!B12</f>
        <v>SITE</v>
      </c>
      <c r="D4" s="713"/>
      <c r="E4" s="703"/>
      <c r="F4" s="714" t="str">
        <f>COVER!C12</f>
        <v>GOLDEN GROVE</v>
      </c>
      <c r="G4" s="715"/>
      <c r="H4" s="134"/>
      <c r="J4" s="716" t="s">
        <v>54</v>
      </c>
      <c r="K4" s="717"/>
      <c r="Q4" s="120"/>
      <c r="R4" s="131"/>
    </row>
    <row r="5" spans="3:20" ht="16" customHeight="1" x14ac:dyDescent="0.2">
      <c r="C5" s="712" t="str">
        <f>COVER!B13</f>
        <v>MANAGERS NAME</v>
      </c>
      <c r="D5" s="713"/>
      <c r="E5" s="703"/>
      <c r="F5" s="714" t="str">
        <f>COVER!C13</f>
        <v>Ian Shotam</v>
      </c>
      <c r="G5" s="715"/>
      <c r="H5" s="134"/>
      <c r="J5" s="727" t="s">
        <v>55</v>
      </c>
      <c r="K5" s="717"/>
      <c r="Q5" s="120"/>
      <c r="R5" s="131"/>
    </row>
    <row r="6" spans="3:20" x14ac:dyDescent="0.2">
      <c r="C6" s="712" t="str">
        <f>COVER!B14</f>
        <v>DATE - ORDER PLACED</v>
      </c>
      <c r="D6" s="713"/>
      <c r="E6" s="703"/>
      <c r="F6" s="722">
        <f>COVER!C14</f>
        <v>45082</v>
      </c>
      <c r="G6" s="723"/>
    </row>
    <row r="7" spans="3:20" x14ac:dyDescent="0.2">
      <c r="C7" s="712" t="str">
        <f>COVER!B15</f>
        <v>DATE - DELIVERY PERTH - FREIGHT LINES, 12-26 RIVERSDALE RD, WELSHPOOL WA 6100</v>
      </c>
      <c r="D7" s="713"/>
      <c r="E7" s="703"/>
      <c r="F7" s="722">
        <f>COVER!C15</f>
        <v>45085</v>
      </c>
      <c r="G7" s="723"/>
    </row>
    <row r="8" spans="3:20" x14ac:dyDescent="0.2">
      <c r="C8" s="712" t="str">
        <f>COVER!B16</f>
        <v>DATE - ESTIMATED ARRIVAL SITE</v>
      </c>
      <c r="D8" s="713"/>
      <c r="E8" s="703"/>
      <c r="F8" s="722">
        <f>COVER!C16</f>
        <v>45086</v>
      </c>
      <c r="G8" s="723"/>
    </row>
    <row r="9" spans="3:20" ht="17" thickBot="1" x14ac:dyDescent="0.25"/>
    <row r="10" spans="3:20" ht="30" customHeight="1" thickBot="1" x14ac:dyDescent="0.25">
      <c r="C10" s="138"/>
      <c r="D10" s="139"/>
      <c r="E10" s="141"/>
      <c r="F10" s="140"/>
      <c r="G10" s="140"/>
      <c r="H10" s="140"/>
      <c r="I10" s="141"/>
      <c r="J10" s="141"/>
      <c r="K10" s="141"/>
      <c r="L10" s="142"/>
      <c r="M10" s="143"/>
      <c r="R10" s="129">
        <v>1.1000000000000001</v>
      </c>
    </row>
    <row r="11" spans="3:20" ht="24.75" customHeight="1" thickBot="1" x14ac:dyDescent="0.25">
      <c r="C11" s="211"/>
      <c r="D11" s="145"/>
      <c r="E11" s="146"/>
      <c r="F11" s="146"/>
      <c r="G11" s="146"/>
      <c r="H11" s="146"/>
      <c r="I11" s="76"/>
      <c r="J11" s="76"/>
      <c r="K11" s="76"/>
      <c r="L11" s="77"/>
      <c r="M11" s="212"/>
      <c r="N11" s="149" t="s">
        <v>1753</v>
      </c>
      <c r="O11" s="371"/>
      <c r="P11" s="371"/>
      <c r="Q11" s="150" t="s">
        <v>1754</v>
      </c>
      <c r="R11" s="151" t="s">
        <v>1755</v>
      </c>
      <c r="S11" s="152" t="s">
        <v>1756</v>
      </c>
      <c r="T11" s="153" t="s">
        <v>1757</v>
      </c>
    </row>
    <row r="12" spans="3:20" ht="17" thickBot="1" x14ac:dyDescent="0.25">
      <c r="C12" s="404"/>
      <c r="D12" s="432"/>
      <c r="E12" s="433"/>
      <c r="F12" s="407"/>
      <c r="G12" s="406"/>
      <c r="H12" s="406"/>
      <c r="I12" s="408"/>
      <c r="J12" s="408"/>
      <c r="K12" s="408"/>
      <c r="L12" s="434"/>
      <c r="M12" s="435"/>
      <c r="N12" s="436"/>
      <c r="O12" s="437">
        <v>8.6999999999999994E-2</v>
      </c>
      <c r="P12" s="438"/>
      <c r="Q12" s="439"/>
      <c r="R12" s="440"/>
      <c r="S12" s="441"/>
      <c r="T12" s="442"/>
    </row>
    <row r="13" spans="3:20" ht="24" customHeight="1" thickBot="1" x14ac:dyDescent="0.25">
      <c r="C13" s="144" t="s">
        <v>1862</v>
      </c>
      <c r="D13" s="145" t="s">
        <v>1746</v>
      </c>
      <c r="E13" s="146" t="s">
        <v>65</v>
      </c>
      <c r="F13" s="146" t="s">
        <v>66</v>
      </c>
      <c r="G13" s="146" t="s">
        <v>1747</v>
      </c>
      <c r="H13" s="146" t="s">
        <v>1748</v>
      </c>
      <c r="I13" s="76" t="s">
        <v>1749</v>
      </c>
      <c r="J13" s="76" t="s">
        <v>1750</v>
      </c>
      <c r="K13" s="76" t="s">
        <v>1751</v>
      </c>
      <c r="L13" s="77" t="s">
        <v>1752</v>
      </c>
      <c r="M13" s="212" t="s">
        <v>25</v>
      </c>
      <c r="N13" s="149"/>
      <c r="O13" s="151"/>
      <c r="P13" s="427"/>
      <c r="Q13" s="265"/>
      <c r="R13" s="151"/>
      <c r="S13" s="151"/>
      <c r="T13" s="153"/>
    </row>
    <row r="14" spans="3:20" x14ac:dyDescent="0.2">
      <c r="C14" s="213" t="s">
        <v>1863</v>
      </c>
      <c r="D14" s="214"/>
      <c r="E14" s="227">
        <v>473554</v>
      </c>
      <c r="F14" s="89" t="s">
        <v>1864</v>
      </c>
      <c r="G14" s="106">
        <v>36</v>
      </c>
      <c r="H14" s="159" t="s">
        <v>77</v>
      </c>
      <c r="I14" s="8"/>
      <c r="J14" s="8"/>
      <c r="K14" s="17"/>
      <c r="L14" s="260">
        <v>50.72</v>
      </c>
      <c r="M14" s="220">
        <f t="shared" ref="M14:M60" si="0">K14*L14</f>
        <v>0</v>
      </c>
      <c r="N14" s="183">
        <f t="shared" ref="N14:N80" si="1">L14/G14</f>
        <v>1.4088888888888889</v>
      </c>
      <c r="O14" s="184">
        <f t="shared" ref="O14:O61" si="2">N14*$O$12</f>
        <v>0.12257333333333333</v>
      </c>
      <c r="P14" s="184">
        <f t="shared" ref="P14:P52" si="3">N14+O14</f>
        <v>1.5314622222222223</v>
      </c>
      <c r="Q14" s="207">
        <v>1.8</v>
      </c>
      <c r="R14" s="184">
        <f t="shared" ref="R14:R61" si="4">Q14/$R$10</f>
        <v>1.6363636363636362</v>
      </c>
      <c r="S14" s="184">
        <f t="shared" ref="S14:S52" si="5">R14-P14</f>
        <v>0.10490141414141396</v>
      </c>
      <c r="T14" s="171">
        <f t="shared" ref="T14:T60" si="6">S14/R14</f>
        <v>6.4106419753086313E-2</v>
      </c>
    </row>
    <row r="15" spans="3:20" x14ac:dyDescent="0.2">
      <c r="C15" s="221" t="s">
        <v>1865</v>
      </c>
      <c r="D15" s="168"/>
      <c r="E15" s="222">
        <v>473538</v>
      </c>
      <c r="F15" s="89" t="s">
        <v>1864</v>
      </c>
      <c r="G15" s="106">
        <v>36</v>
      </c>
      <c r="H15" s="159" t="s">
        <v>77</v>
      </c>
      <c r="I15" s="8"/>
      <c r="J15" s="8"/>
      <c r="K15" s="17"/>
      <c r="L15" s="260">
        <v>50.72</v>
      </c>
      <c r="M15" s="220">
        <f t="shared" si="0"/>
        <v>0</v>
      </c>
      <c r="N15" s="183">
        <f t="shared" si="1"/>
        <v>1.4088888888888889</v>
      </c>
      <c r="O15" s="184">
        <f t="shared" si="2"/>
        <v>0.12257333333333333</v>
      </c>
      <c r="P15" s="184">
        <f t="shared" si="3"/>
        <v>1.5314622222222223</v>
      </c>
      <c r="Q15" s="207">
        <v>1.9</v>
      </c>
      <c r="R15" s="184">
        <f t="shared" si="4"/>
        <v>1.7272727272727271</v>
      </c>
      <c r="S15" s="184">
        <f t="shared" si="5"/>
        <v>0.19581050505050479</v>
      </c>
      <c r="T15" s="171">
        <f t="shared" si="6"/>
        <v>0.11336397660818699</v>
      </c>
    </row>
    <row r="16" spans="3:20" x14ac:dyDescent="0.2">
      <c r="C16" s="221" t="s">
        <v>1866</v>
      </c>
      <c r="D16" s="168"/>
      <c r="E16" s="222">
        <v>638413</v>
      </c>
      <c r="F16" s="89" t="s">
        <v>1864</v>
      </c>
      <c r="G16" s="106">
        <v>36</v>
      </c>
      <c r="H16" s="159" t="s">
        <v>77</v>
      </c>
      <c r="I16" s="8"/>
      <c r="J16" s="8"/>
      <c r="K16" s="17"/>
      <c r="L16" s="260">
        <v>50.72</v>
      </c>
      <c r="M16" s="220">
        <f t="shared" si="0"/>
        <v>0</v>
      </c>
      <c r="N16" s="183">
        <f t="shared" si="1"/>
        <v>1.4088888888888889</v>
      </c>
      <c r="O16" s="184">
        <f t="shared" si="2"/>
        <v>0.12257333333333333</v>
      </c>
      <c r="P16" s="184">
        <f t="shared" si="3"/>
        <v>1.5314622222222223</v>
      </c>
      <c r="Q16" s="207">
        <v>3.7</v>
      </c>
      <c r="R16" s="184">
        <f t="shared" si="4"/>
        <v>3.3636363636363633</v>
      </c>
      <c r="S16" s="184">
        <f t="shared" si="5"/>
        <v>1.832174141414141</v>
      </c>
      <c r="T16" s="171">
        <f t="shared" si="6"/>
        <v>0.54470042042042033</v>
      </c>
    </row>
    <row r="17" spans="3:20" x14ac:dyDescent="0.2">
      <c r="C17" s="221" t="s">
        <v>1867</v>
      </c>
      <c r="D17" s="168"/>
      <c r="E17" s="222">
        <v>72057</v>
      </c>
      <c r="F17" s="89" t="s">
        <v>1868</v>
      </c>
      <c r="G17" s="106">
        <v>6</v>
      </c>
      <c r="H17" s="159" t="s">
        <v>77</v>
      </c>
      <c r="I17" s="8"/>
      <c r="J17" s="8"/>
      <c r="K17" s="17"/>
      <c r="L17" s="260">
        <v>25.22</v>
      </c>
      <c r="M17" s="220">
        <f t="shared" si="0"/>
        <v>0</v>
      </c>
      <c r="N17" s="183">
        <f t="shared" si="1"/>
        <v>4.2033333333333331</v>
      </c>
      <c r="O17" s="184">
        <f t="shared" si="2"/>
        <v>0.36568999999999996</v>
      </c>
      <c r="P17" s="184">
        <f t="shared" si="3"/>
        <v>4.569023333333333</v>
      </c>
      <c r="Q17" s="207">
        <v>3.7</v>
      </c>
      <c r="R17" s="184">
        <f t="shared" si="4"/>
        <v>3.3636363636363633</v>
      </c>
      <c r="S17" s="184">
        <f t="shared" si="5"/>
        <v>-1.2053869696969697</v>
      </c>
      <c r="T17" s="171">
        <f t="shared" si="6"/>
        <v>-0.35835828828828831</v>
      </c>
    </row>
    <row r="18" spans="3:20" x14ac:dyDescent="0.2">
      <c r="C18" s="221" t="s">
        <v>1869</v>
      </c>
      <c r="D18" s="168"/>
      <c r="E18" s="222">
        <v>242034</v>
      </c>
      <c r="F18" s="89" t="s">
        <v>1870</v>
      </c>
      <c r="G18" s="106">
        <v>24</v>
      </c>
      <c r="H18" s="159" t="s">
        <v>77</v>
      </c>
      <c r="I18" s="8"/>
      <c r="J18" s="8"/>
      <c r="K18" s="17"/>
      <c r="L18" s="260">
        <v>43.33</v>
      </c>
      <c r="M18" s="220">
        <f t="shared" si="0"/>
        <v>0</v>
      </c>
      <c r="N18" s="183">
        <f t="shared" si="1"/>
        <v>1.8054166666666667</v>
      </c>
      <c r="O18" s="184">
        <f t="shared" si="2"/>
        <v>0.15707125</v>
      </c>
      <c r="P18" s="184">
        <f t="shared" si="3"/>
        <v>1.9624879166666667</v>
      </c>
      <c r="Q18" s="207">
        <v>3.7</v>
      </c>
      <c r="R18" s="184">
        <f t="shared" si="4"/>
        <v>3.3636363636363633</v>
      </c>
      <c r="S18" s="184">
        <f t="shared" si="5"/>
        <v>1.4011484469696966</v>
      </c>
      <c r="T18" s="171">
        <f t="shared" si="6"/>
        <v>0.41655764639639636</v>
      </c>
    </row>
    <row r="19" spans="3:20" x14ac:dyDescent="0.2">
      <c r="C19" s="228" t="s">
        <v>1871</v>
      </c>
      <c r="D19" s="168"/>
      <c r="E19" s="229">
        <v>494631</v>
      </c>
      <c r="F19" s="89" t="s">
        <v>1546</v>
      </c>
      <c r="G19" s="100">
        <v>6</v>
      </c>
      <c r="H19" s="159" t="s">
        <v>77</v>
      </c>
      <c r="I19" s="8"/>
      <c r="J19" s="8"/>
      <c r="K19" s="17"/>
      <c r="L19" s="260">
        <v>13.92</v>
      </c>
      <c r="M19" s="220">
        <f t="shared" si="0"/>
        <v>0</v>
      </c>
      <c r="N19" s="183">
        <f t="shared" si="1"/>
        <v>2.3199999999999998</v>
      </c>
      <c r="O19" s="184">
        <f t="shared" si="2"/>
        <v>0.20183999999999996</v>
      </c>
      <c r="P19" s="184">
        <f t="shared" si="3"/>
        <v>2.5218399999999996</v>
      </c>
      <c r="Q19" s="207">
        <v>3.3</v>
      </c>
      <c r="R19" s="184">
        <f t="shared" si="4"/>
        <v>2.9999999999999996</v>
      </c>
      <c r="S19" s="184">
        <f t="shared" si="5"/>
        <v>0.47815999999999992</v>
      </c>
      <c r="T19" s="171">
        <f t="shared" si="6"/>
        <v>0.15938666666666668</v>
      </c>
    </row>
    <row r="20" spans="3:20" x14ac:dyDescent="0.2">
      <c r="C20" s="221" t="s">
        <v>1872</v>
      </c>
      <c r="D20" s="168"/>
      <c r="E20" s="229">
        <v>381600</v>
      </c>
      <c r="F20" s="89" t="s">
        <v>1546</v>
      </c>
      <c r="G20" s="106">
        <v>8</v>
      </c>
      <c r="H20" s="159" t="s">
        <v>77</v>
      </c>
      <c r="I20" s="8"/>
      <c r="J20" s="8"/>
      <c r="K20" s="17"/>
      <c r="L20" s="260">
        <v>18.87</v>
      </c>
      <c r="M20" s="220">
        <f t="shared" si="0"/>
        <v>0</v>
      </c>
      <c r="N20" s="183">
        <f t="shared" si="1"/>
        <v>2.3587500000000001</v>
      </c>
      <c r="O20" s="184">
        <f t="shared" si="2"/>
        <v>0.20521124999999998</v>
      </c>
      <c r="P20" s="184">
        <f t="shared" si="3"/>
        <v>2.5639612500000002</v>
      </c>
      <c r="Q20" s="207">
        <v>3.3</v>
      </c>
      <c r="R20" s="184">
        <f t="shared" si="4"/>
        <v>2.9999999999999996</v>
      </c>
      <c r="S20" s="184">
        <f t="shared" si="5"/>
        <v>0.43603874999999936</v>
      </c>
      <c r="T20" s="171">
        <f t="shared" si="6"/>
        <v>0.14534624999999982</v>
      </c>
    </row>
    <row r="21" spans="3:20" x14ac:dyDescent="0.2">
      <c r="C21" s="221" t="s">
        <v>1873</v>
      </c>
      <c r="D21" s="168"/>
      <c r="E21" s="229">
        <v>3838</v>
      </c>
      <c r="F21" s="89" t="s">
        <v>1874</v>
      </c>
      <c r="G21" s="106">
        <v>12</v>
      </c>
      <c r="H21" s="159" t="s">
        <v>77</v>
      </c>
      <c r="I21" s="8"/>
      <c r="J21" s="8"/>
      <c r="K21" s="17"/>
      <c r="L21" s="260">
        <v>37.75</v>
      </c>
      <c r="M21" s="220">
        <f t="shared" si="0"/>
        <v>0</v>
      </c>
      <c r="N21" s="183">
        <f t="shared" si="1"/>
        <v>3.1458333333333335</v>
      </c>
      <c r="O21" s="184">
        <f t="shared" si="2"/>
        <v>0.27368749999999997</v>
      </c>
      <c r="P21" s="184">
        <f t="shared" si="3"/>
        <v>3.4195208333333333</v>
      </c>
      <c r="Q21" s="207">
        <v>4.8</v>
      </c>
      <c r="R21" s="184">
        <f t="shared" si="4"/>
        <v>4.3636363636363633</v>
      </c>
      <c r="S21" s="184">
        <f t="shared" si="5"/>
        <v>0.94411553030302997</v>
      </c>
      <c r="T21" s="171">
        <f t="shared" si="6"/>
        <v>0.21635980902777771</v>
      </c>
    </row>
    <row r="22" spans="3:20" x14ac:dyDescent="0.2">
      <c r="C22" s="221" t="s">
        <v>1875</v>
      </c>
      <c r="D22" s="168"/>
      <c r="E22" s="222">
        <v>68265</v>
      </c>
      <c r="F22" s="89" t="s">
        <v>1876</v>
      </c>
      <c r="G22" s="106">
        <v>8</v>
      </c>
      <c r="H22" s="159" t="s">
        <v>77</v>
      </c>
      <c r="I22" s="8"/>
      <c r="J22" s="8"/>
      <c r="K22" s="17"/>
      <c r="L22" s="260">
        <v>28.81</v>
      </c>
      <c r="M22" s="220">
        <f t="shared" si="0"/>
        <v>0</v>
      </c>
      <c r="N22" s="183">
        <f t="shared" si="1"/>
        <v>3.6012499999999998</v>
      </c>
      <c r="O22" s="184">
        <f t="shared" si="2"/>
        <v>0.31330874999999997</v>
      </c>
      <c r="P22" s="184">
        <f t="shared" si="3"/>
        <v>3.9145587499999999</v>
      </c>
      <c r="Q22" s="207">
        <v>3.7</v>
      </c>
      <c r="R22" s="184">
        <f t="shared" si="4"/>
        <v>3.3636363636363633</v>
      </c>
      <c r="S22" s="184">
        <f t="shared" si="5"/>
        <v>-0.55092238636363655</v>
      </c>
      <c r="T22" s="171">
        <f t="shared" si="6"/>
        <v>-0.16378773648648656</v>
      </c>
    </row>
    <row r="23" spans="3:20" x14ac:dyDescent="0.2">
      <c r="C23" s="221" t="s">
        <v>1877</v>
      </c>
      <c r="D23" s="168"/>
      <c r="E23" s="222">
        <v>366634</v>
      </c>
      <c r="F23" s="89" t="s">
        <v>1546</v>
      </c>
      <c r="G23" s="106">
        <v>12</v>
      </c>
      <c r="H23" s="159" t="s">
        <v>77</v>
      </c>
      <c r="I23" s="8"/>
      <c r="J23" s="8"/>
      <c r="K23" s="17"/>
      <c r="L23" s="260">
        <v>59.58</v>
      </c>
      <c r="M23" s="220">
        <f t="shared" si="0"/>
        <v>0</v>
      </c>
      <c r="N23" s="183">
        <f t="shared" si="1"/>
        <v>4.9649999999999999</v>
      </c>
      <c r="O23" s="184">
        <f t="shared" si="2"/>
        <v>0.43195499999999998</v>
      </c>
      <c r="P23" s="184">
        <f t="shared" si="3"/>
        <v>5.3969550000000002</v>
      </c>
      <c r="Q23" s="207">
        <v>3.7</v>
      </c>
      <c r="R23" s="184">
        <f t="shared" si="4"/>
        <v>3.3636363636363633</v>
      </c>
      <c r="S23" s="184">
        <f t="shared" si="5"/>
        <v>-2.0333186363636369</v>
      </c>
      <c r="T23" s="171">
        <f t="shared" si="6"/>
        <v>-0.60450013513513534</v>
      </c>
    </row>
    <row r="24" spans="3:20" x14ac:dyDescent="0.2">
      <c r="C24" s="221" t="s">
        <v>1878</v>
      </c>
      <c r="D24" s="168"/>
      <c r="E24" s="222">
        <v>360963</v>
      </c>
      <c r="F24" s="89" t="s">
        <v>1546</v>
      </c>
      <c r="G24" s="106">
        <v>6</v>
      </c>
      <c r="H24" s="159" t="s">
        <v>77</v>
      </c>
      <c r="I24" s="8"/>
      <c r="J24" s="8"/>
      <c r="K24" s="17"/>
      <c r="L24" s="260">
        <v>23.47</v>
      </c>
      <c r="M24" s="220">
        <f>K24*L24</f>
        <v>0</v>
      </c>
      <c r="N24" s="183">
        <f t="shared" si="1"/>
        <v>3.9116666666666666</v>
      </c>
      <c r="O24" s="184">
        <f t="shared" si="2"/>
        <v>0.34031499999999998</v>
      </c>
      <c r="P24" s="184">
        <f t="shared" si="3"/>
        <v>4.2519816666666665</v>
      </c>
      <c r="Q24" s="207">
        <v>3.7</v>
      </c>
      <c r="R24" s="184">
        <f t="shared" si="4"/>
        <v>3.3636363636363633</v>
      </c>
      <c r="S24" s="184">
        <f t="shared" si="5"/>
        <v>-0.88834530303030323</v>
      </c>
      <c r="T24" s="171">
        <f t="shared" si="6"/>
        <v>-0.26410265765765772</v>
      </c>
    </row>
    <row r="25" spans="3:20" x14ac:dyDescent="0.2">
      <c r="C25" s="221" t="s">
        <v>1879</v>
      </c>
      <c r="D25" s="168"/>
      <c r="E25" s="222">
        <v>387897</v>
      </c>
      <c r="F25" s="89" t="s">
        <v>1880</v>
      </c>
      <c r="G25" s="106">
        <v>6</v>
      </c>
      <c r="H25" s="159" t="s">
        <v>77</v>
      </c>
      <c r="I25" s="8"/>
      <c r="J25" s="8"/>
      <c r="K25" s="17"/>
      <c r="L25" s="260">
        <v>45.94</v>
      </c>
      <c r="M25" s="220">
        <f>K25*L25</f>
        <v>0</v>
      </c>
      <c r="N25" s="183">
        <f t="shared" si="1"/>
        <v>7.6566666666666663</v>
      </c>
      <c r="O25" s="184">
        <f t="shared" si="2"/>
        <v>0.66612999999999989</v>
      </c>
      <c r="P25" s="184">
        <f t="shared" si="3"/>
        <v>8.3227966666666653</v>
      </c>
      <c r="Q25" s="207">
        <v>3.7</v>
      </c>
      <c r="R25" s="184">
        <f t="shared" si="4"/>
        <v>3.3636363636363633</v>
      </c>
      <c r="S25" s="184">
        <f t="shared" si="5"/>
        <v>-4.959160303030302</v>
      </c>
      <c r="T25" s="171">
        <f t="shared" si="6"/>
        <v>-1.4743449549549548</v>
      </c>
    </row>
    <row r="26" spans="3:20" x14ac:dyDescent="0.2">
      <c r="C26" s="221" t="s">
        <v>1881</v>
      </c>
      <c r="D26" s="168"/>
      <c r="E26" s="222">
        <v>432079</v>
      </c>
      <c r="F26" s="89" t="s">
        <v>1882</v>
      </c>
      <c r="G26" s="106">
        <v>12</v>
      </c>
      <c r="H26" s="159" t="s">
        <v>77</v>
      </c>
      <c r="I26" s="8"/>
      <c r="J26" s="8"/>
      <c r="K26" s="17"/>
      <c r="L26" s="260">
        <v>43.47</v>
      </c>
      <c r="M26" s="220">
        <f>K26*L26</f>
        <v>0</v>
      </c>
      <c r="N26" s="183">
        <f t="shared" si="1"/>
        <v>3.6225000000000001</v>
      </c>
      <c r="O26" s="184">
        <f t="shared" si="2"/>
        <v>0.31515749999999998</v>
      </c>
      <c r="P26" s="184">
        <f t="shared" si="3"/>
        <v>3.9376575000000003</v>
      </c>
      <c r="Q26" s="207">
        <v>1.8</v>
      </c>
      <c r="R26" s="184">
        <f t="shared" si="4"/>
        <v>1.6363636363636362</v>
      </c>
      <c r="S26" s="184">
        <f t="shared" si="5"/>
        <v>-2.301293863636364</v>
      </c>
      <c r="T26" s="171">
        <f t="shared" si="6"/>
        <v>-1.4063462500000004</v>
      </c>
    </row>
    <row r="27" spans="3:20" x14ac:dyDescent="0.2">
      <c r="C27" s="221" t="s">
        <v>1883</v>
      </c>
      <c r="D27" s="168"/>
      <c r="E27" s="222">
        <v>370358</v>
      </c>
      <c r="F27" s="98" t="s">
        <v>1884</v>
      </c>
      <c r="G27" s="100">
        <v>6</v>
      </c>
      <c r="H27" s="159" t="s">
        <v>77</v>
      </c>
      <c r="I27" s="8"/>
      <c r="J27" s="8"/>
      <c r="K27" s="17"/>
      <c r="L27" s="260">
        <v>11.01</v>
      </c>
      <c r="M27" s="220">
        <f t="shared" ref="M27:M42" si="7">K27*L27</f>
        <v>0</v>
      </c>
      <c r="N27" s="183">
        <f t="shared" si="1"/>
        <v>1.835</v>
      </c>
      <c r="O27" s="184">
        <f t="shared" si="2"/>
        <v>0.15964499999999998</v>
      </c>
      <c r="P27" s="184">
        <f t="shared" si="3"/>
        <v>1.994645</v>
      </c>
      <c r="Q27" s="207">
        <v>3.5</v>
      </c>
      <c r="R27" s="184">
        <f t="shared" ref="R27:R32" si="8">Q27/$R$10</f>
        <v>3.1818181818181817</v>
      </c>
      <c r="S27" s="184">
        <f t="shared" si="5"/>
        <v>1.1871731818181817</v>
      </c>
      <c r="T27" s="171">
        <f t="shared" ref="T27:T32" si="9">S27/R27</f>
        <v>0.37311157142857138</v>
      </c>
    </row>
    <row r="28" spans="3:20" x14ac:dyDescent="0.2">
      <c r="C28" s="221" t="s">
        <v>1885</v>
      </c>
      <c r="D28" s="168"/>
      <c r="E28" s="222">
        <v>208666</v>
      </c>
      <c r="F28" s="98" t="s">
        <v>1546</v>
      </c>
      <c r="G28" s="100">
        <v>6</v>
      </c>
      <c r="H28" s="159" t="s">
        <v>77</v>
      </c>
      <c r="I28" s="8"/>
      <c r="J28" s="8"/>
      <c r="K28" s="17"/>
      <c r="L28" s="260">
        <v>8.1999999999999993</v>
      </c>
      <c r="M28" s="220">
        <f t="shared" si="7"/>
        <v>0</v>
      </c>
      <c r="N28" s="183">
        <f t="shared" si="1"/>
        <v>1.3666666666666665</v>
      </c>
      <c r="O28" s="184">
        <f t="shared" si="2"/>
        <v>0.11889999999999998</v>
      </c>
      <c r="P28" s="184">
        <f t="shared" si="3"/>
        <v>1.4855666666666665</v>
      </c>
      <c r="Q28" s="207">
        <v>3.5</v>
      </c>
      <c r="R28" s="184">
        <f t="shared" si="8"/>
        <v>3.1818181818181817</v>
      </c>
      <c r="S28" s="184">
        <f t="shared" si="5"/>
        <v>1.6962515151515152</v>
      </c>
      <c r="T28" s="171">
        <f t="shared" si="9"/>
        <v>0.53310761904761905</v>
      </c>
    </row>
    <row r="29" spans="3:20" x14ac:dyDescent="0.2">
      <c r="C29" s="221" t="s">
        <v>1886</v>
      </c>
      <c r="D29" s="168"/>
      <c r="E29" s="222">
        <v>370659</v>
      </c>
      <c r="F29" s="98" t="s">
        <v>1850</v>
      </c>
      <c r="G29" s="100">
        <v>6</v>
      </c>
      <c r="H29" s="159" t="s">
        <v>77</v>
      </c>
      <c r="I29" s="8"/>
      <c r="J29" s="8"/>
      <c r="K29" s="17"/>
      <c r="L29" s="260">
        <v>24.93</v>
      </c>
      <c r="M29" s="220">
        <f t="shared" si="7"/>
        <v>0</v>
      </c>
      <c r="N29" s="183">
        <f t="shared" si="1"/>
        <v>4.1550000000000002</v>
      </c>
      <c r="O29" s="184">
        <f t="shared" si="2"/>
        <v>0.361485</v>
      </c>
      <c r="P29" s="184">
        <f t="shared" si="3"/>
        <v>4.5164850000000003</v>
      </c>
      <c r="Q29" s="207">
        <v>3</v>
      </c>
      <c r="R29" s="184">
        <f t="shared" si="8"/>
        <v>2.7272727272727271</v>
      </c>
      <c r="S29" s="184">
        <f t="shared" si="5"/>
        <v>-1.7892122727272732</v>
      </c>
      <c r="T29" s="171">
        <f t="shared" si="9"/>
        <v>-0.65604450000000025</v>
      </c>
    </row>
    <row r="30" spans="3:20" x14ac:dyDescent="0.2">
      <c r="C30" s="221" t="s">
        <v>1887</v>
      </c>
      <c r="D30" s="168"/>
      <c r="E30" s="222">
        <v>84570</v>
      </c>
      <c r="F30" s="98" t="s">
        <v>1850</v>
      </c>
      <c r="G30" s="100">
        <v>6</v>
      </c>
      <c r="H30" s="159" t="s">
        <v>77</v>
      </c>
      <c r="I30" s="8"/>
      <c r="J30" s="8"/>
      <c r="K30" s="17"/>
      <c r="L30" s="260">
        <v>24.16</v>
      </c>
      <c r="M30" s="220">
        <f t="shared" si="7"/>
        <v>0</v>
      </c>
      <c r="N30" s="183">
        <f t="shared" si="1"/>
        <v>4.0266666666666664</v>
      </c>
      <c r="O30" s="184">
        <f t="shared" si="2"/>
        <v>0.35031999999999996</v>
      </c>
      <c r="P30" s="184">
        <f t="shared" si="3"/>
        <v>4.3769866666666664</v>
      </c>
      <c r="Q30" s="207">
        <v>3</v>
      </c>
      <c r="R30" s="184">
        <f t="shared" si="8"/>
        <v>2.7272727272727271</v>
      </c>
      <c r="S30" s="184">
        <f t="shared" si="5"/>
        <v>-1.6497139393939393</v>
      </c>
      <c r="T30" s="171">
        <f t="shared" si="9"/>
        <v>-0.60489511111111116</v>
      </c>
    </row>
    <row r="31" spans="3:20" x14ac:dyDescent="0.2">
      <c r="C31" s="221" t="s">
        <v>1888</v>
      </c>
      <c r="D31" s="168"/>
      <c r="E31" s="222">
        <v>371309</v>
      </c>
      <c r="F31" s="98" t="s">
        <v>1889</v>
      </c>
      <c r="G31" s="100">
        <v>6</v>
      </c>
      <c r="H31" s="159" t="s">
        <v>77</v>
      </c>
      <c r="I31" s="8"/>
      <c r="J31" s="8"/>
      <c r="K31" s="17"/>
      <c r="L31" s="260">
        <v>38.950000000000003</v>
      </c>
      <c r="M31" s="220">
        <f t="shared" si="7"/>
        <v>0</v>
      </c>
      <c r="N31" s="183">
        <f t="shared" si="1"/>
        <v>6.4916666666666671</v>
      </c>
      <c r="O31" s="184">
        <f t="shared" si="2"/>
        <v>0.56477500000000003</v>
      </c>
      <c r="P31" s="184">
        <f t="shared" si="3"/>
        <v>7.0564416666666672</v>
      </c>
      <c r="Q31" s="207">
        <v>3</v>
      </c>
      <c r="R31" s="184">
        <f t="shared" si="8"/>
        <v>2.7272727272727271</v>
      </c>
      <c r="S31" s="184">
        <f t="shared" si="5"/>
        <v>-4.3291689393939397</v>
      </c>
      <c r="T31" s="171">
        <f t="shared" si="9"/>
        <v>-1.5873619444444447</v>
      </c>
    </row>
    <row r="32" spans="3:20" x14ac:dyDescent="0.2">
      <c r="C32" s="221" t="s">
        <v>1890</v>
      </c>
      <c r="D32" s="168"/>
      <c r="E32" s="222">
        <v>26763</v>
      </c>
      <c r="F32" s="98" t="s">
        <v>1546</v>
      </c>
      <c r="G32" s="100">
        <v>6</v>
      </c>
      <c r="H32" s="159" t="s">
        <v>77</v>
      </c>
      <c r="I32" s="8"/>
      <c r="J32" s="8"/>
      <c r="K32" s="17"/>
      <c r="L32" s="260">
        <v>28.32</v>
      </c>
      <c r="M32" s="220">
        <f t="shared" si="7"/>
        <v>0</v>
      </c>
      <c r="N32" s="183">
        <f t="shared" si="1"/>
        <v>4.72</v>
      </c>
      <c r="O32" s="184">
        <f t="shared" si="2"/>
        <v>0.41063999999999995</v>
      </c>
      <c r="P32" s="184">
        <f t="shared" si="3"/>
        <v>5.1306399999999996</v>
      </c>
      <c r="Q32" s="207">
        <v>3</v>
      </c>
      <c r="R32" s="184">
        <f t="shared" si="8"/>
        <v>2.7272727272727271</v>
      </c>
      <c r="S32" s="184">
        <f t="shared" si="5"/>
        <v>-2.4033672727272726</v>
      </c>
      <c r="T32" s="171">
        <f t="shared" si="9"/>
        <v>-0.88123466666666672</v>
      </c>
    </row>
    <row r="33" spans="3:20" x14ac:dyDescent="0.2">
      <c r="C33" s="221" t="s">
        <v>1891</v>
      </c>
      <c r="D33" s="168"/>
      <c r="E33" s="222">
        <v>55576</v>
      </c>
      <c r="F33" s="89" t="s">
        <v>1892</v>
      </c>
      <c r="G33" s="106">
        <v>10</v>
      </c>
      <c r="H33" s="159" t="s">
        <v>77</v>
      </c>
      <c r="I33" s="8"/>
      <c r="J33" s="8"/>
      <c r="K33" s="17"/>
      <c r="L33" s="260">
        <v>74.5</v>
      </c>
      <c r="M33" s="220">
        <f t="shared" si="7"/>
        <v>0</v>
      </c>
      <c r="N33" s="183">
        <f t="shared" si="1"/>
        <v>7.45</v>
      </c>
      <c r="O33" s="184">
        <f t="shared" si="2"/>
        <v>0.64815</v>
      </c>
      <c r="P33" s="184">
        <f t="shared" si="3"/>
        <v>8.0981500000000004</v>
      </c>
      <c r="Q33" s="207">
        <v>5.7</v>
      </c>
      <c r="R33" s="184">
        <f t="shared" si="4"/>
        <v>5.1818181818181817</v>
      </c>
      <c r="S33" s="184">
        <f t="shared" si="5"/>
        <v>-2.9163318181818187</v>
      </c>
      <c r="T33" s="171">
        <f t="shared" si="6"/>
        <v>-0.56280087719298255</v>
      </c>
    </row>
    <row r="34" spans="3:20" x14ac:dyDescent="0.2">
      <c r="C34" s="221" t="s">
        <v>1893</v>
      </c>
      <c r="D34" s="168"/>
      <c r="E34" s="222">
        <v>725419</v>
      </c>
      <c r="F34" s="89" t="s">
        <v>1546</v>
      </c>
      <c r="G34" s="106">
        <v>4</v>
      </c>
      <c r="H34" s="159" t="s">
        <v>77</v>
      </c>
      <c r="I34" s="8"/>
      <c r="J34" s="8"/>
      <c r="K34" s="17"/>
      <c r="L34" s="260">
        <v>6.01</v>
      </c>
      <c r="M34" s="220">
        <f t="shared" si="7"/>
        <v>0</v>
      </c>
      <c r="N34" s="183">
        <f t="shared" si="1"/>
        <v>1.5024999999999999</v>
      </c>
      <c r="O34" s="184">
        <f t="shared" si="2"/>
        <v>0.13071749999999999</v>
      </c>
      <c r="P34" s="184">
        <f t="shared" si="3"/>
        <v>1.6332175</v>
      </c>
      <c r="Q34" s="207">
        <v>6</v>
      </c>
      <c r="R34" s="184">
        <f t="shared" si="4"/>
        <v>5.4545454545454541</v>
      </c>
      <c r="S34" s="184">
        <f t="shared" si="5"/>
        <v>3.8213279545454544</v>
      </c>
      <c r="T34" s="171">
        <f t="shared" si="6"/>
        <v>0.70057679166666664</v>
      </c>
    </row>
    <row r="35" spans="3:20" x14ac:dyDescent="0.2">
      <c r="C35" s="221" t="s">
        <v>1894</v>
      </c>
      <c r="D35" s="168"/>
      <c r="E35" s="229">
        <v>725401</v>
      </c>
      <c r="F35" s="89" t="s">
        <v>1546</v>
      </c>
      <c r="G35" s="106">
        <v>4</v>
      </c>
      <c r="H35" s="159" t="s">
        <v>77</v>
      </c>
      <c r="I35" s="8"/>
      <c r="J35" s="8"/>
      <c r="K35" s="17"/>
      <c r="L35" s="260">
        <v>6.01</v>
      </c>
      <c r="M35" s="220">
        <f t="shared" si="7"/>
        <v>0</v>
      </c>
      <c r="N35" s="183">
        <f t="shared" si="1"/>
        <v>1.5024999999999999</v>
      </c>
      <c r="O35" s="184">
        <f t="shared" si="2"/>
        <v>0.13071749999999999</v>
      </c>
      <c r="P35" s="184">
        <f t="shared" si="3"/>
        <v>1.6332175</v>
      </c>
      <c r="Q35" s="207">
        <v>5.8</v>
      </c>
      <c r="R35" s="184">
        <f t="shared" si="4"/>
        <v>5.2727272727272725</v>
      </c>
      <c r="S35" s="184">
        <f t="shared" si="5"/>
        <v>3.6395097727272727</v>
      </c>
      <c r="T35" s="171">
        <f t="shared" si="6"/>
        <v>0.69025185344827589</v>
      </c>
    </row>
    <row r="36" spans="3:20" x14ac:dyDescent="0.2">
      <c r="C36" s="221" t="s">
        <v>1895</v>
      </c>
      <c r="D36" s="168"/>
      <c r="E36" s="229">
        <v>381655</v>
      </c>
      <c r="F36" s="89" t="s">
        <v>1850</v>
      </c>
      <c r="G36" s="106">
        <v>6</v>
      </c>
      <c r="H36" s="159" t="s">
        <v>77</v>
      </c>
      <c r="I36" s="8"/>
      <c r="J36" s="8"/>
      <c r="K36" s="17"/>
      <c r="L36" s="260">
        <v>36.22</v>
      </c>
      <c r="M36" s="220">
        <f t="shared" si="7"/>
        <v>0</v>
      </c>
      <c r="N36" s="183">
        <f t="shared" si="1"/>
        <v>6.0366666666666662</v>
      </c>
      <c r="O36" s="184">
        <f t="shared" si="2"/>
        <v>0.52518999999999993</v>
      </c>
      <c r="P36" s="184">
        <f t="shared" si="3"/>
        <v>6.5618566666666664</v>
      </c>
      <c r="Q36" s="207">
        <v>1.7</v>
      </c>
      <c r="R36" s="184">
        <f t="shared" si="4"/>
        <v>1.5454545454545452</v>
      </c>
      <c r="S36" s="184">
        <f t="shared" si="5"/>
        <v>-5.0164021212121215</v>
      </c>
      <c r="T36" s="171">
        <f t="shared" si="6"/>
        <v>-3.2459072549019616</v>
      </c>
    </row>
    <row r="37" spans="3:20" x14ac:dyDescent="0.2">
      <c r="C37" s="221" t="s">
        <v>1896</v>
      </c>
      <c r="D37" s="168"/>
      <c r="E37" s="229">
        <v>635635</v>
      </c>
      <c r="F37" s="89" t="s">
        <v>1897</v>
      </c>
      <c r="G37" s="106">
        <v>8</v>
      </c>
      <c r="H37" s="159" t="s">
        <v>77</v>
      </c>
      <c r="I37" s="8"/>
      <c r="J37" s="8"/>
      <c r="K37" s="17"/>
      <c r="L37" s="260">
        <v>24.99</v>
      </c>
      <c r="M37" s="220">
        <f t="shared" si="7"/>
        <v>0</v>
      </c>
      <c r="N37" s="183">
        <f t="shared" si="1"/>
        <v>3.1237499999999998</v>
      </c>
      <c r="O37" s="184">
        <f t="shared" si="2"/>
        <v>0.27176624999999999</v>
      </c>
      <c r="P37" s="184">
        <f t="shared" si="3"/>
        <v>3.39551625</v>
      </c>
      <c r="Q37" s="207">
        <v>1.7</v>
      </c>
      <c r="R37" s="184">
        <f t="shared" si="4"/>
        <v>1.5454545454545452</v>
      </c>
      <c r="S37" s="184">
        <f t="shared" si="5"/>
        <v>-1.8500617045454548</v>
      </c>
      <c r="T37" s="171">
        <f t="shared" si="6"/>
        <v>-1.1970987500000003</v>
      </c>
    </row>
    <row r="38" spans="3:20" x14ac:dyDescent="0.2">
      <c r="C38" s="221" t="s">
        <v>1898</v>
      </c>
      <c r="D38" s="168"/>
      <c r="E38" s="229">
        <v>13024</v>
      </c>
      <c r="F38" s="89" t="s">
        <v>1850</v>
      </c>
      <c r="G38" s="106">
        <v>3</v>
      </c>
      <c r="H38" s="159" t="s">
        <v>77</v>
      </c>
      <c r="I38" s="8"/>
      <c r="J38" s="8"/>
      <c r="K38" s="17"/>
      <c r="L38" s="260">
        <v>13.75</v>
      </c>
      <c r="M38" s="220">
        <f t="shared" si="7"/>
        <v>0</v>
      </c>
      <c r="N38" s="183">
        <f t="shared" si="1"/>
        <v>4.583333333333333</v>
      </c>
      <c r="O38" s="184">
        <f t="shared" si="2"/>
        <v>0.39874999999999994</v>
      </c>
      <c r="P38" s="184">
        <f t="shared" si="3"/>
        <v>4.9820833333333328</v>
      </c>
      <c r="Q38" s="207">
        <v>2.2999999999999998</v>
      </c>
      <c r="R38" s="184">
        <f t="shared" si="4"/>
        <v>2.0909090909090904</v>
      </c>
      <c r="S38" s="184">
        <f t="shared" si="5"/>
        <v>-2.8911742424242424</v>
      </c>
      <c r="T38" s="171">
        <f t="shared" si="6"/>
        <v>-1.3827355072463772</v>
      </c>
    </row>
    <row r="39" spans="3:20" x14ac:dyDescent="0.2">
      <c r="C39" s="221" t="s">
        <v>1899</v>
      </c>
      <c r="D39" s="168"/>
      <c r="E39" s="229">
        <v>401743</v>
      </c>
      <c r="F39" s="89" t="s">
        <v>1900</v>
      </c>
      <c r="G39" s="106">
        <v>12</v>
      </c>
      <c r="H39" s="159" t="s">
        <v>77</v>
      </c>
      <c r="I39" s="8"/>
      <c r="J39" s="8"/>
      <c r="K39" s="17"/>
      <c r="L39" s="260">
        <v>52.32</v>
      </c>
      <c r="M39" s="220">
        <f t="shared" si="7"/>
        <v>0</v>
      </c>
      <c r="N39" s="183">
        <f t="shared" si="1"/>
        <v>4.3600000000000003</v>
      </c>
      <c r="O39" s="184">
        <f t="shared" si="2"/>
        <v>0.37931999999999999</v>
      </c>
      <c r="P39" s="184">
        <f t="shared" si="3"/>
        <v>4.7393200000000002</v>
      </c>
      <c r="Q39" s="207">
        <v>1.7</v>
      </c>
      <c r="R39" s="184">
        <f t="shared" si="4"/>
        <v>1.5454545454545452</v>
      </c>
      <c r="S39" s="184">
        <f t="shared" si="5"/>
        <v>-3.1938654545454552</v>
      </c>
      <c r="T39" s="171">
        <f t="shared" si="6"/>
        <v>-2.0666188235294127</v>
      </c>
    </row>
    <row r="40" spans="3:20" x14ac:dyDescent="0.2">
      <c r="C40" s="221" t="s">
        <v>1901</v>
      </c>
      <c r="D40" s="168"/>
      <c r="E40" s="229">
        <v>421206</v>
      </c>
      <c r="F40" s="89" t="s">
        <v>1870</v>
      </c>
      <c r="G40" s="106">
        <v>8</v>
      </c>
      <c r="H40" s="159" t="s">
        <v>77</v>
      </c>
      <c r="I40" s="8"/>
      <c r="J40" s="8"/>
      <c r="K40" s="17"/>
      <c r="L40" s="260">
        <v>55.09</v>
      </c>
      <c r="M40" s="220">
        <f>K40*L40</f>
        <v>0</v>
      </c>
      <c r="N40" s="183">
        <f>L40/G40</f>
        <v>6.8862500000000004</v>
      </c>
      <c r="O40" s="184">
        <f t="shared" si="2"/>
        <v>0.59910375000000005</v>
      </c>
      <c r="P40" s="184">
        <f t="shared" si="3"/>
        <v>7.4853537500000007</v>
      </c>
      <c r="Q40" s="207">
        <v>15</v>
      </c>
      <c r="R40" s="184">
        <f t="shared" si="4"/>
        <v>13.636363636363635</v>
      </c>
      <c r="S40" s="184">
        <f t="shared" si="5"/>
        <v>6.1510098863636342</v>
      </c>
      <c r="T40" s="171">
        <f t="shared" si="6"/>
        <v>0.45107405833333325</v>
      </c>
    </row>
    <row r="41" spans="3:20" x14ac:dyDescent="0.2">
      <c r="C41" s="221" t="s">
        <v>1902</v>
      </c>
      <c r="D41" s="168"/>
      <c r="E41" s="229">
        <v>38053</v>
      </c>
      <c r="F41" s="89" t="s">
        <v>1903</v>
      </c>
      <c r="G41" s="106">
        <v>6</v>
      </c>
      <c r="H41" s="159" t="s">
        <v>77</v>
      </c>
      <c r="I41" s="8"/>
      <c r="J41" s="8"/>
      <c r="K41" s="17"/>
      <c r="L41" s="260">
        <v>39.22</v>
      </c>
      <c r="M41" s="220">
        <f t="shared" si="7"/>
        <v>0</v>
      </c>
      <c r="N41" s="183">
        <f t="shared" si="1"/>
        <v>6.5366666666666662</v>
      </c>
      <c r="O41" s="184">
        <f t="shared" si="2"/>
        <v>0.56868999999999992</v>
      </c>
      <c r="P41" s="184">
        <f t="shared" si="3"/>
        <v>7.1053566666666663</v>
      </c>
      <c r="Q41" s="207">
        <v>4.8</v>
      </c>
      <c r="R41" s="184">
        <f t="shared" si="4"/>
        <v>4.3636363636363633</v>
      </c>
      <c r="S41" s="184">
        <f t="shared" si="5"/>
        <v>-2.741720303030303</v>
      </c>
      <c r="T41" s="171">
        <f t="shared" si="6"/>
        <v>-0.62831090277777779</v>
      </c>
    </row>
    <row r="42" spans="3:20" x14ac:dyDescent="0.2">
      <c r="C42" s="221" t="s">
        <v>1904</v>
      </c>
      <c r="D42" s="168"/>
      <c r="E42" s="229">
        <v>625164</v>
      </c>
      <c r="F42" s="89" t="s">
        <v>71</v>
      </c>
      <c r="G42" s="106">
        <v>12</v>
      </c>
      <c r="H42" s="159" t="s">
        <v>77</v>
      </c>
      <c r="I42" s="8"/>
      <c r="J42" s="8"/>
      <c r="K42" s="17"/>
      <c r="L42" s="260">
        <v>145.94999999999999</v>
      </c>
      <c r="M42" s="220">
        <f t="shared" si="7"/>
        <v>0</v>
      </c>
      <c r="N42" s="183">
        <f t="shared" si="1"/>
        <v>12.1625</v>
      </c>
      <c r="O42" s="184">
        <f t="shared" si="2"/>
        <v>1.0581375</v>
      </c>
      <c r="P42" s="184">
        <f t="shared" si="3"/>
        <v>13.220637499999999</v>
      </c>
      <c r="Q42" s="207">
        <v>4.8</v>
      </c>
      <c r="R42" s="184">
        <f t="shared" si="4"/>
        <v>4.3636363636363633</v>
      </c>
      <c r="S42" s="184">
        <f t="shared" si="5"/>
        <v>-8.8570011363636354</v>
      </c>
      <c r="T42" s="171">
        <f t="shared" si="6"/>
        <v>-2.0297294270833333</v>
      </c>
    </row>
    <row r="43" spans="3:20" x14ac:dyDescent="0.2">
      <c r="C43" s="221" t="s">
        <v>1905</v>
      </c>
      <c r="D43" s="168"/>
      <c r="E43" s="229">
        <v>494576</v>
      </c>
      <c r="F43" s="89" t="s">
        <v>466</v>
      </c>
      <c r="G43" s="106">
        <v>6</v>
      </c>
      <c r="H43" s="159" t="s">
        <v>77</v>
      </c>
      <c r="I43" s="8"/>
      <c r="J43" s="8"/>
      <c r="K43" s="17"/>
      <c r="L43" s="260">
        <v>24.97</v>
      </c>
      <c r="M43" s="220">
        <f t="shared" si="0"/>
        <v>0</v>
      </c>
      <c r="N43" s="183">
        <f t="shared" si="1"/>
        <v>4.1616666666666662</v>
      </c>
      <c r="O43" s="184">
        <f t="shared" si="2"/>
        <v>0.36206499999999991</v>
      </c>
      <c r="P43" s="184">
        <f t="shared" si="3"/>
        <v>4.5237316666666665</v>
      </c>
      <c r="Q43" s="207">
        <v>1.7</v>
      </c>
      <c r="R43" s="184">
        <f t="shared" si="4"/>
        <v>1.5454545454545452</v>
      </c>
      <c r="S43" s="184">
        <f t="shared" si="5"/>
        <v>-2.9782771212121215</v>
      </c>
      <c r="T43" s="171">
        <f t="shared" si="6"/>
        <v>-1.927120490196079</v>
      </c>
    </row>
    <row r="44" spans="3:20" x14ac:dyDescent="0.2">
      <c r="C44" s="221" t="s">
        <v>1906</v>
      </c>
      <c r="D44" s="168"/>
      <c r="E44" s="229">
        <v>421206</v>
      </c>
      <c r="F44" s="89" t="s">
        <v>1907</v>
      </c>
      <c r="G44" s="106">
        <v>6</v>
      </c>
      <c r="H44" s="159" t="s">
        <v>77</v>
      </c>
      <c r="I44" s="8"/>
      <c r="J44" s="8"/>
      <c r="K44" s="17"/>
      <c r="L44" s="260">
        <v>55.09</v>
      </c>
      <c r="M44" s="220">
        <f t="shared" si="0"/>
        <v>0</v>
      </c>
      <c r="N44" s="183">
        <f t="shared" si="1"/>
        <v>9.1816666666666666</v>
      </c>
      <c r="O44" s="184">
        <f t="shared" si="2"/>
        <v>0.79880499999999999</v>
      </c>
      <c r="P44" s="184">
        <f t="shared" si="3"/>
        <v>9.9804716666666664</v>
      </c>
      <c r="Q44" s="207">
        <v>0.9</v>
      </c>
      <c r="R44" s="184">
        <f t="shared" si="4"/>
        <v>0.81818181818181812</v>
      </c>
      <c r="S44" s="184">
        <f t="shared" si="5"/>
        <v>-9.1622898484848481</v>
      </c>
      <c r="T44" s="171">
        <f t="shared" si="6"/>
        <v>-11.19835425925926</v>
      </c>
    </row>
    <row r="45" spans="3:20" x14ac:dyDescent="0.2">
      <c r="C45" s="221" t="s">
        <v>1908</v>
      </c>
      <c r="D45" s="168"/>
      <c r="E45" s="222">
        <v>390727</v>
      </c>
      <c r="F45" s="89" t="s">
        <v>1907</v>
      </c>
      <c r="G45" s="106">
        <v>24</v>
      </c>
      <c r="H45" s="159" t="s">
        <v>77</v>
      </c>
      <c r="I45" s="8"/>
      <c r="J45" s="8"/>
      <c r="K45" s="17"/>
      <c r="L45" s="260">
        <v>91.33</v>
      </c>
      <c r="M45" s="220">
        <f t="shared" si="0"/>
        <v>0</v>
      </c>
      <c r="N45" s="183">
        <f t="shared" si="1"/>
        <v>3.8054166666666664</v>
      </c>
      <c r="O45" s="184">
        <f t="shared" si="2"/>
        <v>0.33107124999999998</v>
      </c>
      <c r="P45" s="184">
        <f t="shared" si="3"/>
        <v>4.1364879166666668</v>
      </c>
      <c r="Q45" s="207">
        <v>0.5</v>
      </c>
      <c r="R45" s="184">
        <f t="shared" si="4"/>
        <v>0.45454545454545453</v>
      </c>
      <c r="S45" s="184">
        <f t="shared" si="5"/>
        <v>-3.6819424621212122</v>
      </c>
      <c r="T45" s="171">
        <f t="shared" si="6"/>
        <v>-8.100273416666667</v>
      </c>
    </row>
    <row r="46" spans="3:20" x14ac:dyDescent="0.2">
      <c r="C46" s="221" t="s">
        <v>1909</v>
      </c>
      <c r="D46" s="168"/>
      <c r="E46" s="222">
        <v>446280</v>
      </c>
      <c r="F46" s="89" t="s">
        <v>1864</v>
      </c>
      <c r="G46" s="106">
        <v>32</v>
      </c>
      <c r="H46" s="159" t="s">
        <v>77</v>
      </c>
      <c r="I46" s="8"/>
      <c r="J46" s="8"/>
      <c r="K46" s="17"/>
      <c r="L46" s="260">
        <v>54.58</v>
      </c>
      <c r="M46" s="220">
        <f t="shared" si="0"/>
        <v>0</v>
      </c>
      <c r="N46" s="183">
        <f t="shared" si="1"/>
        <v>1.7056249999999999</v>
      </c>
      <c r="O46" s="184">
        <f t="shared" si="2"/>
        <v>0.14838937499999999</v>
      </c>
      <c r="P46" s="184">
        <f t="shared" si="3"/>
        <v>1.854014375</v>
      </c>
      <c r="Q46" s="207">
        <v>0.5</v>
      </c>
      <c r="R46" s="184">
        <f t="shared" si="4"/>
        <v>0.45454545454545453</v>
      </c>
      <c r="S46" s="184">
        <f t="shared" si="5"/>
        <v>-1.3994689204545454</v>
      </c>
      <c r="T46" s="171">
        <f t="shared" si="6"/>
        <v>-3.0788316249999998</v>
      </c>
    </row>
    <row r="47" spans="3:20" x14ac:dyDescent="0.2">
      <c r="C47" s="221" t="s">
        <v>1910</v>
      </c>
      <c r="D47" s="168"/>
      <c r="E47" s="229">
        <v>247673</v>
      </c>
      <c r="F47" s="89" t="s">
        <v>1546</v>
      </c>
      <c r="G47" s="106">
        <v>6</v>
      </c>
      <c r="H47" s="159" t="s">
        <v>77</v>
      </c>
      <c r="I47" s="8"/>
      <c r="J47" s="8"/>
      <c r="K47" s="17"/>
      <c r="L47" s="260">
        <v>11.43</v>
      </c>
      <c r="M47" s="220">
        <f t="shared" si="0"/>
        <v>0</v>
      </c>
      <c r="N47" s="183">
        <f t="shared" si="1"/>
        <v>1.905</v>
      </c>
      <c r="O47" s="184">
        <f t="shared" si="2"/>
        <v>0.16573499999999999</v>
      </c>
      <c r="P47" s="184">
        <f t="shared" si="3"/>
        <v>2.070735</v>
      </c>
      <c r="Q47" s="207">
        <v>5.8</v>
      </c>
      <c r="R47" s="184">
        <f t="shared" si="4"/>
        <v>5.2727272727272725</v>
      </c>
      <c r="S47" s="184">
        <f t="shared" si="5"/>
        <v>3.2019922727272725</v>
      </c>
      <c r="T47" s="171">
        <f t="shared" si="6"/>
        <v>0.6072743965517241</v>
      </c>
    </row>
    <row r="48" spans="3:20" x14ac:dyDescent="0.2">
      <c r="C48" s="221" t="s">
        <v>1911</v>
      </c>
      <c r="D48" s="168"/>
      <c r="E48" s="229">
        <v>248035</v>
      </c>
      <c r="F48" s="89" t="s">
        <v>1546</v>
      </c>
      <c r="G48" s="106">
        <v>6</v>
      </c>
      <c r="H48" s="159" t="s">
        <v>77</v>
      </c>
      <c r="I48" s="8"/>
      <c r="J48" s="8"/>
      <c r="K48" s="17"/>
      <c r="L48" s="260">
        <v>18.52</v>
      </c>
      <c r="M48" s="220">
        <f t="shared" si="0"/>
        <v>0</v>
      </c>
      <c r="N48" s="183">
        <f t="shared" si="1"/>
        <v>3.0866666666666664</v>
      </c>
      <c r="O48" s="184">
        <f t="shared" si="2"/>
        <v>0.26853999999999995</v>
      </c>
      <c r="P48" s="184">
        <f t="shared" si="3"/>
        <v>3.3552066666666662</v>
      </c>
      <c r="Q48" s="207">
        <v>2</v>
      </c>
      <c r="R48" s="184">
        <f t="shared" si="4"/>
        <v>1.8181818181818181</v>
      </c>
      <c r="S48" s="184">
        <f t="shared" si="5"/>
        <v>-1.5370248484848481</v>
      </c>
      <c r="T48" s="171">
        <f t="shared" si="6"/>
        <v>-0.84536366666666651</v>
      </c>
    </row>
    <row r="49" spans="3:20" x14ac:dyDescent="0.2">
      <c r="C49" s="221" t="s">
        <v>1912</v>
      </c>
      <c r="D49" s="168"/>
      <c r="E49" s="229">
        <v>248637</v>
      </c>
      <c r="F49" s="89" t="s">
        <v>1546</v>
      </c>
      <c r="G49" s="106">
        <v>6</v>
      </c>
      <c r="H49" s="159" t="s">
        <v>77</v>
      </c>
      <c r="I49" s="8"/>
      <c r="J49" s="8"/>
      <c r="K49" s="17"/>
      <c r="L49" s="260">
        <v>16.010000000000002</v>
      </c>
      <c r="M49" s="220">
        <f t="shared" si="0"/>
        <v>0</v>
      </c>
      <c r="N49" s="183">
        <f t="shared" si="1"/>
        <v>2.6683333333333334</v>
      </c>
      <c r="O49" s="184">
        <f t="shared" si="2"/>
        <v>0.23214499999999999</v>
      </c>
      <c r="P49" s="184">
        <f t="shared" si="3"/>
        <v>2.9004783333333335</v>
      </c>
      <c r="Q49" s="207">
        <v>1.7</v>
      </c>
      <c r="R49" s="184">
        <f t="shared" si="4"/>
        <v>1.5454545454545452</v>
      </c>
      <c r="S49" s="184">
        <f t="shared" si="5"/>
        <v>-1.3550237878787883</v>
      </c>
      <c r="T49" s="171">
        <f t="shared" si="6"/>
        <v>-0.87678009803921608</v>
      </c>
    </row>
    <row r="50" spans="3:20" x14ac:dyDescent="0.2">
      <c r="C50" s="221" t="s">
        <v>1913</v>
      </c>
      <c r="D50" s="168"/>
      <c r="E50" s="229">
        <v>248580</v>
      </c>
      <c r="F50" s="89" t="s">
        <v>1546</v>
      </c>
      <c r="G50" s="106">
        <v>6</v>
      </c>
      <c r="H50" s="159" t="s">
        <v>77</v>
      </c>
      <c r="I50" s="8"/>
      <c r="J50" s="8"/>
      <c r="K50" s="17"/>
      <c r="L50" s="260">
        <v>12</v>
      </c>
      <c r="M50" s="220">
        <f t="shared" si="0"/>
        <v>0</v>
      </c>
      <c r="N50" s="183">
        <f>L50/G50</f>
        <v>2</v>
      </c>
      <c r="O50" s="184">
        <f t="shared" si="2"/>
        <v>0.17399999999999999</v>
      </c>
      <c r="P50" s="184">
        <f t="shared" si="3"/>
        <v>2.1739999999999999</v>
      </c>
      <c r="Q50" s="207">
        <v>6</v>
      </c>
      <c r="R50" s="184">
        <f t="shared" si="4"/>
        <v>5.4545454545454541</v>
      </c>
      <c r="S50" s="184">
        <f t="shared" si="5"/>
        <v>3.2805454545454542</v>
      </c>
      <c r="T50" s="171">
        <f t="shared" si="6"/>
        <v>0.60143333333333326</v>
      </c>
    </row>
    <row r="51" spans="3:20" x14ac:dyDescent="0.2">
      <c r="C51" s="221" t="s">
        <v>1914</v>
      </c>
      <c r="D51" s="168"/>
      <c r="E51" s="229">
        <v>247704</v>
      </c>
      <c r="F51" s="89" t="s">
        <v>1546</v>
      </c>
      <c r="G51" s="106">
        <v>4</v>
      </c>
      <c r="H51" s="159" t="s">
        <v>77</v>
      </c>
      <c r="I51" s="8"/>
      <c r="J51" s="8"/>
      <c r="K51" s="17"/>
      <c r="L51" s="260">
        <v>12.85</v>
      </c>
      <c r="M51" s="220">
        <f>K51*L51</f>
        <v>0</v>
      </c>
      <c r="N51" s="183">
        <f>L51/G51</f>
        <v>3.2124999999999999</v>
      </c>
      <c r="O51" s="184">
        <f t="shared" si="2"/>
        <v>0.2794875</v>
      </c>
      <c r="P51" s="184">
        <f t="shared" si="3"/>
        <v>3.4919875</v>
      </c>
      <c r="Q51" s="207">
        <v>5</v>
      </c>
      <c r="R51" s="184">
        <f t="shared" si="4"/>
        <v>4.545454545454545</v>
      </c>
      <c r="S51" s="184">
        <f t="shared" si="5"/>
        <v>1.0534670454545449</v>
      </c>
      <c r="T51" s="171">
        <f t="shared" si="6"/>
        <v>0.23176274999999991</v>
      </c>
    </row>
    <row r="52" spans="3:20" x14ac:dyDescent="0.2">
      <c r="C52" s="221" t="s">
        <v>1915</v>
      </c>
      <c r="D52" s="168"/>
      <c r="E52" s="229">
        <v>59481</v>
      </c>
      <c r="F52" s="89" t="s">
        <v>1916</v>
      </c>
      <c r="G52" s="106">
        <v>6</v>
      </c>
      <c r="H52" s="159" t="s">
        <v>77</v>
      </c>
      <c r="I52" s="8"/>
      <c r="J52" s="8"/>
      <c r="K52" s="17"/>
      <c r="L52" s="260">
        <v>36.270000000000003</v>
      </c>
      <c r="M52" s="220">
        <f t="shared" si="0"/>
        <v>0</v>
      </c>
      <c r="N52" s="183">
        <f t="shared" si="1"/>
        <v>6.0450000000000008</v>
      </c>
      <c r="O52" s="184">
        <f t="shared" si="2"/>
        <v>0.52591500000000002</v>
      </c>
      <c r="P52" s="184">
        <f t="shared" si="3"/>
        <v>6.5709150000000012</v>
      </c>
      <c r="Q52" s="207">
        <v>6</v>
      </c>
      <c r="R52" s="184">
        <f t="shared" si="4"/>
        <v>5.4545454545454541</v>
      </c>
      <c r="S52" s="184">
        <f t="shared" si="5"/>
        <v>-1.116369545454547</v>
      </c>
      <c r="T52" s="171">
        <f t="shared" si="6"/>
        <v>-0.20466775000000031</v>
      </c>
    </row>
    <row r="53" spans="3:20" x14ac:dyDescent="0.2">
      <c r="C53" s="221" t="s">
        <v>1917</v>
      </c>
      <c r="D53" s="168"/>
      <c r="E53" s="229">
        <v>939652</v>
      </c>
      <c r="F53" s="89" t="s">
        <v>1918</v>
      </c>
      <c r="G53" s="106">
        <v>6</v>
      </c>
      <c r="H53" s="159" t="s">
        <v>77</v>
      </c>
      <c r="I53" s="8"/>
      <c r="J53" s="8"/>
      <c r="K53" s="17"/>
      <c r="L53" s="260">
        <v>24.56</v>
      </c>
      <c r="M53" s="220">
        <f t="shared" si="0"/>
        <v>0</v>
      </c>
      <c r="N53" s="183">
        <f t="shared" si="1"/>
        <v>4.0933333333333328</v>
      </c>
      <c r="O53" s="184">
        <f t="shared" si="2"/>
        <v>0.35611999999999994</v>
      </c>
      <c r="P53" s="184">
        <f t="shared" ref="P53:P116" si="10">N53+O53</f>
        <v>4.4494533333333326</v>
      </c>
      <c r="Q53" s="207">
        <v>0.9</v>
      </c>
      <c r="R53" s="184">
        <f t="shared" si="4"/>
        <v>0.81818181818181812</v>
      </c>
      <c r="S53" s="184">
        <f t="shared" ref="S53:S116" si="11">R53-P53</f>
        <v>-3.6312715151515143</v>
      </c>
      <c r="T53" s="171">
        <f t="shared" si="6"/>
        <v>-4.4382207407407401</v>
      </c>
    </row>
    <row r="54" spans="3:20" x14ac:dyDescent="0.2">
      <c r="C54" s="228" t="s">
        <v>1919</v>
      </c>
      <c r="D54" s="168"/>
      <c r="E54" s="229">
        <v>990242</v>
      </c>
      <c r="F54" s="89" t="s">
        <v>1920</v>
      </c>
      <c r="G54" s="106">
        <v>8</v>
      </c>
      <c r="H54" s="159" t="s">
        <v>77</v>
      </c>
      <c r="I54" s="8"/>
      <c r="J54" s="8"/>
      <c r="K54" s="17"/>
      <c r="L54" s="260">
        <v>30.19</v>
      </c>
      <c r="M54" s="220">
        <f t="shared" si="0"/>
        <v>0</v>
      </c>
      <c r="N54" s="183">
        <f t="shared" si="1"/>
        <v>3.7737500000000002</v>
      </c>
      <c r="O54" s="184">
        <f t="shared" si="2"/>
        <v>0.32831624999999998</v>
      </c>
      <c r="P54" s="184">
        <f t="shared" si="10"/>
        <v>4.10206625</v>
      </c>
      <c r="Q54" s="207">
        <v>5</v>
      </c>
      <c r="R54" s="184">
        <f t="shared" si="4"/>
        <v>4.545454545454545</v>
      </c>
      <c r="S54" s="184">
        <f t="shared" si="11"/>
        <v>0.44338829545454495</v>
      </c>
      <c r="T54" s="171">
        <f t="shared" si="6"/>
        <v>9.7545424999999894E-2</v>
      </c>
    </row>
    <row r="55" spans="3:20" x14ac:dyDescent="0.2">
      <c r="C55" s="228" t="s">
        <v>1921</v>
      </c>
      <c r="D55" s="168"/>
      <c r="E55" s="229">
        <v>362258</v>
      </c>
      <c r="F55" s="89" t="s">
        <v>1922</v>
      </c>
      <c r="G55" s="106">
        <v>6</v>
      </c>
      <c r="H55" s="159" t="s">
        <v>77</v>
      </c>
      <c r="I55" s="8"/>
      <c r="J55" s="8"/>
      <c r="K55" s="17"/>
      <c r="L55" s="260">
        <v>28.93</v>
      </c>
      <c r="M55" s="220">
        <f t="shared" si="0"/>
        <v>0</v>
      </c>
      <c r="N55" s="183">
        <f t="shared" si="1"/>
        <v>4.8216666666666663</v>
      </c>
      <c r="O55" s="184">
        <f t="shared" si="2"/>
        <v>0.41948499999999994</v>
      </c>
      <c r="P55" s="184">
        <f t="shared" si="10"/>
        <v>5.2411516666666662</v>
      </c>
      <c r="Q55" s="207">
        <v>5</v>
      </c>
      <c r="R55" s="184">
        <f t="shared" si="4"/>
        <v>4.545454545454545</v>
      </c>
      <c r="S55" s="184">
        <f t="shared" si="11"/>
        <v>-0.69569712121212124</v>
      </c>
      <c r="T55" s="171">
        <f t="shared" si="6"/>
        <v>-0.15305336666666669</v>
      </c>
    </row>
    <row r="56" spans="3:20" x14ac:dyDescent="0.2">
      <c r="C56" s="221" t="s">
        <v>1923</v>
      </c>
      <c r="D56" s="168"/>
      <c r="E56" s="229">
        <v>380604</v>
      </c>
      <c r="F56" s="89" t="s">
        <v>1924</v>
      </c>
      <c r="G56" s="106">
        <v>12</v>
      </c>
      <c r="H56" s="159" t="s">
        <v>77</v>
      </c>
      <c r="I56" s="8"/>
      <c r="J56" s="8"/>
      <c r="K56" s="17"/>
      <c r="L56" s="260">
        <v>88.5</v>
      </c>
      <c r="M56" s="220">
        <f t="shared" si="0"/>
        <v>0</v>
      </c>
      <c r="N56" s="183">
        <f t="shared" si="1"/>
        <v>7.375</v>
      </c>
      <c r="O56" s="184">
        <f t="shared" si="2"/>
        <v>0.641625</v>
      </c>
      <c r="P56" s="184">
        <f t="shared" si="10"/>
        <v>8.0166249999999994</v>
      </c>
      <c r="Q56" s="207">
        <v>5</v>
      </c>
      <c r="R56" s="184">
        <f t="shared" si="4"/>
        <v>4.545454545454545</v>
      </c>
      <c r="S56" s="184">
        <f t="shared" si="11"/>
        <v>-3.4711704545454545</v>
      </c>
      <c r="T56" s="171">
        <f t="shared" si="6"/>
        <v>-0.7636575000000001</v>
      </c>
    </row>
    <row r="57" spans="3:20" x14ac:dyDescent="0.2">
      <c r="C57" s="221" t="s">
        <v>1925</v>
      </c>
      <c r="D57" s="168"/>
      <c r="E57" s="229">
        <v>978509</v>
      </c>
      <c r="F57" s="89" t="s">
        <v>1926</v>
      </c>
      <c r="G57" s="106">
        <v>3</v>
      </c>
      <c r="H57" s="159" t="s">
        <v>77</v>
      </c>
      <c r="I57" s="8"/>
      <c r="J57" s="8"/>
      <c r="K57" s="17"/>
      <c r="L57" s="260">
        <v>38.75</v>
      </c>
      <c r="M57" s="220">
        <f t="shared" si="0"/>
        <v>0</v>
      </c>
      <c r="N57" s="183">
        <f t="shared" si="1"/>
        <v>12.916666666666666</v>
      </c>
      <c r="O57" s="184">
        <f t="shared" si="2"/>
        <v>1.1237499999999998</v>
      </c>
      <c r="P57" s="184">
        <f t="shared" si="10"/>
        <v>14.040416666666665</v>
      </c>
      <c r="Q57" s="207">
        <v>1.8</v>
      </c>
      <c r="R57" s="184">
        <f t="shared" si="4"/>
        <v>1.6363636363636362</v>
      </c>
      <c r="S57" s="184">
        <f t="shared" si="11"/>
        <v>-12.404053030303029</v>
      </c>
      <c r="T57" s="171">
        <f t="shared" si="6"/>
        <v>-7.5802546296296294</v>
      </c>
    </row>
    <row r="58" spans="3:20" x14ac:dyDescent="0.2">
      <c r="C58" s="221" t="s">
        <v>1927</v>
      </c>
      <c r="D58" s="168"/>
      <c r="E58" s="222">
        <v>387902</v>
      </c>
      <c r="F58" s="89" t="s">
        <v>1928</v>
      </c>
      <c r="G58" s="106">
        <v>6</v>
      </c>
      <c r="H58" s="159" t="s">
        <v>77</v>
      </c>
      <c r="I58" s="8"/>
      <c r="J58" s="8"/>
      <c r="K58" s="17"/>
      <c r="L58" s="260">
        <v>33.85</v>
      </c>
      <c r="M58" s="220">
        <f t="shared" si="0"/>
        <v>0</v>
      </c>
      <c r="N58" s="183">
        <f t="shared" si="1"/>
        <v>5.6416666666666666</v>
      </c>
      <c r="O58" s="184">
        <f t="shared" si="2"/>
        <v>0.49082499999999996</v>
      </c>
      <c r="P58" s="184">
        <f t="shared" si="10"/>
        <v>6.1324916666666667</v>
      </c>
      <c r="Q58" s="207">
        <v>5</v>
      </c>
      <c r="R58" s="184">
        <f t="shared" si="4"/>
        <v>4.545454545454545</v>
      </c>
      <c r="S58" s="184">
        <f t="shared" si="11"/>
        <v>-1.5870371212121217</v>
      </c>
      <c r="T58" s="171">
        <f t="shared" si="6"/>
        <v>-0.34914816666666681</v>
      </c>
    </row>
    <row r="59" spans="3:20" x14ac:dyDescent="0.2">
      <c r="C59" s="221" t="s">
        <v>1929</v>
      </c>
      <c r="D59" s="168"/>
      <c r="E59" s="222">
        <v>66297</v>
      </c>
      <c r="F59" s="89" t="s">
        <v>1930</v>
      </c>
      <c r="G59" s="106">
        <v>6</v>
      </c>
      <c r="H59" s="159" t="s">
        <v>77</v>
      </c>
      <c r="I59" s="8"/>
      <c r="J59" s="8"/>
      <c r="K59" s="17"/>
      <c r="L59" s="260">
        <v>75.760000000000005</v>
      </c>
      <c r="M59" s="220">
        <f t="shared" si="0"/>
        <v>0</v>
      </c>
      <c r="N59" s="183">
        <f t="shared" si="1"/>
        <v>12.626666666666667</v>
      </c>
      <c r="O59" s="184">
        <f t="shared" si="2"/>
        <v>1.0985199999999999</v>
      </c>
      <c r="P59" s="184">
        <f t="shared" si="10"/>
        <v>13.725186666666668</v>
      </c>
      <c r="Q59" s="207">
        <v>1.5</v>
      </c>
      <c r="R59" s="184">
        <f t="shared" si="4"/>
        <v>1.3636363636363635</v>
      </c>
      <c r="S59" s="184">
        <f t="shared" si="11"/>
        <v>-12.361550303030304</v>
      </c>
      <c r="T59" s="171">
        <f t="shared" si="6"/>
        <v>-9.0651368888888904</v>
      </c>
    </row>
    <row r="60" spans="3:20" x14ac:dyDescent="0.2">
      <c r="C60" s="221" t="s">
        <v>1931</v>
      </c>
      <c r="D60" s="168"/>
      <c r="E60" s="229">
        <v>332486</v>
      </c>
      <c r="F60" s="89" t="s">
        <v>1932</v>
      </c>
      <c r="G60" s="106">
        <v>6</v>
      </c>
      <c r="H60" s="159" t="s">
        <v>77</v>
      </c>
      <c r="I60" s="8"/>
      <c r="J60" s="8"/>
      <c r="K60" s="17"/>
      <c r="L60" s="260">
        <v>44.42</v>
      </c>
      <c r="M60" s="220">
        <f t="shared" si="0"/>
        <v>0</v>
      </c>
      <c r="N60" s="183">
        <f t="shared" si="1"/>
        <v>7.4033333333333333</v>
      </c>
      <c r="O60" s="184">
        <f t="shared" si="2"/>
        <v>0.64408999999999994</v>
      </c>
      <c r="P60" s="184">
        <f t="shared" si="10"/>
        <v>8.0474233333333327</v>
      </c>
      <c r="Q60" s="207">
        <v>1.5</v>
      </c>
      <c r="R60" s="184">
        <f t="shared" si="4"/>
        <v>1.3636363636363635</v>
      </c>
      <c r="S60" s="184">
        <f t="shared" si="11"/>
        <v>-6.6837869696969694</v>
      </c>
      <c r="T60" s="171">
        <f t="shared" si="6"/>
        <v>-4.9014437777777777</v>
      </c>
    </row>
    <row r="61" spans="3:20" x14ac:dyDescent="0.2">
      <c r="C61" s="221" t="s">
        <v>1933</v>
      </c>
      <c r="D61" s="168"/>
      <c r="E61" s="229">
        <v>480488</v>
      </c>
      <c r="F61" s="89" t="s">
        <v>1892</v>
      </c>
      <c r="G61" s="106">
        <v>6</v>
      </c>
      <c r="H61" s="159" t="s">
        <v>77</v>
      </c>
      <c r="I61" s="8"/>
      <c r="J61" s="8"/>
      <c r="K61" s="17"/>
      <c r="L61" s="260">
        <v>45.26</v>
      </c>
      <c r="M61" s="220">
        <f t="shared" ref="M61:M122" si="12">K61*L61</f>
        <v>0</v>
      </c>
      <c r="N61" s="183">
        <f t="shared" si="1"/>
        <v>7.543333333333333</v>
      </c>
      <c r="O61" s="184">
        <f t="shared" si="2"/>
        <v>0.65626999999999991</v>
      </c>
      <c r="P61" s="184">
        <f t="shared" si="10"/>
        <v>8.1996033333333322</v>
      </c>
      <c r="Q61" s="207">
        <v>3</v>
      </c>
      <c r="R61" s="184">
        <f t="shared" si="4"/>
        <v>2.7272727272727271</v>
      </c>
      <c r="S61" s="184">
        <f t="shared" si="11"/>
        <v>-5.4723306060606056</v>
      </c>
      <c r="T61" s="171">
        <f t="shared" ref="T61:T122" si="13">S61/R61</f>
        <v>-2.0065212222222222</v>
      </c>
    </row>
    <row r="62" spans="3:20" ht="17" thickBot="1" x14ac:dyDescent="0.25">
      <c r="C62" s="228"/>
      <c r="D62" s="168"/>
      <c r="E62" s="229"/>
      <c r="F62" s="89"/>
      <c r="G62" s="106"/>
      <c r="H62" s="159"/>
      <c r="I62" s="8"/>
      <c r="J62" s="8"/>
      <c r="K62" s="17"/>
      <c r="L62" s="260"/>
      <c r="M62" s="220">
        <f t="shared" si="12"/>
        <v>0</v>
      </c>
      <c r="N62" s="183"/>
      <c r="O62" s="184"/>
      <c r="P62" s="184"/>
      <c r="Q62" s="207"/>
      <c r="R62" s="184"/>
      <c r="S62" s="184"/>
      <c r="T62" s="171"/>
    </row>
    <row r="63" spans="3:20" ht="17" thickBot="1" x14ac:dyDescent="0.25">
      <c r="C63" s="231" t="s">
        <v>1934</v>
      </c>
      <c r="D63" s="145"/>
      <c r="E63" s="146"/>
      <c r="F63" s="146"/>
      <c r="G63" s="146"/>
      <c r="H63" s="146"/>
      <c r="I63" s="261"/>
      <c r="J63" s="261"/>
      <c r="K63" s="261"/>
      <c r="L63" s="262"/>
      <c r="M63" s="212"/>
      <c r="N63" s="183"/>
      <c r="O63" s="184"/>
      <c r="P63" s="184"/>
      <c r="Q63" s="207"/>
      <c r="R63" s="184"/>
      <c r="S63" s="184"/>
      <c r="T63" s="171"/>
    </row>
    <row r="64" spans="3:20" x14ac:dyDescent="0.2">
      <c r="C64" s="213" t="s">
        <v>1935</v>
      </c>
      <c r="D64" s="168"/>
      <c r="E64" s="222">
        <v>324454</v>
      </c>
      <c r="F64" s="89" t="s">
        <v>1926</v>
      </c>
      <c r="G64" s="106">
        <v>10</v>
      </c>
      <c r="H64" s="159" t="s">
        <v>77</v>
      </c>
      <c r="I64" s="8"/>
      <c r="J64" s="8"/>
      <c r="K64" s="17"/>
      <c r="L64" s="260">
        <v>39.770000000000003</v>
      </c>
      <c r="M64" s="220">
        <f t="shared" ref="M64:M71" si="14">K64*L64</f>
        <v>0</v>
      </c>
      <c r="N64" s="183">
        <f t="shared" si="1"/>
        <v>3.9770000000000003</v>
      </c>
      <c r="O64" s="184">
        <f t="shared" ref="O64:O71" si="15">N64*$O$12</f>
        <v>0.345999</v>
      </c>
      <c r="P64" s="184">
        <f t="shared" si="10"/>
        <v>4.3229990000000003</v>
      </c>
      <c r="Q64" s="207">
        <v>4.8</v>
      </c>
      <c r="R64" s="184">
        <f t="shared" ref="R64:R123" si="16">Q64/$R$10</f>
        <v>4.3636363636363633</v>
      </c>
      <c r="S64" s="184">
        <f t="shared" si="11"/>
        <v>4.0637363636363055E-2</v>
      </c>
      <c r="T64" s="171">
        <f t="shared" si="13"/>
        <v>9.3127291666665335E-3</v>
      </c>
    </row>
    <row r="65" spans="3:20" x14ac:dyDescent="0.2">
      <c r="C65" s="228" t="s">
        <v>1936</v>
      </c>
      <c r="D65" s="168"/>
      <c r="E65" s="222">
        <v>637938</v>
      </c>
      <c r="F65" s="89" t="s">
        <v>1926</v>
      </c>
      <c r="G65" s="106">
        <v>10</v>
      </c>
      <c r="H65" s="159" t="s">
        <v>77</v>
      </c>
      <c r="I65" s="8"/>
      <c r="J65" s="8"/>
      <c r="K65" s="17"/>
      <c r="L65" s="260">
        <v>39.770000000000003</v>
      </c>
      <c r="M65" s="220">
        <f t="shared" si="14"/>
        <v>0</v>
      </c>
      <c r="N65" s="183">
        <f t="shared" si="1"/>
        <v>3.9770000000000003</v>
      </c>
      <c r="O65" s="184">
        <f t="shared" si="15"/>
        <v>0.345999</v>
      </c>
      <c r="P65" s="184">
        <f t="shared" si="10"/>
        <v>4.3229990000000003</v>
      </c>
      <c r="Q65" s="207">
        <v>3</v>
      </c>
      <c r="R65" s="184">
        <f t="shared" si="16"/>
        <v>2.7272727272727271</v>
      </c>
      <c r="S65" s="184">
        <f t="shared" si="11"/>
        <v>-1.5957262727272732</v>
      </c>
      <c r="T65" s="171">
        <f t="shared" si="13"/>
        <v>-0.58509963333333359</v>
      </c>
    </row>
    <row r="66" spans="3:20" x14ac:dyDescent="0.2">
      <c r="C66" s="228" t="s">
        <v>1937</v>
      </c>
      <c r="D66" s="168"/>
      <c r="E66" s="222">
        <v>81776</v>
      </c>
      <c r="F66" s="89" t="s">
        <v>1938</v>
      </c>
      <c r="G66" s="106">
        <v>12</v>
      </c>
      <c r="H66" s="159" t="s">
        <v>77</v>
      </c>
      <c r="I66" s="8"/>
      <c r="J66" s="8"/>
      <c r="K66" s="17"/>
      <c r="L66" s="260">
        <v>20.74</v>
      </c>
      <c r="M66" s="220">
        <f t="shared" si="14"/>
        <v>0</v>
      </c>
      <c r="N66" s="183">
        <f t="shared" si="1"/>
        <v>1.7283333333333333</v>
      </c>
      <c r="O66" s="184">
        <f t="shared" si="15"/>
        <v>0.15036499999999997</v>
      </c>
      <c r="P66" s="184">
        <f t="shared" si="10"/>
        <v>1.8786983333333334</v>
      </c>
      <c r="Q66" s="207">
        <v>1.9</v>
      </c>
      <c r="R66" s="184">
        <f t="shared" si="16"/>
        <v>1.7272727272727271</v>
      </c>
      <c r="S66" s="184">
        <f t="shared" si="11"/>
        <v>-0.15142560606060629</v>
      </c>
      <c r="T66" s="171">
        <f t="shared" si="13"/>
        <v>-8.7667456140351013E-2</v>
      </c>
    </row>
    <row r="67" spans="3:20" x14ac:dyDescent="0.2">
      <c r="C67" s="228" t="s">
        <v>1939</v>
      </c>
      <c r="D67" s="168"/>
      <c r="E67" s="222">
        <v>81784</v>
      </c>
      <c r="F67" s="89" t="s">
        <v>1940</v>
      </c>
      <c r="G67" s="106">
        <v>12</v>
      </c>
      <c r="H67" s="159" t="s">
        <v>77</v>
      </c>
      <c r="I67" s="8"/>
      <c r="J67" s="8"/>
      <c r="K67" s="17"/>
      <c r="L67" s="260">
        <v>20.74</v>
      </c>
      <c r="M67" s="220">
        <f t="shared" si="14"/>
        <v>0</v>
      </c>
      <c r="N67" s="183">
        <f t="shared" si="1"/>
        <v>1.7283333333333333</v>
      </c>
      <c r="O67" s="184">
        <f t="shared" si="15"/>
        <v>0.15036499999999997</v>
      </c>
      <c r="P67" s="184">
        <f t="shared" si="10"/>
        <v>1.8786983333333334</v>
      </c>
      <c r="Q67" s="207">
        <v>1.8</v>
      </c>
      <c r="R67" s="184">
        <f t="shared" si="16"/>
        <v>1.6363636363636362</v>
      </c>
      <c r="S67" s="184">
        <f t="shared" si="11"/>
        <v>-0.24233469696969712</v>
      </c>
      <c r="T67" s="171">
        <f t="shared" si="13"/>
        <v>-0.14809342592592603</v>
      </c>
    </row>
    <row r="68" spans="3:20" x14ac:dyDescent="0.2">
      <c r="C68" s="228" t="s">
        <v>1941</v>
      </c>
      <c r="D68" s="168"/>
      <c r="E68" s="222">
        <v>81734</v>
      </c>
      <c r="F68" s="89" t="s">
        <v>1942</v>
      </c>
      <c r="G68" s="106">
        <v>12</v>
      </c>
      <c r="H68" s="159" t="s">
        <v>77</v>
      </c>
      <c r="I68" s="8"/>
      <c r="J68" s="8"/>
      <c r="K68" s="17"/>
      <c r="L68" s="260">
        <v>20.74</v>
      </c>
      <c r="M68" s="220">
        <f t="shared" si="14"/>
        <v>0</v>
      </c>
      <c r="N68" s="183">
        <f t="shared" si="1"/>
        <v>1.7283333333333333</v>
      </c>
      <c r="O68" s="184">
        <f t="shared" si="15"/>
        <v>0.15036499999999997</v>
      </c>
      <c r="P68" s="184">
        <f t="shared" si="10"/>
        <v>1.8786983333333334</v>
      </c>
      <c r="Q68" s="207">
        <v>6.2</v>
      </c>
      <c r="R68" s="184">
        <f t="shared" si="16"/>
        <v>5.6363636363636358</v>
      </c>
      <c r="S68" s="184">
        <f t="shared" si="11"/>
        <v>3.7576653030303024</v>
      </c>
      <c r="T68" s="171">
        <f t="shared" si="13"/>
        <v>0.66668255376344088</v>
      </c>
    </row>
    <row r="69" spans="3:20" x14ac:dyDescent="0.2">
      <c r="C69" s="221" t="s">
        <v>1943</v>
      </c>
      <c r="D69" s="168"/>
      <c r="E69" s="222">
        <v>636576</v>
      </c>
      <c r="F69" s="89" t="s">
        <v>1944</v>
      </c>
      <c r="G69" s="106">
        <v>4</v>
      </c>
      <c r="H69" s="159" t="s">
        <v>77</v>
      </c>
      <c r="I69" s="8"/>
      <c r="J69" s="8"/>
      <c r="K69" s="17"/>
      <c r="L69" s="260">
        <v>25.69</v>
      </c>
      <c r="M69" s="220">
        <f t="shared" si="14"/>
        <v>0</v>
      </c>
      <c r="N69" s="183">
        <f t="shared" si="1"/>
        <v>6.4225000000000003</v>
      </c>
      <c r="O69" s="184">
        <f t="shared" si="15"/>
        <v>0.55875750000000002</v>
      </c>
      <c r="P69" s="184">
        <f t="shared" si="10"/>
        <v>6.9812574999999999</v>
      </c>
      <c r="Q69" s="207">
        <v>4.2</v>
      </c>
      <c r="R69" s="184">
        <f t="shared" si="16"/>
        <v>3.8181818181818179</v>
      </c>
      <c r="S69" s="184">
        <f t="shared" si="11"/>
        <v>-3.163075681818182</v>
      </c>
      <c r="T69" s="171">
        <f t="shared" si="13"/>
        <v>-0.82842458333333346</v>
      </c>
    </row>
    <row r="70" spans="3:20" x14ac:dyDescent="0.2">
      <c r="C70" s="221" t="s">
        <v>1945</v>
      </c>
      <c r="D70" s="168"/>
      <c r="E70" s="229">
        <v>349412</v>
      </c>
      <c r="F70" s="89" t="s">
        <v>1944</v>
      </c>
      <c r="G70" s="106">
        <v>4</v>
      </c>
      <c r="H70" s="159" t="s">
        <v>77</v>
      </c>
      <c r="I70" s="8"/>
      <c r="J70" s="8"/>
      <c r="K70" s="17"/>
      <c r="L70" s="260">
        <v>25.69</v>
      </c>
      <c r="M70" s="220">
        <f t="shared" si="14"/>
        <v>0</v>
      </c>
      <c r="N70" s="183">
        <f t="shared" si="1"/>
        <v>6.4225000000000003</v>
      </c>
      <c r="O70" s="184">
        <f t="shared" si="15"/>
        <v>0.55875750000000002</v>
      </c>
      <c r="P70" s="184">
        <f t="shared" si="10"/>
        <v>6.9812574999999999</v>
      </c>
      <c r="Q70" s="207">
        <v>2.2999999999999998</v>
      </c>
      <c r="R70" s="184">
        <f t="shared" si="16"/>
        <v>2.0909090909090904</v>
      </c>
      <c r="S70" s="184">
        <f t="shared" si="11"/>
        <v>-4.89034840909091</v>
      </c>
      <c r="T70" s="171">
        <f t="shared" si="13"/>
        <v>-2.3388622826086967</v>
      </c>
    </row>
    <row r="71" spans="3:20" x14ac:dyDescent="0.2">
      <c r="C71" s="228" t="s">
        <v>1946</v>
      </c>
      <c r="D71" s="168"/>
      <c r="E71" s="229">
        <v>349381</v>
      </c>
      <c r="F71" s="89" t="s">
        <v>1944</v>
      </c>
      <c r="G71" s="106">
        <v>4</v>
      </c>
      <c r="H71" s="159" t="s">
        <v>77</v>
      </c>
      <c r="I71" s="8"/>
      <c r="J71" s="8"/>
      <c r="K71" s="17"/>
      <c r="L71" s="260">
        <v>25.69</v>
      </c>
      <c r="M71" s="220">
        <f t="shared" si="14"/>
        <v>0</v>
      </c>
      <c r="N71" s="183">
        <f t="shared" si="1"/>
        <v>6.4225000000000003</v>
      </c>
      <c r="O71" s="184">
        <f t="shared" si="15"/>
        <v>0.55875750000000002</v>
      </c>
      <c r="P71" s="184">
        <f t="shared" si="10"/>
        <v>6.9812574999999999</v>
      </c>
      <c r="Q71" s="207">
        <v>2</v>
      </c>
      <c r="R71" s="184">
        <f t="shared" si="16"/>
        <v>1.8181818181818181</v>
      </c>
      <c r="S71" s="184">
        <f t="shared" si="11"/>
        <v>-5.1630756818181816</v>
      </c>
      <c r="T71" s="171">
        <f t="shared" si="13"/>
        <v>-2.8396916249999999</v>
      </c>
    </row>
    <row r="72" spans="3:20" x14ac:dyDescent="0.2">
      <c r="C72" s="575" t="s">
        <v>1947</v>
      </c>
      <c r="D72" s="168"/>
      <c r="E72" s="229"/>
      <c r="F72" s="89"/>
      <c r="G72" s="106"/>
      <c r="H72" s="159"/>
      <c r="I72" s="8"/>
      <c r="J72" s="8"/>
      <c r="K72" s="17"/>
      <c r="L72" s="260"/>
      <c r="M72" s="220"/>
      <c r="N72" s="183"/>
      <c r="O72" s="184"/>
      <c r="P72" s="184"/>
      <c r="Q72" s="207"/>
      <c r="R72" s="184"/>
      <c r="S72" s="184"/>
      <c r="T72" s="171"/>
    </row>
    <row r="73" spans="3:20" x14ac:dyDescent="0.2">
      <c r="C73" s="65" t="s">
        <v>1948</v>
      </c>
      <c r="D73" s="168"/>
      <c r="E73" s="619">
        <v>492914</v>
      </c>
      <c r="F73" s="89" t="s">
        <v>1949</v>
      </c>
      <c r="G73" s="106">
        <v>6</v>
      </c>
      <c r="H73" s="159" t="s">
        <v>77</v>
      </c>
      <c r="I73" s="8"/>
      <c r="J73" s="8"/>
      <c r="K73" s="17"/>
      <c r="L73" s="260">
        <v>21.25</v>
      </c>
      <c r="M73" s="220">
        <f t="shared" ref="M73:M80" si="17">K73*L73</f>
        <v>0</v>
      </c>
      <c r="N73" s="183">
        <f t="shared" si="1"/>
        <v>3.5416666666666665</v>
      </c>
      <c r="O73" s="184">
        <f t="shared" ref="O73:O80" si="18">N73*$O$12</f>
        <v>0.30812499999999998</v>
      </c>
      <c r="P73" s="184">
        <f t="shared" si="10"/>
        <v>3.8497916666666665</v>
      </c>
      <c r="Q73" s="207">
        <v>1.5</v>
      </c>
      <c r="R73" s="184">
        <f t="shared" si="16"/>
        <v>1.3636363636363635</v>
      </c>
      <c r="S73" s="184">
        <f t="shared" si="11"/>
        <v>-2.4861553030303032</v>
      </c>
      <c r="T73" s="171">
        <f t="shared" si="13"/>
        <v>-1.8231805555555558</v>
      </c>
    </row>
    <row r="74" spans="3:20" x14ac:dyDescent="0.2">
      <c r="C74" s="65" t="s">
        <v>1950</v>
      </c>
      <c r="D74" s="168"/>
      <c r="E74" s="619">
        <v>526933</v>
      </c>
      <c r="F74" s="89" t="s">
        <v>1916</v>
      </c>
      <c r="G74" s="106">
        <v>5</v>
      </c>
      <c r="H74" s="159" t="s">
        <v>77</v>
      </c>
      <c r="I74" s="8"/>
      <c r="J74" s="8"/>
      <c r="K74" s="17"/>
      <c r="L74" s="260">
        <v>18.55</v>
      </c>
      <c r="M74" s="220">
        <f t="shared" si="17"/>
        <v>0</v>
      </c>
      <c r="N74" s="183">
        <f t="shared" si="1"/>
        <v>3.71</v>
      </c>
      <c r="O74" s="184">
        <f t="shared" si="18"/>
        <v>0.32277</v>
      </c>
      <c r="P74" s="184">
        <f t="shared" si="10"/>
        <v>4.0327700000000002</v>
      </c>
      <c r="Q74" s="207">
        <v>1.5</v>
      </c>
      <c r="R74" s="184">
        <f t="shared" si="16"/>
        <v>1.3636363636363635</v>
      </c>
      <c r="S74" s="184">
        <f t="shared" si="11"/>
        <v>-2.6691336363636369</v>
      </c>
      <c r="T74" s="171">
        <f t="shared" si="13"/>
        <v>-1.9573646666666671</v>
      </c>
    </row>
    <row r="75" spans="3:20" x14ac:dyDescent="0.2">
      <c r="C75" s="65" t="s">
        <v>1951</v>
      </c>
      <c r="D75" s="168"/>
      <c r="E75" s="619">
        <v>954770</v>
      </c>
      <c r="F75" s="89" t="s">
        <v>1949</v>
      </c>
      <c r="G75" s="106">
        <v>5</v>
      </c>
      <c r="H75" s="159" t="s">
        <v>77</v>
      </c>
      <c r="I75" s="8"/>
      <c r="J75" s="8"/>
      <c r="K75" s="17"/>
      <c r="L75" s="260">
        <v>26.09</v>
      </c>
      <c r="M75" s="220">
        <f t="shared" si="17"/>
        <v>0</v>
      </c>
      <c r="N75" s="183">
        <f t="shared" si="1"/>
        <v>5.218</v>
      </c>
      <c r="O75" s="184">
        <f t="shared" si="18"/>
        <v>0.45396599999999998</v>
      </c>
      <c r="P75" s="184">
        <f t="shared" si="10"/>
        <v>5.6719660000000003</v>
      </c>
      <c r="Q75" s="207">
        <v>1.6</v>
      </c>
      <c r="R75" s="184">
        <f t="shared" si="16"/>
        <v>1.4545454545454546</v>
      </c>
      <c r="S75" s="184">
        <f t="shared" si="11"/>
        <v>-4.2174205454545461</v>
      </c>
      <c r="T75" s="171">
        <f t="shared" si="13"/>
        <v>-2.8994766250000006</v>
      </c>
    </row>
    <row r="76" spans="3:20" x14ac:dyDescent="0.2">
      <c r="C76" s="65" t="s">
        <v>1952</v>
      </c>
      <c r="D76" s="168"/>
      <c r="E76" s="619">
        <v>866919</v>
      </c>
      <c r="F76" s="89" t="s">
        <v>466</v>
      </c>
      <c r="G76" s="106">
        <v>12</v>
      </c>
      <c r="H76" s="159" t="s">
        <v>77</v>
      </c>
      <c r="I76" s="8"/>
      <c r="J76" s="8"/>
      <c r="K76" s="17"/>
      <c r="L76" s="260">
        <v>39.68</v>
      </c>
      <c r="M76" s="220">
        <f t="shared" si="17"/>
        <v>0</v>
      </c>
      <c r="N76" s="183">
        <f t="shared" si="1"/>
        <v>3.3066666666666666</v>
      </c>
      <c r="O76" s="184">
        <f t="shared" si="18"/>
        <v>0.28767999999999999</v>
      </c>
      <c r="P76" s="184">
        <f t="shared" si="10"/>
        <v>3.5943466666666666</v>
      </c>
      <c r="Q76" s="207">
        <v>2</v>
      </c>
      <c r="R76" s="184">
        <f t="shared" si="16"/>
        <v>1.8181818181818181</v>
      </c>
      <c r="S76" s="184">
        <f t="shared" si="11"/>
        <v>-1.7761648484848485</v>
      </c>
      <c r="T76" s="171">
        <f t="shared" si="13"/>
        <v>-0.97689066666666668</v>
      </c>
    </row>
    <row r="77" spans="3:20" x14ac:dyDescent="0.2">
      <c r="C77" s="65" t="s">
        <v>1953</v>
      </c>
      <c r="D77" s="168"/>
      <c r="E77" s="619">
        <v>866901</v>
      </c>
      <c r="F77" s="89" t="s">
        <v>466</v>
      </c>
      <c r="G77" s="106">
        <v>12</v>
      </c>
      <c r="H77" s="159" t="s">
        <v>77</v>
      </c>
      <c r="I77" s="8"/>
      <c r="J77" s="8"/>
      <c r="K77" s="17"/>
      <c r="L77" s="260">
        <v>39.68</v>
      </c>
      <c r="M77" s="220">
        <f t="shared" si="17"/>
        <v>0</v>
      </c>
      <c r="N77" s="183">
        <f t="shared" si="1"/>
        <v>3.3066666666666666</v>
      </c>
      <c r="O77" s="184">
        <f t="shared" si="18"/>
        <v>0.28767999999999999</v>
      </c>
      <c r="P77" s="184">
        <f t="shared" si="10"/>
        <v>3.5943466666666666</v>
      </c>
      <c r="Q77" s="207">
        <v>4.2</v>
      </c>
      <c r="R77" s="184">
        <f t="shared" si="16"/>
        <v>3.8181818181818179</v>
      </c>
      <c r="S77" s="184">
        <f t="shared" si="11"/>
        <v>0.22383515151515132</v>
      </c>
      <c r="T77" s="171">
        <f t="shared" si="13"/>
        <v>5.8623492063492016E-2</v>
      </c>
    </row>
    <row r="78" spans="3:20" x14ac:dyDescent="0.2">
      <c r="C78" s="65" t="s">
        <v>1954</v>
      </c>
      <c r="D78" s="168"/>
      <c r="E78" s="619">
        <v>589067</v>
      </c>
      <c r="F78" s="89" t="s">
        <v>1955</v>
      </c>
      <c r="G78" s="106">
        <v>12</v>
      </c>
      <c r="H78" s="159" t="s">
        <v>77</v>
      </c>
      <c r="I78" s="8"/>
      <c r="J78" s="8"/>
      <c r="K78" s="17"/>
      <c r="L78" s="260">
        <v>53.14</v>
      </c>
      <c r="M78" s="220">
        <f t="shared" si="17"/>
        <v>0</v>
      </c>
      <c r="N78" s="183">
        <f t="shared" si="1"/>
        <v>4.4283333333333337</v>
      </c>
      <c r="O78" s="184">
        <f t="shared" si="18"/>
        <v>0.38526500000000002</v>
      </c>
      <c r="P78" s="184">
        <f t="shared" si="10"/>
        <v>4.8135983333333341</v>
      </c>
      <c r="Q78" s="207">
        <v>2.2999999999999998</v>
      </c>
      <c r="R78" s="184">
        <f t="shared" si="16"/>
        <v>2.0909090909090904</v>
      </c>
      <c r="S78" s="184">
        <f t="shared" si="11"/>
        <v>-2.7226892424242437</v>
      </c>
      <c r="T78" s="171">
        <f t="shared" si="13"/>
        <v>-1.302155724637682</v>
      </c>
    </row>
    <row r="79" spans="3:20" x14ac:dyDescent="0.2">
      <c r="C79" s="65" t="s">
        <v>1956</v>
      </c>
      <c r="D79" s="168"/>
      <c r="E79" s="619">
        <v>866888</v>
      </c>
      <c r="F79" s="89" t="s">
        <v>466</v>
      </c>
      <c r="G79" s="106">
        <v>12</v>
      </c>
      <c r="H79" s="159" t="s">
        <v>77</v>
      </c>
      <c r="I79" s="8"/>
      <c r="J79" s="8"/>
      <c r="K79" s="17"/>
      <c r="L79" s="260">
        <v>53.14</v>
      </c>
      <c r="M79" s="220">
        <f t="shared" si="17"/>
        <v>0</v>
      </c>
      <c r="N79" s="183">
        <f t="shared" si="1"/>
        <v>4.4283333333333337</v>
      </c>
      <c r="O79" s="184">
        <f t="shared" si="18"/>
        <v>0.38526500000000002</v>
      </c>
      <c r="P79" s="184">
        <f t="shared" si="10"/>
        <v>4.8135983333333341</v>
      </c>
      <c r="Q79" s="207">
        <v>1.5</v>
      </c>
      <c r="R79" s="184">
        <f t="shared" si="16"/>
        <v>1.3636363636363635</v>
      </c>
      <c r="S79" s="184">
        <f t="shared" si="11"/>
        <v>-3.4499619696969708</v>
      </c>
      <c r="T79" s="171">
        <f t="shared" si="13"/>
        <v>-2.5299721111111122</v>
      </c>
    </row>
    <row r="80" spans="3:20" x14ac:dyDescent="0.2">
      <c r="C80" s="65" t="s">
        <v>1957</v>
      </c>
      <c r="D80" s="168"/>
      <c r="E80" s="619">
        <v>950857</v>
      </c>
      <c r="F80" s="89" t="s">
        <v>466</v>
      </c>
      <c r="G80" s="106">
        <v>12</v>
      </c>
      <c r="H80" s="159" t="s">
        <v>77</v>
      </c>
      <c r="I80" s="8"/>
      <c r="J80" s="8"/>
      <c r="K80" s="17"/>
      <c r="L80" s="260">
        <v>36.39</v>
      </c>
      <c r="M80" s="220">
        <f t="shared" si="17"/>
        <v>0</v>
      </c>
      <c r="N80" s="183">
        <f t="shared" si="1"/>
        <v>3.0325000000000002</v>
      </c>
      <c r="O80" s="184">
        <f t="shared" si="18"/>
        <v>0.26382749999999999</v>
      </c>
      <c r="P80" s="184">
        <f t="shared" si="10"/>
        <v>3.2963275000000003</v>
      </c>
      <c r="Q80" s="207">
        <v>1.8</v>
      </c>
      <c r="R80" s="184">
        <f t="shared" si="16"/>
        <v>1.6363636363636362</v>
      </c>
      <c r="S80" s="184">
        <f t="shared" si="11"/>
        <v>-1.6599638636363641</v>
      </c>
      <c r="T80" s="171">
        <f t="shared" si="13"/>
        <v>-1.0144223611111114</v>
      </c>
    </row>
    <row r="81" spans="3:20" x14ac:dyDescent="0.2">
      <c r="C81" s="221"/>
      <c r="D81" s="168"/>
      <c r="E81" s="222"/>
      <c r="F81" s="89"/>
      <c r="G81" s="106"/>
      <c r="H81" s="159"/>
      <c r="I81" s="8"/>
      <c r="J81" s="8"/>
      <c r="K81" s="17"/>
      <c r="L81" s="260"/>
      <c r="M81" s="220"/>
      <c r="N81" s="183"/>
      <c r="O81" s="184"/>
      <c r="P81" s="184"/>
      <c r="Q81" s="207"/>
      <c r="R81" s="184"/>
      <c r="S81" s="184"/>
      <c r="T81" s="171"/>
    </row>
    <row r="82" spans="3:20" x14ac:dyDescent="0.2">
      <c r="C82" s="576" t="s">
        <v>1958</v>
      </c>
      <c r="D82" s="168"/>
      <c r="E82" s="222"/>
      <c r="F82" s="89"/>
      <c r="G82" s="106"/>
      <c r="H82" s="159"/>
      <c r="I82" s="8"/>
      <c r="J82" s="8"/>
      <c r="K82" s="17"/>
      <c r="L82" s="260"/>
      <c r="M82" s="220"/>
      <c r="N82" s="183"/>
      <c r="O82" s="184"/>
      <c r="P82" s="184"/>
      <c r="Q82" s="207"/>
      <c r="R82" s="184"/>
      <c r="S82" s="184"/>
      <c r="T82" s="171"/>
    </row>
    <row r="83" spans="3:20" x14ac:dyDescent="0.2">
      <c r="C83" s="221" t="s">
        <v>1959</v>
      </c>
      <c r="D83" s="168"/>
      <c r="E83" s="222">
        <v>594389</v>
      </c>
      <c r="F83" s="89" t="s">
        <v>1960</v>
      </c>
      <c r="G83" s="106">
        <v>8</v>
      </c>
      <c r="H83" s="159" t="s">
        <v>77</v>
      </c>
      <c r="I83" s="8"/>
      <c r="J83" s="8"/>
      <c r="K83" s="17"/>
      <c r="L83" s="260">
        <v>56.36</v>
      </c>
      <c r="M83" s="220">
        <f t="shared" ref="M83:M88" si="19">K83*L83</f>
        <v>0</v>
      </c>
      <c r="N83" s="183">
        <f t="shared" ref="N83:N87" si="20">L83/G83</f>
        <v>7.0449999999999999</v>
      </c>
      <c r="O83" s="184">
        <f t="shared" ref="O83:O95" si="21">N83*$O$12</f>
        <v>0.61291499999999999</v>
      </c>
      <c r="P83" s="184">
        <f t="shared" si="10"/>
        <v>7.657915</v>
      </c>
      <c r="Q83" s="207">
        <v>2</v>
      </c>
      <c r="R83" s="184">
        <f t="shared" si="16"/>
        <v>1.8181818181818181</v>
      </c>
      <c r="S83" s="184">
        <f t="shared" si="11"/>
        <v>-5.8397331818181817</v>
      </c>
      <c r="T83" s="171">
        <f t="shared" si="13"/>
        <v>-3.2118532499999999</v>
      </c>
    </row>
    <row r="84" spans="3:20" x14ac:dyDescent="0.2">
      <c r="C84" s="221" t="s">
        <v>1961</v>
      </c>
      <c r="D84" s="168"/>
      <c r="E84" s="222">
        <v>305531</v>
      </c>
      <c r="F84" s="89" t="s">
        <v>1962</v>
      </c>
      <c r="G84" s="106">
        <v>8</v>
      </c>
      <c r="H84" s="159" t="s">
        <v>77</v>
      </c>
      <c r="I84" s="8"/>
      <c r="J84" s="8"/>
      <c r="K84" s="17"/>
      <c r="L84" s="260">
        <v>32.369999999999997</v>
      </c>
      <c r="M84" s="220">
        <f t="shared" si="19"/>
        <v>0</v>
      </c>
      <c r="N84" s="183">
        <f t="shared" si="20"/>
        <v>4.0462499999999997</v>
      </c>
      <c r="O84" s="184">
        <f t="shared" si="21"/>
        <v>0.35202374999999997</v>
      </c>
      <c r="P84" s="184">
        <f t="shared" si="10"/>
        <v>4.3982737499999995</v>
      </c>
      <c r="Q84" s="207">
        <v>2</v>
      </c>
      <c r="R84" s="184">
        <f t="shared" si="16"/>
        <v>1.8181818181818181</v>
      </c>
      <c r="S84" s="184">
        <f t="shared" si="11"/>
        <v>-2.5800919318181812</v>
      </c>
      <c r="T84" s="171">
        <f t="shared" si="13"/>
        <v>-1.4190505624999996</v>
      </c>
    </row>
    <row r="85" spans="3:20" x14ac:dyDescent="0.2">
      <c r="C85" s="221" t="s">
        <v>1963</v>
      </c>
      <c r="D85" s="168"/>
      <c r="E85" s="222">
        <v>101704</v>
      </c>
      <c r="F85" s="89" t="s">
        <v>1964</v>
      </c>
      <c r="G85" s="106">
        <v>12</v>
      </c>
      <c r="H85" s="159" t="s">
        <v>77</v>
      </c>
      <c r="I85" s="8"/>
      <c r="J85" s="8"/>
      <c r="K85" s="17"/>
      <c r="L85" s="260">
        <v>32.369999999999997</v>
      </c>
      <c r="M85" s="220">
        <f t="shared" si="19"/>
        <v>0</v>
      </c>
      <c r="N85" s="183">
        <f t="shared" si="20"/>
        <v>2.6974999999999998</v>
      </c>
      <c r="O85" s="184">
        <f t="shared" si="21"/>
        <v>0.23468249999999996</v>
      </c>
      <c r="P85" s="184">
        <f t="shared" si="10"/>
        <v>2.9321824999999997</v>
      </c>
      <c r="Q85" s="207">
        <v>1</v>
      </c>
      <c r="R85" s="184">
        <f t="shared" si="16"/>
        <v>0.90909090909090906</v>
      </c>
      <c r="S85" s="184">
        <f t="shared" si="11"/>
        <v>-2.0230915909090905</v>
      </c>
      <c r="T85" s="171">
        <f t="shared" si="13"/>
        <v>-2.2254007499999995</v>
      </c>
    </row>
    <row r="86" spans="3:20" x14ac:dyDescent="0.2">
      <c r="C86" s="221" t="s">
        <v>1965</v>
      </c>
      <c r="D86" s="168"/>
      <c r="E86" s="222">
        <v>101712</v>
      </c>
      <c r="F86" s="89" t="s">
        <v>1966</v>
      </c>
      <c r="G86" s="106">
        <v>12</v>
      </c>
      <c r="H86" s="159" t="s">
        <v>77</v>
      </c>
      <c r="I86" s="8"/>
      <c r="J86" s="8"/>
      <c r="K86" s="17"/>
      <c r="L86" s="260">
        <v>56.85</v>
      </c>
      <c r="M86" s="220">
        <f t="shared" si="19"/>
        <v>0</v>
      </c>
      <c r="N86" s="183">
        <f t="shared" si="20"/>
        <v>4.7374999999999998</v>
      </c>
      <c r="O86" s="184">
        <f t="shared" si="21"/>
        <v>0.41216249999999993</v>
      </c>
      <c r="P86" s="184">
        <f t="shared" si="10"/>
        <v>5.1496624999999998</v>
      </c>
      <c r="Q86" s="207">
        <v>0.9</v>
      </c>
      <c r="R86" s="184">
        <f t="shared" si="16"/>
        <v>0.81818181818181812</v>
      </c>
      <c r="S86" s="184">
        <f t="shared" si="11"/>
        <v>-4.3314806818181815</v>
      </c>
      <c r="T86" s="171">
        <f t="shared" si="13"/>
        <v>-5.2940319444444448</v>
      </c>
    </row>
    <row r="87" spans="3:20" x14ac:dyDescent="0.2">
      <c r="C87" s="221" t="s">
        <v>1967</v>
      </c>
      <c r="D87" s="168"/>
      <c r="E87" s="222">
        <v>148400</v>
      </c>
      <c r="F87" s="89" t="s">
        <v>1968</v>
      </c>
      <c r="G87" s="106">
        <v>12</v>
      </c>
      <c r="H87" s="159" t="s">
        <v>77</v>
      </c>
      <c r="I87" s="8"/>
      <c r="J87" s="8"/>
      <c r="K87" s="17"/>
      <c r="L87" s="260">
        <v>56.85</v>
      </c>
      <c r="M87" s="220">
        <f t="shared" si="19"/>
        <v>0</v>
      </c>
      <c r="N87" s="183">
        <f t="shared" si="20"/>
        <v>4.7374999999999998</v>
      </c>
      <c r="O87" s="184">
        <f t="shared" si="21"/>
        <v>0.41216249999999993</v>
      </c>
      <c r="P87" s="184">
        <f t="shared" si="10"/>
        <v>5.1496624999999998</v>
      </c>
      <c r="Q87" s="207">
        <v>0.9</v>
      </c>
      <c r="R87" s="184">
        <f t="shared" si="16"/>
        <v>0.81818181818181812</v>
      </c>
      <c r="S87" s="184">
        <f t="shared" si="11"/>
        <v>-4.3314806818181815</v>
      </c>
      <c r="T87" s="171">
        <f t="shared" si="13"/>
        <v>-5.2940319444444448</v>
      </c>
    </row>
    <row r="88" spans="3:20" ht="15" customHeight="1" x14ac:dyDescent="0.2">
      <c r="C88" s="221" t="s">
        <v>1969</v>
      </c>
      <c r="D88" s="168"/>
      <c r="E88" s="222">
        <v>900268</v>
      </c>
      <c r="F88" s="89" t="s">
        <v>1970</v>
      </c>
      <c r="G88" s="106">
        <v>12</v>
      </c>
      <c r="H88" s="159" t="s">
        <v>77</v>
      </c>
      <c r="I88" s="8"/>
      <c r="J88" s="8"/>
      <c r="K88" s="17"/>
      <c r="L88" s="260">
        <v>57.47</v>
      </c>
      <c r="M88" s="220">
        <f t="shared" si="19"/>
        <v>0</v>
      </c>
      <c r="N88" s="183">
        <f t="shared" ref="N88:N130" si="22">L88/G88</f>
        <v>4.7891666666666666</v>
      </c>
      <c r="O88" s="184">
        <f t="shared" si="21"/>
        <v>0.41665749999999996</v>
      </c>
      <c r="P88" s="184">
        <f t="shared" si="10"/>
        <v>5.2058241666666669</v>
      </c>
      <c r="Q88" s="207">
        <v>4.3</v>
      </c>
      <c r="R88" s="184">
        <f t="shared" si="16"/>
        <v>3.9090909090909087</v>
      </c>
      <c r="S88" s="184">
        <f t="shared" si="11"/>
        <v>-1.2967332575757582</v>
      </c>
      <c r="T88" s="171">
        <f t="shared" si="13"/>
        <v>-0.33172246124031024</v>
      </c>
    </row>
    <row r="89" spans="3:20" x14ac:dyDescent="0.2">
      <c r="C89" s="228" t="s">
        <v>1936</v>
      </c>
      <c r="D89" s="168"/>
      <c r="E89" s="222">
        <v>637938</v>
      </c>
      <c r="F89" s="89" t="s">
        <v>1926</v>
      </c>
      <c r="G89" s="106">
        <v>10</v>
      </c>
      <c r="H89" s="159" t="s">
        <v>77</v>
      </c>
      <c r="I89" s="8"/>
      <c r="J89" s="8"/>
      <c r="K89" s="17"/>
      <c r="L89" s="260">
        <v>39.770000000000003</v>
      </c>
      <c r="M89" s="220">
        <f t="shared" si="12"/>
        <v>0</v>
      </c>
      <c r="N89" s="183">
        <f t="shared" si="22"/>
        <v>3.9770000000000003</v>
      </c>
      <c r="O89" s="184">
        <f t="shared" si="21"/>
        <v>0.345999</v>
      </c>
      <c r="P89" s="184">
        <f t="shared" si="10"/>
        <v>4.3229990000000003</v>
      </c>
      <c r="Q89" s="207">
        <v>6.2</v>
      </c>
      <c r="R89" s="184">
        <f t="shared" si="16"/>
        <v>5.6363636363636358</v>
      </c>
      <c r="S89" s="184">
        <f t="shared" si="11"/>
        <v>1.3133646363636355</v>
      </c>
      <c r="T89" s="171">
        <f t="shared" si="13"/>
        <v>0.23301630645161278</v>
      </c>
    </row>
    <row r="90" spans="3:20" x14ac:dyDescent="0.2">
      <c r="C90" s="228" t="s">
        <v>1937</v>
      </c>
      <c r="D90" s="168"/>
      <c r="E90" s="222">
        <v>81776</v>
      </c>
      <c r="F90" s="89" t="s">
        <v>1938</v>
      </c>
      <c r="G90" s="106">
        <v>12</v>
      </c>
      <c r="H90" s="159" t="s">
        <v>77</v>
      </c>
      <c r="I90" s="8"/>
      <c r="J90" s="8"/>
      <c r="K90" s="17"/>
      <c r="L90" s="260">
        <v>20.74</v>
      </c>
      <c r="M90" s="220">
        <f t="shared" si="12"/>
        <v>0</v>
      </c>
      <c r="N90" s="183">
        <f t="shared" si="22"/>
        <v>1.7283333333333333</v>
      </c>
      <c r="O90" s="184">
        <f t="shared" si="21"/>
        <v>0.15036499999999997</v>
      </c>
      <c r="P90" s="184">
        <f t="shared" si="10"/>
        <v>1.8786983333333334</v>
      </c>
      <c r="Q90" s="207">
        <v>6.2</v>
      </c>
      <c r="R90" s="184">
        <f t="shared" si="16"/>
        <v>5.6363636363636358</v>
      </c>
      <c r="S90" s="184">
        <f t="shared" si="11"/>
        <v>3.7576653030303024</v>
      </c>
      <c r="T90" s="171">
        <f t="shared" si="13"/>
        <v>0.66668255376344088</v>
      </c>
    </row>
    <row r="91" spans="3:20" x14ac:dyDescent="0.2">
      <c r="C91" s="228" t="s">
        <v>1939</v>
      </c>
      <c r="D91" s="168"/>
      <c r="E91" s="222">
        <v>81784</v>
      </c>
      <c r="F91" s="89" t="s">
        <v>1940</v>
      </c>
      <c r="G91" s="106">
        <v>12</v>
      </c>
      <c r="H91" s="159" t="s">
        <v>77</v>
      </c>
      <c r="I91" s="8"/>
      <c r="J91" s="8"/>
      <c r="K91" s="17"/>
      <c r="L91" s="260">
        <v>20.74</v>
      </c>
      <c r="M91" s="220">
        <f t="shared" si="12"/>
        <v>0</v>
      </c>
      <c r="N91" s="183">
        <f t="shared" si="22"/>
        <v>1.7283333333333333</v>
      </c>
      <c r="O91" s="184">
        <f t="shared" si="21"/>
        <v>0.15036499999999997</v>
      </c>
      <c r="P91" s="184">
        <f t="shared" si="10"/>
        <v>1.8786983333333334</v>
      </c>
      <c r="Q91" s="207">
        <v>4</v>
      </c>
      <c r="R91" s="184">
        <f t="shared" si="16"/>
        <v>3.6363636363636362</v>
      </c>
      <c r="S91" s="184">
        <f t="shared" si="11"/>
        <v>1.7576653030303029</v>
      </c>
      <c r="T91" s="171">
        <f t="shared" si="13"/>
        <v>0.48335795833333328</v>
      </c>
    </row>
    <row r="92" spans="3:20" x14ac:dyDescent="0.2">
      <c r="C92" s="228" t="s">
        <v>1941</v>
      </c>
      <c r="D92" s="168"/>
      <c r="E92" s="222">
        <v>81734</v>
      </c>
      <c r="F92" s="89" t="s">
        <v>1942</v>
      </c>
      <c r="G92" s="106">
        <v>12</v>
      </c>
      <c r="H92" s="159" t="s">
        <v>77</v>
      </c>
      <c r="I92" s="8"/>
      <c r="J92" s="8"/>
      <c r="K92" s="17"/>
      <c r="L92" s="260">
        <v>20.74</v>
      </c>
      <c r="M92" s="220">
        <f t="shared" si="12"/>
        <v>0</v>
      </c>
      <c r="N92" s="183">
        <f t="shared" si="22"/>
        <v>1.7283333333333333</v>
      </c>
      <c r="O92" s="184">
        <f t="shared" si="21"/>
        <v>0.15036499999999997</v>
      </c>
      <c r="P92" s="184">
        <f t="shared" si="10"/>
        <v>1.8786983333333334</v>
      </c>
      <c r="Q92" s="207">
        <v>4</v>
      </c>
      <c r="R92" s="184">
        <f t="shared" si="16"/>
        <v>3.6363636363636362</v>
      </c>
      <c r="S92" s="184">
        <f t="shared" si="11"/>
        <v>1.7576653030303029</v>
      </c>
      <c r="T92" s="171">
        <f t="shared" si="13"/>
        <v>0.48335795833333328</v>
      </c>
    </row>
    <row r="93" spans="3:20" x14ac:dyDescent="0.2">
      <c r="C93" s="221" t="s">
        <v>1943</v>
      </c>
      <c r="D93" s="168"/>
      <c r="E93" s="222">
        <v>636576</v>
      </c>
      <c r="F93" s="89" t="s">
        <v>1944</v>
      </c>
      <c r="G93" s="106">
        <v>4</v>
      </c>
      <c r="H93" s="159" t="s">
        <v>77</v>
      </c>
      <c r="I93" s="8"/>
      <c r="J93" s="8"/>
      <c r="K93" s="17"/>
      <c r="L93" s="260">
        <v>25.69</v>
      </c>
      <c r="M93" s="220">
        <f t="shared" si="12"/>
        <v>0</v>
      </c>
      <c r="N93" s="183">
        <f t="shared" si="22"/>
        <v>6.4225000000000003</v>
      </c>
      <c r="O93" s="184">
        <f t="shared" si="21"/>
        <v>0.55875750000000002</v>
      </c>
      <c r="P93" s="184">
        <f t="shared" si="10"/>
        <v>6.9812574999999999</v>
      </c>
      <c r="Q93" s="207">
        <v>2</v>
      </c>
      <c r="R93" s="184">
        <f t="shared" si="16"/>
        <v>1.8181818181818181</v>
      </c>
      <c r="S93" s="184">
        <f t="shared" si="11"/>
        <v>-5.1630756818181816</v>
      </c>
      <c r="T93" s="171">
        <f t="shared" si="13"/>
        <v>-2.8396916249999999</v>
      </c>
    </row>
    <row r="94" spans="3:20" x14ac:dyDescent="0.2">
      <c r="C94" s="221" t="s">
        <v>1945</v>
      </c>
      <c r="D94" s="168"/>
      <c r="E94" s="229">
        <v>349412</v>
      </c>
      <c r="F94" s="89" t="s">
        <v>1944</v>
      </c>
      <c r="G94" s="106">
        <v>4</v>
      </c>
      <c r="H94" s="159" t="s">
        <v>77</v>
      </c>
      <c r="I94" s="8"/>
      <c r="J94" s="8"/>
      <c r="K94" s="17"/>
      <c r="L94" s="260">
        <v>25.69</v>
      </c>
      <c r="M94" s="220">
        <f t="shared" si="12"/>
        <v>0</v>
      </c>
      <c r="N94" s="183">
        <f t="shared" si="22"/>
        <v>6.4225000000000003</v>
      </c>
      <c r="O94" s="184">
        <f t="shared" si="21"/>
        <v>0.55875750000000002</v>
      </c>
      <c r="P94" s="184">
        <f t="shared" si="10"/>
        <v>6.9812574999999999</v>
      </c>
      <c r="Q94" s="207">
        <v>3</v>
      </c>
      <c r="R94" s="184">
        <f t="shared" si="16"/>
        <v>2.7272727272727271</v>
      </c>
      <c r="S94" s="184">
        <f t="shared" si="11"/>
        <v>-4.2539847727272733</v>
      </c>
      <c r="T94" s="171">
        <f t="shared" si="13"/>
        <v>-1.5597944166666671</v>
      </c>
    </row>
    <row r="95" spans="3:20" x14ac:dyDescent="0.2">
      <c r="C95" s="228" t="s">
        <v>1946</v>
      </c>
      <c r="D95" s="168"/>
      <c r="E95" s="229">
        <v>349381</v>
      </c>
      <c r="F95" s="89" t="s">
        <v>1944</v>
      </c>
      <c r="G95" s="106">
        <v>4</v>
      </c>
      <c r="H95" s="159" t="s">
        <v>77</v>
      </c>
      <c r="I95" s="8"/>
      <c r="J95" s="8"/>
      <c r="K95" s="17"/>
      <c r="L95" s="260">
        <v>25.69</v>
      </c>
      <c r="M95" s="220">
        <f t="shared" si="12"/>
        <v>0</v>
      </c>
      <c r="N95" s="183">
        <f t="shared" si="22"/>
        <v>6.4225000000000003</v>
      </c>
      <c r="O95" s="184">
        <f t="shared" si="21"/>
        <v>0.55875750000000002</v>
      </c>
      <c r="P95" s="184">
        <f t="shared" si="10"/>
        <v>6.9812574999999999</v>
      </c>
      <c r="Q95" s="207">
        <v>3</v>
      </c>
      <c r="R95" s="184">
        <f t="shared" si="16"/>
        <v>2.7272727272727271</v>
      </c>
      <c r="S95" s="184">
        <f t="shared" si="11"/>
        <v>-4.2539847727272733</v>
      </c>
      <c r="T95" s="171">
        <f t="shared" si="13"/>
        <v>-1.5597944166666671</v>
      </c>
    </row>
    <row r="96" spans="3:20" x14ac:dyDescent="0.2">
      <c r="C96" s="575"/>
      <c r="D96" s="168"/>
      <c r="E96" s="229"/>
      <c r="F96" s="89"/>
      <c r="G96" s="106"/>
      <c r="H96" s="159"/>
      <c r="I96" s="8"/>
      <c r="J96" s="8"/>
      <c r="K96" s="17"/>
      <c r="L96" s="260"/>
      <c r="M96" s="220"/>
      <c r="N96" s="183"/>
      <c r="O96" s="184"/>
      <c r="P96" s="184"/>
      <c r="Q96" s="207"/>
      <c r="R96" s="184"/>
      <c r="S96" s="184"/>
      <c r="T96" s="171"/>
    </row>
    <row r="97" spans="1:20" x14ac:dyDescent="0.2">
      <c r="C97" s="577" t="s">
        <v>1971</v>
      </c>
      <c r="D97" s="168"/>
      <c r="E97" s="619"/>
      <c r="F97" s="89"/>
      <c r="G97" s="106"/>
      <c r="H97" s="159"/>
      <c r="I97" s="8"/>
      <c r="J97" s="8"/>
      <c r="K97" s="17"/>
      <c r="L97" s="260"/>
      <c r="M97" s="220"/>
      <c r="N97" s="183"/>
      <c r="O97" s="184"/>
      <c r="P97" s="184"/>
      <c r="Q97" s="207"/>
      <c r="R97" s="184"/>
      <c r="S97" s="184"/>
      <c r="T97" s="171"/>
    </row>
    <row r="98" spans="1:20" x14ac:dyDescent="0.2">
      <c r="C98" s="578" t="s">
        <v>1972</v>
      </c>
      <c r="D98" s="168"/>
      <c r="E98" s="619">
        <v>1331</v>
      </c>
      <c r="F98" s="89" t="s">
        <v>1973</v>
      </c>
      <c r="G98" s="106">
        <v>24</v>
      </c>
      <c r="H98" s="159" t="s">
        <v>77</v>
      </c>
      <c r="I98" s="8"/>
      <c r="J98" s="8"/>
      <c r="K98" s="17"/>
      <c r="L98" s="260">
        <v>93.95</v>
      </c>
      <c r="M98" s="220">
        <f t="shared" si="12"/>
        <v>0</v>
      </c>
      <c r="N98" s="183">
        <f t="shared" si="22"/>
        <v>3.9145833333333333</v>
      </c>
      <c r="O98" s="184">
        <f t="shared" ref="O98:O112" si="23">N98*$O$12</f>
        <v>0.34056874999999998</v>
      </c>
      <c r="P98" s="184">
        <f t="shared" si="10"/>
        <v>4.2551520833333329</v>
      </c>
      <c r="Q98" s="207">
        <v>6</v>
      </c>
      <c r="R98" s="184">
        <f t="shared" si="16"/>
        <v>5.4545454545454541</v>
      </c>
      <c r="S98" s="184">
        <f t="shared" si="11"/>
        <v>1.1993933712121212</v>
      </c>
      <c r="T98" s="171">
        <f t="shared" si="13"/>
        <v>0.21988878472222223</v>
      </c>
    </row>
    <row r="99" spans="1:20" x14ac:dyDescent="0.2">
      <c r="C99" s="578" t="s">
        <v>1974</v>
      </c>
      <c r="D99" s="168"/>
      <c r="E99" s="619">
        <v>90186</v>
      </c>
      <c r="F99" s="89" t="s">
        <v>1975</v>
      </c>
      <c r="G99" s="106">
        <v>12</v>
      </c>
      <c r="H99" s="159" t="s">
        <v>77</v>
      </c>
      <c r="I99" s="8"/>
      <c r="J99" s="8"/>
      <c r="K99" s="17"/>
      <c r="L99" s="260">
        <v>50.18</v>
      </c>
      <c r="M99" s="220">
        <f t="shared" si="12"/>
        <v>0</v>
      </c>
      <c r="N99" s="183">
        <f t="shared" si="22"/>
        <v>4.1816666666666666</v>
      </c>
      <c r="O99" s="184">
        <f t="shared" si="23"/>
        <v>0.36380499999999999</v>
      </c>
      <c r="P99" s="184">
        <f t="shared" si="10"/>
        <v>4.5454716666666668</v>
      </c>
      <c r="Q99" s="207">
        <v>6</v>
      </c>
      <c r="R99" s="184">
        <f t="shared" si="16"/>
        <v>5.4545454545454541</v>
      </c>
      <c r="S99" s="184">
        <f t="shared" si="11"/>
        <v>0.90907378787878734</v>
      </c>
      <c r="T99" s="171">
        <f t="shared" si="13"/>
        <v>0.16666352777777768</v>
      </c>
    </row>
    <row r="100" spans="1:20" x14ac:dyDescent="0.2">
      <c r="C100" s="578" t="s">
        <v>1976</v>
      </c>
      <c r="D100" s="168"/>
      <c r="E100" s="619">
        <v>406816</v>
      </c>
      <c r="F100" s="89" t="s">
        <v>1546</v>
      </c>
      <c r="G100" s="106">
        <v>24</v>
      </c>
      <c r="H100" s="159" t="s">
        <v>77</v>
      </c>
      <c r="I100" s="8"/>
      <c r="J100" s="8"/>
      <c r="K100" s="17"/>
      <c r="L100" s="260">
        <v>93.95</v>
      </c>
      <c r="M100" s="220">
        <f t="shared" si="12"/>
        <v>0</v>
      </c>
      <c r="N100" s="183">
        <f t="shared" si="22"/>
        <v>3.9145833333333333</v>
      </c>
      <c r="O100" s="184">
        <f t="shared" si="23"/>
        <v>0.34056874999999998</v>
      </c>
      <c r="P100" s="184">
        <f t="shared" si="10"/>
        <v>4.2551520833333329</v>
      </c>
      <c r="Q100" s="207">
        <v>6</v>
      </c>
      <c r="R100" s="184">
        <f t="shared" si="16"/>
        <v>5.4545454545454541</v>
      </c>
      <c r="S100" s="184">
        <f t="shared" si="11"/>
        <v>1.1993933712121212</v>
      </c>
      <c r="T100" s="171">
        <f t="shared" si="13"/>
        <v>0.21988878472222223</v>
      </c>
    </row>
    <row r="101" spans="1:20" x14ac:dyDescent="0.2">
      <c r="C101" s="578" t="s">
        <v>1977</v>
      </c>
      <c r="D101" s="168"/>
      <c r="E101" s="619">
        <v>611929</v>
      </c>
      <c r="F101" s="89" t="s">
        <v>1978</v>
      </c>
      <c r="G101" s="106">
        <v>24</v>
      </c>
      <c r="H101" s="159" t="s">
        <v>77</v>
      </c>
      <c r="I101" s="8"/>
      <c r="J101" s="8"/>
      <c r="K101" s="17"/>
      <c r="L101" s="260">
        <v>80.69</v>
      </c>
      <c r="M101" s="220">
        <f t="shared" si="12"/>
        <v>0</v>
      </c>
      <c r="N101" s="183">
        <f t="shared" si="22"/>
        <v>3.3620833333333331</v>
      </c>
      <c r="O101" s="184">
        <f t="shared" si="23"/>
        <v>0.29250124999999993</v>
      </c>
      <c r="P101" s="184">
        <f t="shared" si="10"/>
        <v>3.654584583333333</v>
      </c>
      <c r="Q101" s="207">
        <v>4</v>
      </c>
      <c r="R101" s="184">
        <f t="shared" si="16"/>
        <v>3.6363636363636362</v>
      </c>
      <c r="S101" s="184">
        <f t="shared" si="11"/>
        <v>-1.8220946969696783E-2</v>
      </c>
      <c r="T101" s="171">
        <f t="shared" si="13"/>
        <v>-5.0107604166666157E-3</v>
      </c>
    </row>
    <row r="102" spans="1:20" x14ac:dyDescent="0.2">
      <c r="C102" s="578" t="s">
        <v>1979</v>
      </c>
      <c r="D102" s="168"/>
      <c r="E102" s="619">
        <v>305052</v>
      </c>
      <c r="F102" s="89" t="s">
        <v>1978</v>
      </c>
      <c r="G102" s="106">
        <v>24</v>
      </c>
      <c r="H102" s="159" t="s">
        <v>77</v>
      </c>
      <c r="I102" s="8"/>
      <c r="J102" s="8"/>
      <c r="K102" s="17"/>
      <c r="L102" s="260">
        <v>80.69</v>
      </c>
      <c r="M102" s="220">
        <f t="shared" si="12"/>
        <v>0</v>
      </c>
      <c r="N102" s="183">
        <f t="shared" si="22"/>
        <v>3.3620833333333331</v>
      </c>
      <c r="O102" s="184">
        <f t="shared" si="23"/>
        <v>0.29250124999999993</v>
      </c>
      <c r="P102" s="184">
        <f t="shared" si="10"/>
        <v>3.654584583333333</v>
      </c>
      <c r="Q102" s="207">
        <v>4</v>
      </c>
      <c r="R102" s="184">
        <f t="shared" si="16"/>
        <v>3.6363636363636362</v>
      </c>
      <c r="S102" s="184">
        <f t="shared" si="11"/>
        <v>-1.8220946969696783E-2</v>
      </c>
      <c r="T102" s="171">
        <f t="shared" si="13"/>
        <v>-5.0107604166666157E-3</v>
      </c>
    </row>
    <row r="103" spans="1:20" x14ac:dyDescent="0.2">
      <c r="C103" s="578" t="s">
        <v>1980</v>
      </c>
      <c r="D103" s="168"/>
      <c r="E103" s="619">
        <v>305358</v>
      </c>
      <c r="F103" s="89" t="s">
        <v>1978</v>
      </c>
      <c r="G103" s="106">
        <v>24</v>
      </c>
      <c r="H103" s="159" t="s">
        <v>77</v>
      </c>
      <c r="I103" s="8"/>
      <c r="J103" s="8"/>
      <c r="K103" s="17"/>
      <c r="L103" s="260">
        <v>80.69</v>
      </c>
      <c r="M103" s="220">
        <f t="shared" si="12"/>
        <v>0</v>
      </c>
      <c r="N103" s="183">
        <f t="shared" si="22"/>
        <v>3.3620833333333331</v>
      </c>
      <c r="O103" s="184">
        <f t="shared" si="23"/>
        <v>0.29250124999999993</v>
      </c>
      <c r="P103" s="184">
        <f t="shared" si="10"/>
        <v>3.654584583333333</v>
      </c>
      <c r="Q103" s="207">
        <v>2</v>
      </c>
      <c r="R103" s="184">
        <f t="shared" si="16"/>
        <v>1.8181818181818181</v>
      </c>
      <c r="S103" s="184">
        <f t="shared" si="11"/>
        <v>-1.8364027651515149</v>
      </c>
      <c r="T103" s="171">
        <f t="shared" si="13"/>
        <v>-1.0100215208333332</v>
      </c>
    </row>
    <row r="104" spans="1:20" x14ac:dyDescent="0.2">
      <c r="C104" s="578" t="s">
        <v>1981</v>
      </c>
      <c r="D104" s="168"/>
      <c r="E104" s="619">
        <v>660148</v>
      </c>
      <c r="F104" s="89" t="s">
        <v>1978</v>
      </c>
      <c r="G104" s="106">
        <v>24</v>
      </c>
      <c r="H104" s="159" t="s">
        <v>77</v>
      </c>
      <c r="I104" s="8"/>
      <c r="J104" s="8"/>
      <c r="K104" s="17"/>
      <c r="L104" s="260">
        <v>80.69</v>
      </c>
      <c r="M104" s="220">
        <f t="shared" si="12"/>
        <v>0</v>
      </c>
      <c r="N104" s="183">
        <f t="shared" si="22"/>
        <v>3.3620833333333331</v>
      </c>
      <c r="O104" s="184">
        <f t="shared" si="23"/>
        <v>0.29250124999999993</v>
      </c>
      <c r="P104" s="184">
        <f t="shared" si="10"/>
        <v>3.654584583333333</v>
      </c>
      <c r="Q104" s="207">
        <v>2</v>
      </c>
      <c r="R104" s="184">
        <f t="shared" si="16"/>
        <v>1.8181818181818181</v>
      </c>
      <c r="S104" s="184">
        <f t="shared" si="11"/>
        <v>-1.8364027651515149</v>
      </c>
      <c r="T104" s="171">
        <f t="shared" si="13"/>
        <v>-1.0100215208333332</v>
      </c>
    </row>
    <row r="105" spans="1:20" x14ac:dyDescent="0.2">
      <c r="C105" s="578" t="s">
        <v>1982</v>
      </c>
      <c r="D105" s="168"/>
      <c r="E105" s="222">
        <v>233111</v>
      </c>
      <c r="F105" s="89" t="s">
        <v>1983</v>
      </c>
      <c r="G105" s="106">
        <v>48</v>
      </c>
      <c r="H105" s="159" t="s">
        <v>77</v>
      </c>
      <c r="I105" s="8"/>
      <c r="J105" s="8"/>
      <c r="K105" s="17"/>
      <c r="L105" s="260">
        <v>57.12</v>
      </c>
      <c r="M105" s="220">
        <f t="shared" si="12"/>
        <v>0</v>
      </c>
      <c r="N105" s="183">
        <f t="shared" si="22"/>
        <v>1.19</v>
      </c>
      <c r="O105" s="184">
        <f t="shared" si="23"/>
        <v>0.10352999999999998</v>
      </c>
      <c r="P105" s="184">
        <f t="shared" ref="P105:P106" si="24">N105+O105</f>
        <v>1.2935299999999998</v>
      </c>
      <c r="Q105" s="207">
        <v>3</v>
      </c>
      <c r="R105" s="184">
        <f t="shared" ref="R105:R106" si="25">Q105/$R$10</f>
        <v>2.7272727272727271</v>
      </c>
      <c r="S105" s="184">
        <f t="shared" ref="S105:S106" si="26">R105-P105</f>
        <v>1.4337427272727272</v>
      </c>
      <c r="T105" s="171">
        <f t="shared" si="13"/>
        <v>0.52570566666666674</v>
      </c>
    </row>
    <row r="106" spans="1:20" x14ac:dyDescent="0.2">
      <c r="C106" s="578" t="s">
        <v>1984</v>
      </c>
      <c r="D106" s="168"/>
      <c r="E106" s="222">
        <v>583294</v>
      </c>
      <c r="F106" s="89" t="s">
        <v>1985</v>
      </c>
      <c r="G106" s="106">
        <v>48</v>
      </c>
      <c r="H106" s="159" t="s">
        <v>77</v>
      </c>
      <c r="I106" s="8"/>
      <c r="J106" s="8"/>
      <c r="K106" s="17"/>
      <c r="L106" s="260">
        <v>75.27</v>
      </c>
      <c r="M106" s="220">
        <f t="shared" si="12"/>
        <v>0</v>
      </c>
      <c r="N106" s="183">
        <f t="shared" si="22"/>
        <v>1.568125</v>
      </c>
      <c r="O106" s="184">
        <f t="shared" si="23"/>
        <v>0.136426875</v>
      </c>
      <c r="P106" s="184">
        <f t="shared" si="24"/>
        <v>1.7045518749999999</v>
      </c>
      <c r="Q106" s="207">
        <v>4</v>
      </c>
      <c r="R106" s="184">
        <f t="shared" si="25"/>
        <v>3.6363636363636362</v>
      </c>
      <c r="S106" s="184">
        <f t="shared" si="26"/>
        <v>1.9318117613636363</v>
      </c>
      <c r="T106" s="171">
        <f t="shared" si="13"/>
        <v>0.53124823437500002</v>
      </c>
    </row>
    <row r="107" spans="1:20" x14ac:dyDescent="0.2">
      <c r="C107" s="578" t="s">
        <v>1986</v>
      </c>
      <c r="D107" s="168"/>
      <c r="E107" s="222">
        <v>925072</v>
      </c>
      <c r="F107" s="89" t="s">
        <v>1926</v>
      </c>
      <c r="G107" s="106">
        <v>20</v>
      </c>
      <c r="H107" s="159" t="s">
        <v>77</v>
      </c>
      <c r="I107" s="8"/>
      <c r="J107" s="8"/>
      <c r="K107" s="17"/>
      <c r="L107" s="260">
        <v>27.03</v>
      </c>
      <c r="M107" s="220">
        <f t="shared" si="12"/>
        <v>0</v>
      </c>
      <c r="N107" s="183">
        <f t="shared" si="22"/>
        <v>1.3515000000000001</v>
      </c>
      <c r="O107" s="184">
        <f t="shared" si="23"/>
        <v>0.1175805</v>
      </c>
      <c r="P107" s="184">
        <f t="shared" si="10"/>
        <v>1.4690805000000002</v>
      </c>
      <c r="Q107" s="207">
        <v>5.5</v>
      </c>
      <c r="R107" s="184">
        <f t="shared" si="16"/>
        <v>5</v>
      </c>
      <c r="S107" s="184">
        <f t="shared" si="11"/>
        <v>3.5309194999999995</v>
      </c>
      <c r="T107" s="171">
        <f t="shared" si="13"/>
        <v>0.70618389999999986</v>
      </c>
    </row>
    <row r="108" spans="1:20" x14ac:dyDescent="0.2">
      <c r="A108" s="524"/>
      <c r="B108" s="524"/>
      <c r="C108" s="578" t="s">
        <v>1987</v>
      </c>
      <c r="D108" s="168"/>
      <c r="E108" s="222">
        <v>777042</v>
      </c>
      <c r="F108" s="89" t="s">
        <v>1955</v>
      </c>
      <c r="G108" s="106">
        <v>18</v>
      </c>
      <c r="H108" s="159" t="s">
        <v>77</v>
      </c>
      <c r="I108" s="8"/>
      <c r="J108" s="8"/>
      <c r="K108" s="17"/>
      <c r="L108" s="260">
        <v>40.590000000000003</v>
      </c>
      <c r="M108" s="220">
        <f t="shared" si="12"/>
        <v>0</v>
      </c>
      <c r="N108" s="183">
        <f t="shared" si="22"/>
        <v>2.2550000000000003</v>
      </c>
      <c r="O108" s="184">
        <f t="shared" si="23"/>
        <v>0.19618500000000003</v>
      </c>
      <c r="P108" s="184">
        <f t="shared" si="10"/>
        <v>2.4511850000000002</v>
      </c>
      <c r="Q108" s="207">
        <v>5.5</v>
      </c>
      <c r="R108" s="184">
        <f t="shared" si="16"/>
        <v>5</v>
      </c>
      <c r="S108" s="184">
        <f t="shared" si="11"/>
        <v>2.5488149999999998</v>
      </c>
      <c r="T108" s="171">
        <f t="shared" si="13"/>
        <v>0.50976299999999997</v>
      </c>
    </row>
    <row r="109" spans="1:20" x14ac:dyDescent="0.2">
      <c r="C109" s="578" t="s">
        <v>1988</v>
      </c>
      <c r="D109" s="168"/>
      <c r="E109" s="222">
        <v>351118</v>
      </c>
      <c r="F109" s="89" t="s">
        <v>1940</v>
      </c>
      <c r="G109" s="106">
        <v>35</v>
      </c>
      <c r="H109" s="159" t="s">
        <v>77</v>
      </c>
      <c r="I109" s="8"/>
      <c r="J109" s="8"/>
      <c r="K109" s="17"/>
      <c r="L109" s="260">
        <v>40.03</v>
      </c>
      <c r="M109" s="220">
        <f t="shared" si="12"/>
        <v>0</v>
      </c>
      <c r="N109" s="183">
        <f t="shared" si="22"/>
        <v>1.1437142857142857</v>
      </c>
      <c r="O109" s="184">
        <f t="shared" si="23"/>
        <v>9.9503142857142846E-2</v>
      </c>
      <c r="P109" s="184">
        <f t="shared" si="10"/>
        <v>1.2432174285714286</v>
      </c>
      <c r="Q109" s="207">
        <v>6.7</v>
      </c>
      <c r="R109" s="184">
        <f t="shared" si="16"/>
        <v>6.0909090909090908</v>
      </c>
      <c r="S109" s="184">
        <f t="shared" si="11"/>
        <v>4.8476916623376622</v>
      </c>
      <c r="T109" s="171">
        <f t="shared" si="13"/>
        <v>0.79588967590618331</v>
      </c>
    </row>
    <row r="110" spans="1:20" x14ac:dyDescent="0.2">
      <c r="C110" s="578" t="s">
        <v>1989</v>
      </c>
      <c r="D110" s="168"/>
      <c r="E110" s="222">
        <v>386993</v>
      </c>
      <c r="F110" s="89" t="s">
        <v>1990</v>
      </c>
      <c r="G110" s="106">
        <v>48</v>
      </c>
      <c r="H110" s="159" t="s">
        <v>77</v>
      </c>
      <c r="I110" s="8"/>
      <c r="J110" s="8"/>
      <c r="K110" s="17"/>
      <c r="L110" s="260">
        <v>54.89</v>
      </c>
      <c r="M110" s="220">
        <f t="shared" si="12"/>
        <v>0</v>
      </c>
      <c r="N110" s="183">
        <f t="shared" si="22"/>
        <v>1.1435416666666667</v>
      </c>
      <c r="O110" s="184">
        <f t="shared" si="23"/>
        <v>9.9488124999999997E-2</v>
      </c>
      <c r="P110" s="184">
        <f t="shared" si="10"/>
        <v>1.2430297916666666</v>
      </c>
      <c r="Q110" s="207">
        <v>6.7</v>
      </c>
      <c r="R110" s="184">
        <f t="shared" si="16"/>
        <v>6.0909090909090908</v>
      </c>
      <c r="S110" s="184">
        <f t="shared" si="11"/>
        <v>4.8478792992424244</v>
      </c>
      <c r="T110" s="171">
        <f t="shared" si="13"/>
        <v>0.79592048196517418</v>
      </c>
    </row>
    <row r="111" spans="1:20" x14ac:dyDescent="0.2">
      <c r="C111" s="578" t="s">
        <v>1991</v>
      </c>
      <c r="D111" s="168"/>
      <c r="E111" s="222">
        <v>386919</v>
      </c>
      <c r="F111" s="89" t="s">
        <v>1992</v>
      </c>
      <c r="G111" s="106">
        <v>25</v>
      </c>
      <c r="H111" s="159" t="s">
        <v>77</v>
      </c>
      <c r="I111" s="8"/>
      <c r="J111" s="8"/>
      <c r="K111" s="17"/>
      <c r="L111" s="260">
        <v>32.159999999999997</v>
      </c>
      <c r="M111" s="220">
        <f t="shared" si="12"/>
        <v>0</v>
      </c>
      <c r="N111" s="183">
        <f t="shared" si="22"/>
        <v>1.2863999999999998</v>
      </c>
      <c r="O111" s="184">
        <f t="shared" si="23"/>
        <v>0.11191679999999997</v>
      </c>
      <c r="P111" s="184">
        <f t="shared" si="10"/>
        <v>1.3983167999999997</v>
      </c>
      <c r="Q111" s="207">
        <v>6.7</v>
      </c>
      <c r="R111" s="184">
        <f t="shared" si="16"/>
        <v>6.0909090909090908</v>
      </c>
      <c r="S111" s="184">
        <f t="shared" si="11"/>
        <v>4.6925922909090909</v>
      </c>
      <c r="T111" s="171">
        <f t="shared" si="13"/>
        <v>0.77042560000000004</v>
      </c>
    </row>
    <row r="112" spans="1:20" x14ac:dyDescent="0.2">
      <c r="C112" s="578" t="s">
        <v>1993</v>
      </c>
      <c r="D112" s="168"/>
      <c r="E112" s="222">
        <v>386927</v>
      </c>
      <c r="F112" s="89" t="s">
        <v>1994</v>
      </c>
      <c r="G112" s="106">
        <v>42</v>
      </c>
      <c r="H112" s="159" t="s">
        <v>77</v>
      </c>
      <c r="I112" s="8"/>
      <c r="J112" s="8"/>
      <c r="K112" s="17"/>
      <c r="L112" s="260">
        <v>48.03</v>
      </c>
      <c r="M112" s="220">
        <f t="shared" si="12"/>
        <v>0</v>
      </c>
      <c r="N112" s="183">
        <f t="shared" si="22"/>
        <v>1.1435714285714287</v>
      </c>
      <c r="O112" s="184">
        <f t="shared" si="23"/>
        <v>9.9490714285714293E-2</v>
      </c>
      <c r="P112" s="184">
        <f t="shared" si="10"/>
        <v>1.2430621428571429</v>
      </c>
      <c r="Q112" s="207">
        <v>6.7</v>
      </c>
      <c r="R112" s="184">
        <f t="shared" si="16"/>
        <v>6.0909090909090908</v>
      </c>
      <c r="S112" s="184">
        <f t="shared" si="11"/>
        <v>4.8478469480519477</v>
      </c>
      <c r="T112" s="171">
        <f t="shared" si="13"/>
        <v>0.79591517057569294</v>
      </c>
    </row>
    <row r="113" spans="1:20" x14ac:dyDescent="0.2">
      <c r="C113" s="578" t="s">
        <v>1995</v>
      </c>
      <c r="D113" s="168"/>
      <c r="E113" s="222">
        <v>930789</v>
      </c>
      <c r="F113" s="89" t="s">
        <v>1996</v>
      </c>
      <c r="G113" s="106">
        <v>12</v>
      </c>
      <c r="H113" s="159" t="s">
        <v>77</v>
      </c>
      <c r="I113" s="8"/>
      <c r="J113" s="8"/>
      <c r="K113" s="17"/>
      <c r="L113" s="260">
        <v>46.94</v>
      </c>
      <c r="M113" s="220"/>
      <c r="N113" s="183"/>
      <c r="O113" s="184"/>
      <c r="P113" s="184"/>
      <c r="Q113" s="207"/>
      <c r="R113" s="184"/>
      <c r="S113" s="184"/>
      <c r="T113" s="171"/>
    </row>
    <row r="114" spans="1:20" x14ac:dyDescent="0.2">
      <c r="C114" s="578" t="s">
        <v>1997</v>
      </c>
      <c r="D114" s="168"/>
      <c r="E114" s="229">
        <v>930658</v>
      </c>
      <c r="F114" s="89" t="s">
        <v>1996</v>
      </c>
      <c r="G114" s="100">
        <v>12</v>
      </c>
      <c r="H114" s="159" t="s">
        <v>77</v>
      </c>
      <c r="I114" s="8"/>
      <c r="J114" s="8"/>
      <c r="K114" s="17"/>
      <c r="L114" s="260">
        <v>54.76</v>
      </c>
      <c r="M114" s="220">
        <f t="shared" si="12"/>
        <v>0</v>
      </c>
      <c r="N114" s="183">
        <f t="shared" si="22"/>
        <v>4.5633333333333335</v>
      </c>
      <c r="O114" s="184">
        <f t="shared" ref="O114:O145" si="27">N114*$O$12</f>
        <v>0.39700999999999997</v>
      </c>
      <c r="P114" s="184">
        <f t="shared" si="10"/>
        <v>4.9603433333333333</v>
      </c>
      <c r="Q114" s="207">
        <v>6.7</v>
      </c>
      <c r="R114" s="184">
        <f t="shared" si="16"/>
        <v>6.0909090909090908</v>
      </c>
      <c r="S114" s="184">
        <f t="shared" si="11"/>
        <v>1.1305657575757575</v>
      </c>
      <c r="T114" s="171">
        <f t="shared" si="13"/>
        <v>0.1856152736318408</v>
      </c>
    </row>
    <row r="115" spans="1:20" x14ac:dyDescent="0.2">
      <c r="A115" s="524"/>
      <c r="B115" s="524"/>
      <c r="C115" s="578" t="s">
        <v>1998</v>
      </c>
      <c r="D115" s="168"/>
      <c r="E115" s="222">
        <v>930797</v>
      </c>
      <c r="F115" s="89" t="s">
        <v>1996</v>
      </c>
      <c r="G115" s="106">
        <v>12</v>
      </c>
      <c r="H115" s="159" t="s">
        <v>77</v>
      </c>
      <c r="I115" s="8"/>
      <c r="J115" s="8"/>
      <c r="K115" s="17"/>
      <c r="L115" s="260">
        <v>34.72</v>
      </c>
      <c r="M115" s="220">
        <f t="shared" si="12"/>
        <v>0</v>
      </c>
      <c r="N115" s="183">
        <f t="shared" si="22"/>
        <v>2.8933333333333331</v>
      </c>
      <c r="O115" s="184">
        <f t="shared" si="27"/>
        <v>0.25171999999999994</v>
      </c>
      <c r="P115" s="184">
        <f t="shared" si="10"/>
        <v>3.1450533333333333</v>
      </c>
      <c r="Q115" s="207">
        <v>4.3</v>
      </c>
      <c r="R115" s="184">
        <f t="shared" si="16"/>
        <v>3.9090909090909087</v>
      </c>
      <c r="S115" s="184">
        <f t="shared" si="11"/>
        <v>0.76403757575757547</v>
      </c>
      <c r="T115" s="171">
        <f t="shared" si="13"/>
        <v>0.19545147286821699</v>
      </c>
    </row>
    <row r="116" spans="1:20" x14ac:dyDescent="0.2">
      <c r="C116" s="578" t="s">
        <v>1999</v>
      </c>
      <c r="D116" s="168"/>
      <c r="E116" s="229">
        <v>931395</v>
      </c>
      <c r="F116" s="89" t="s">
        <v>1996</v>
      </c>
      <c r="G116" s="106">
        <v>12</v>
      </c>
      <c r="H116" s="159" t="s">
        <v>77</v>
      </c>
      <c r="I116" s="8"/>
      <c r="J116" s="8"/>
      <c r="K116" s="17"/>
      <c r="L116" s="260">
        <v>43.02</v>
      </c>
      <c r="M116" s="220">
        <f t="shared" si="12"/>
        <v>0</v>
      </c>
      <c r="N116" s="183">
        <f t="shared" si="22"/>
        <v>3.5850000000000004</v>
      </c>
      <c r="O116" s="184">
        <f t="shared" si="27"/>
        <v>0.31189500000000003</v>
      </c>
      <c r="P116" s="184">
        <f t="shared" si="10"/>
        <v>3.8968950000000007</v>
      </c>
      <c r="Q116" s="207">
        <v>4.3</v>
      </c>
      <c r="R116" s="184">
        <f t="shared" si="16"/>
        <v>3.9090909090909087</v>
      </c>
      <c r="S116" s="184">
        <f t="shared" si="11"/>
        <v>1.2195909090908064E-2</v>
      </c>
      <c r="T116" s="171">
        <f t="shared" si="13"/>
        <v>3.1198837209299702E-3</v>
      </c>
    </row>
    <row r="117" spans="1:20" x14ac:dyDescent="0.2">
      <c r="C117" s="578" t="s">
        <v>2000</v>
      </c>
      <c r="D117" s="168"/>
      <c r="E117" s="222">
        <v>349454</v>
      </c>
      <c r="F117" s="89" t="s">
        <v>1996</v>
      </c>
      <c r="G117" s="106">
        <v>12</v>
      </c>
      <c r="H117" s="159" t="s">
        <v>77</v>
      </c>
      <c r="I117" s="8"/>
      <c r="J117" s="8"/>
      <c r="K117" s="17"/>
      <c r="L117" s="260">
        <v>46.94</v>
      </c>
      <c r="M117" s="220">
        <f t="shared" si="12"/>
        <v>0</v>
      </c>
      <c r="N117" s="183">
        <f t="shared" si="22"/>
        <v>3.9116666666666666</v>
      </c>
      <c r="O117" s="184">
        <f t="shared" si="27"/>
        <v>0.34031499999999998</v>
      </c>
      <c r="P117" s="184">
        <f t="shared" ref="P117:P206" si="28">N117+O117</f>
        <v>4.2519816666666665</v>
      </c>
      <c r="Q117" s="207">
        <v>3.5</v>
      </c>
      <c r="R117" s="184">
        <f t="shared" si="16"/>
        <v>3.1818181818181817</v>
      </c>
      <c r="S117" s="184">
        <f t="shared" ref="S117:S206" si="29">R117-P117</f>
        <v>-1.0701634848484849</v>
      </c>
      <c r="T117" s="171">
        <f t="shared" si="13"/>
        <v>-0.3363370952380953</v>
      </c>
    </row>
    <row r="118" spans="1:20" x14ac:dyDescent="0.2">
      <c r="A118" s="524"/>
      <c r="B118" s="524"/>
      <c r="C118" s="578" t="s">
        <v>2001</v>
      </c>
      <c r="D118" s="168"/>
      <c r="E118" s="222">
        <v>930852</v>
      </c>
      <c r="F118" s="89" t="s">
        <v>1996</v>
      </c>
      <c r="G118" s="106">
        <v>12</v>
      </c>
      <c r="H118" s="159" t="s">
        <v>77</v>
      </c>
      <c r="I118" s="8"/>
      <c r="J118" s="8"/>
      <c r="K118" s="17"/>
      <c r="L118" s="260">
        <v>50.86</v>
      </c>
      <c r="M118" s="220">
        <f t="shared" si="12"/>
        <v>0</v>
      </c>
      <c r="N118" s="183">
        <f t="shared" si="22"/>
        <v>4.2383333333333333</v>
      </c>
      <c r="O118" s="184">
        <f t="shared" si="27"/>
        <v>0.36873499999999998</v>
      </c>
      <c r="P118" s="184">
        <f t="shared" si="28"/>
        <v>4.6070683333333333</v>
      </c>
      <c r="Q118" s="207">
        <v>3.5</v>
      </c>
      <c r="R118" s="184">
        <f t="shared" si="16"/>
        <v>3.1818181818181817</v>
      </c>
      <c r="S118" s="184">
        <f t="shared" si="29"/>
        <v>-1.4252501515151517</v>
      </c>
      <c r="T118" s="171">
        <f t="shared" si="13"/>
        <v>-0.44793576190476198</v>
      </c>
    </row>
    <row r="119" spans="1:20" x14ac:dyDescent="0.2">
      <c r="C119" s="578" t="s">
        <v>2002</v>
      </c>
      <c r="D119" s="168"/>
      <c r="E119" s="222">
        <v>928193</v>
      </c>
      <c r="F119" s="89" t="s">
        <v>2003</v>
      </c>
      <c r="G119" s="106">
        <v>9</v>
      </c>
      <c r="H119" s="159" t="s">
        <v>77</v>
      </c>
      <c r="I119" s="8"/>
      <c r="J119" s="8"/>
      <c r="K119" s="17"/>
      <c r="L119" s="260">
        <v>105.43</v>
      </c>
      <c r="M119" s="220">
        <f t="shared" si="12"/>
        <v>0</v>
      </c>
      <c r="N119" s="183">
        <f t="shared" si="22"/>
        <v>11.714444444444446</v>
      </c>
      <c r="O119" s="184">
        <f t="shared" si="27"/>
        <v>1.0191566666666667</v>
      </c>
      <c r="P119" s="184">
        <f t="shared" si="28"/>
        <v>12.733601111111113</v>
      </c>
      <c r="Q119" s="207">
        <v>3.5</v>
      </c>
      <c r="R119" s="184">
        <f t="shared" si="16"/>
        <v>3.1818181818181817</v>
      </c>
      <c r="S119" s="184">
        <f t="shared" si="29"/>
        <v>-9.5517829292929317</v>
      </c>
      <c r="T119" s="171">
        <f t="shared" si="13"/>
        <v>-3.0019889206349215</v>
      </c>
    </row>
    <row r="120" spans="1:20" x14ac:dyDescent="0.2">
      <c r="C120" s="578" t="s">
        <v>2004</v>
      </c>
      <c r="D120" s="168"/>
      <c r="E120" s="222">
        <v>477590</v>
      </c>
      <c r="F120" s="89" t="s">
        <v>2005</v>
      </c>
      <c r="G120" s="106">
        <v>32</v>
      </c>
      <c r="H120" s="159" t="s">
        <v>77</v>
      </c>
      <c r="I120" s="8"/>
      <c r="J120" s="8"/>
      <c r="K120" s="17"/>
      <c r="L120" s="260">
        <v>36.6</v>
      </c>
      <c r="M120" s="220">
        <f t="shared" si="12"/>
        <v>0</v>
      </c>
      <c r="N120" s="183">
        <f t="shared" si="22"/>
        <v>1.14375</v>
      </c>
      <c r="O120" s="184">
        <f t="shared" si="27"/>
        <v>9.9506249999999991E-2</v>
      </c>
      <c r="P120" s="184">
        <f t="shared" si="28"/>
        <v>1.24325625</v>
      </c>
      <c r="Q120" s="207">
        <v>3.5</v>
      </c>
      <c r="R120" s="184">
        <f t="shared" si="16"/>
        <v>3.1818181818181817</v>
      </c>
      <c r="S120" s="184">
        <f t="shared" si="29"/>
        <v>1.9385619318181817</v>
      </c>
      <c r="T120" s="171">
        <f t="shared" si="13"/>
        <v>0.6092623214285714</v>
      </c>
    </row>
    <row r="121" spans="1:20" x14ac:dyDescent="0.2">
      <c r="C121" s="578" t="s">
        <v>2006</v>
      </c>
      <c r="D121" s="168"/>
      <c r="E121" s="222">
        <v>461426</v>
      </c>
      <c r="F121" s="89" t="s">
        <v>2007</v>
      </c>
      <c r="G121" s="106">
        <v>16</v>
      </c>
      <c r="H121" s="159" t="s">
        <v>77</v>
      </c>
      <c r="I121" s="8"/>
      <c r="J121" s="8"/>
      <c r="K121" s="17"/>
      <c r="L121" s="260">
        <v>73.66</v>
      </c>
      <c r="M121" s="220">
        <f t="shared" si="12"/>
        <v>0</v>
      </c>
      <c r="N121" s="183">
        <f t="shared" si="22"/>
        <v>4.6037499999999998</v>
      </c>
      <c r="O121" s="184">
        <f t="shared" si="27"/>
        <v>0.40052624999999997</v>
      </c>
      <c r="P121" s="184">
        <f t="shared" si="28"/>
        <v>5.0042762500000002</v>
      </c>
      <c r="Q121" s="207">
        <v>5</v>
      </c>
      <c r="R121" s="184">
        <f t="shared" si="16"/>
        <v>4.545454545454545</v>
      </c>
      <c r="S121" s="184">
        <f t="shared" si="29"/>
        <v>-0.45882170454545523</v>
      </c>
      <c r="T121" s="171">
        <f t="shared" si="13"/>
        <v>-0.10094077500000016</v>
      </c>
    </row>
    <row r="122" spans="1:20" x14ac:dyDescent="0.2">
      <c r="C122" s="578" t="s">
        <v>2008</v>
      </c>
      <c r="D122" s="168"/>
      <c r="E122" s="222">
        <v>547824</v>
      </c>
      <c r="F122" s="89" t="s">
        <v>2009</v>
      </c>
      <c r="G122" s="106">
        <v>16</v>
      </c>
      <c r="H122" s="159" t="s">
        <v>77</v>
      </c>
      <c r="I122" s="8"/>
      <c r="J122" s="8"/>
      <c r="K122" s="17"/>
      <c r="L122" s="260">
        <v>66.88</v>
      </c>
      <c r="M122" s="220">
        <f t="shared" si="12"/>
        <v>0</v>
      </c>
      <c r="N122" s="183">
        <f t="shared" si="22"/>
        <v>4.18</v>
      </c>
      <c r="O122" s="184">
        <f t="shared" si="27"/>
        <v>0.36365999999999993</v>
      </c>
      <c r="P122" s="184">
        <f t="shared" si="28"/>
        <v>4.54366</v>
      </c>
      <c r="Q122" s="207">
        <v>5</v>
      </c>
      <c r="R122" s="184">
        <f t="shared" si="16"/>
        <v>4.545454545454545</v>
      </c>
      <c r="S122" s="184">
        <f t="shared" si="29"/>
        <v>1.794545454544938E-3</v>
      </c>
      <c r="T122" s="171">
        <f t="shared" si="13"/>
        <v>3.9479999999988638E-4</v>
      </c>
    </row>
    <row r="123" spans="1:20" x14ac:dyDescent="0.2">
      <c r="C123" s="578" t="s">
        <v>2010</v>
      </c>
      <c r="D123" s="168"/>
      <c r="E123" s="222">
        <v>461853</v>
      </c>
      <c r="F123" s="89" t="s">
        <v>2007</v>
      </c>
      <c r="G123" s="106">
        <v>16</v>
      </c>
      <c r="H123" s="159" t="s">
        <v>77</v>
      </c>
      <c r="I123" s="8"/>
      <c r="J123" s="8"/>
      <c r="K123" s="17"/>
      <c r="L123" s="260">
        <v>69.05</v>
      </c>
      <c r="M123" s="220">
        <f t="shared" ref="M123:M209" si="30">K123*L123</f>
        <v>0</v>
      </c>
      <c r="N123" s="183">
        <f t="shared" si="22"/>
        <v>4.3156249999999998</v>
      </c>
      <c r="O123" s="184">
        <f t="shared" si="27"/>
        <v>0.37545937499999998</v>
      </c>
      <c r="P123" s="184">
        <f t="shared" si="28"/>
        <v>4.691084375</v>
      </c>
      <c r="Q123" s="207">
        <v>5</v>
      </c>
      <c r="R123" s="184">
        <f t="shared" si="16"/>
        <v>4.545454545454545</v>
      </c>
      <c r="S123" s="184">
        <f t="shared" si="29"/>
        <v>-0.145629829545455</v>
      </c>
      <c r="T123" s="171">
        <f t="shared" ref="T123:T130" si="31">S123/R123</f>
        <v>-3.2038562500000103E-2</v>
      </c>
    </row>
    <row r="124" spans="1:20" x14ac:dyDescent="0.2">
      <c r="C124" s="578" t="s">
        <v>2011</v>
      </c>
      <c r="D124" s="168"/>
      <c r="E124" s="222">
        <v>463693</v>
      </c>
      <c r="F124" s="89" t="s">
        <v>2007</v>
      </c>
      <c r="G124" s="106">
        <v>16</v>
      </c>
      <c r="H124" s="159" t="s">
        <v>77</v>
      </c>
      <c r="I124" s="8"/>
      <c r="J124" s="8"/>
      <c r="K124" s="17"/>
      <c r="L124" s="260">
        <v>64.459999999999994</v>
      </c>
      <c r="M124" s="220">
        <f t="shared" si="30"/>
        <v>0</v>
      </c>
      <c r="N124" s="183">
        <f t="shared" si="22"/>
        <v>4.0287499999999996</v>
      </c>
      <c r="O124" s="184">
        <f t="shared" si="27"/>
        <v>0.35050124999999993</v>
      </c>
      <c r="P124" s="184">
        <f t="shared" si="28"/>
        <v>4.3792512499999994</v>
      </c>
      <c r="Q124" s="207">
        <v>5</v>
      </c>
      <c r="R124" s="184">
        <f t="shared" ref="R124:R130" si="32">Q124/$R$10</f>
        <v>4.545454545454545</v>
      </c>
      <c r="S124" s="184">
        <f t="shared" si="29"/>
        <v>0.1662032954545456</v>
      </c>
      <c r="T124" s="171">
        <f t="shared" si="31"/>
        <v>3.6564725000000034E-2</v>
      </c>
    </row>
    <row r="125" spans="1:20" x14ac:dyDescent="0.2">
      <c r="C125" s="578" t="s">
        <v>2012</v>
      </c>
      <c r="D125" s="168"/>
      <c r="E125" s="222">
        <v>777050</v>
      </c>
      <c r="F125" s="89" t="s">
        <v>1955</v>
      </c>
      <c r="G125" s="106">
        <v>15</v>
      </c>
      <c r="H125" s="159" t="s">
        <v>77</v>
      </c>
      <c r="I125" s="8"/>
      <c r="J125" s="8"/>
      <c r="K125" s="17"/>
      <c r="L125" s="260">
        <v>36.06</v>
      </c>
      <c r="M125" s="220">
        <f t="shared" si="30"/>
        <v>0</v>
      </c>
      <c r="N125" s="183">
        <f t="shared" si="22"/>
        <v>2.4040000000000004</v>
      </c>
      <c r="O125" s="184">
        <f t="shared" si="27"/>
        <v>0.20914800000000003</v>
      </c>
      <c r="P125" s="184">
        <f t="shared" si="28"/>
        <v>2.6131480000000002</v>
      </c>
      <c r="Q125" s="207">
        <v>5</v>
      </c>
      <c r="R125" s="184">
        <f t="shared" si="32"/>
        <v>4.545454545454545</v>
      </c>
      <c r="S125" s="184">
        <f t="shared" si="29"/>
        <v>1.9323065454545447</v>
      </c>
      <c r="T125" s="171">
        <f t="shared" si="31"/>
        <v>0.42510743999999989</v>
      </c>
    </row>
    <row r="126" spans="1:20" x14ac:dyDescent="0.2">
      <c r="C126" s="578" t="s">
        <v>2013</v>
      </c>
      <c r="D126" s="168"/>
      <c r="E126" s="222">
        <v>390688</v>
      </c>
      <c r="F126" s="89" t="s">
        <v>1955</v>
      </c>
      <c r="G126" s="106">
        <v>12</v>
      </c>
      <c r="H126" s="159" t="s">
        <v>77</v>
      </c>
      <c r="I126" s="8"/>
      <c r="J126" s="8"/>
      <c r="K126" s="17"/>
      <c r="L126" s="260">
        <v>25.12</v>
      </c>
      <c r="M126" s="220">
        <f t="shared" si="30"/>
        <v>0</v>
      </c>
      <c r="N126" s="183">
        <f t="shared" si="22"/>
        <v>2.0933333333333333</v>
      </c>
      <c r="O126" s="184">
        <f t="shared" si="27"/>
        <v>0.18211999999999998</v>
      </c>
      <c r="P126" s="184">
        <f t="shared" si="28"/>
        <v>2.2754533333333331</v>
      </c>
      <c r="Q126" s="207">
        <v>2</v>
      </c>
      <c r="R126" s="184">
        <f t="shared" si="32"/>
        <v>1.8181818181818181</v>
      </c>
      <c r="S126" s="184">
        <f t="shared" si="29"/>
        <v>-0.45727151515151498</v>
      </c>
      <c r="T126" s="171">
        <f t="shared" si="31"/>
        <v>-0.25149933333333324</v>
      </c>
    </row>
    <row r="127" spans="1:20" x14ac:dyDescent="0.2">
      <c r="C127" s="578" t="s">
        <v>2014</v>
      </c>
      <c r="D127" s="168"/>
      <c r="E127" s="222">
        <v>814629</v>
      </c>
      <c r="F127" s="89" t="s">
        <v>2015</v>
      </c>
      <c r="G127" s="106">
        <v>12</v>
      </c>
      <c r="H127" s="159" t="s">
        <v>77</v>
      </c>
      <c r="I127" s="8"/>
      <c r="J127" s="8"/>
      <c r="K127" s="17"/>
      <c r="L127" s="260">
        <v>51.13</v>
      </c>
      <c r="M127" s="220">
        <f t="shared" si="30"/>
        <v>0</v>
      </c>
      <c r="N127" s="183">
        <f t="shared" si="22"/>
        <v>4.2608333333333333</v>
      </c>
      <c r="O127" s="184">
        <f t="shared" si="27"/>
        <v>0.37069249999999998</v>
      </c>
      <c r="P127" s="184">
        <f t="shared" si="28"/>
        <v>4.6315258333333329</v>
      </c>
      <c r="Q127" s="207">
        <v>2</v>
      </c>
      <c r="R127" s="184">
        <f t="shared" si="32"/>
        <v>1.8181818181818181</v>
      </c>
      <c r="S127" s="184">
        <f t="shared" si="29"/>
        <v>-2.8133440151515146</v>
      </c>
      <c r="T127" s="171">
        <f t="shared" si="31"/>
        <v>-1.547339208333333</v>
      </c>
    </row>
    <row r="128" spans="1:20" x14ac:dyDescent="0.2">
      <c r="C128" s="578" t="s">
        <v>2016</v>
      </c>
      <c r="D128" s="168"/>
      <c r="E128" s="222">
        <v>809658</v>
      </c>
      <c r="F128" s="89" t="s">
        <v>2015</v>
      </c>
      <c r="G128" s="106">
        <v>12</v>
      </c>
      <c r="H128" s="159" t="s">
        <v>77</v>
      </c>
      <c r="I128" s="8"/>
      <c r="J128" s="8"/>
      <c r="K128" s="17"/>
      <c r="L128" s="260">
        <v>51.13</v>
      </c>
      <c r="M128" s="220">
        <f t="shared" si="30"/>
        <v>0</v>
      </c>
      <c r="N128" s="183">
        <f t="shared" si="22"/>
        <v>4.2608333333333333</v>
      </c>
      <c r="O128" s="184">
        <f t="shared" si="27"/>
        <v>0.37069249999999998</v>
      </c>
      <c r="P128" s="184">
        <f t="shared" si="28"/>
        <v>4.6315258333333329</v>
      </c>
      <c r="Q128" s="207">
        <v>1.8</v>
      </c>
      <c r="R128" s="184">
        <f t="shared" si="32"/>
        <v>1.6363636363636362</v>
      </c>
      <c r="S128" s="184">
        <f t="shared" si="29"/>
        <v>-2.9951621969696967</v>
      </c>
      <c r="T128" s="171">
        <f t="shared" si="31"/>
        <v>-1.8303768981481481</v>
      </c>
    </row>
    <row r="129" spans="3:20" x14ac:dyDescent="0.2">
      <c r="C129" s="578" t="s">
        <v>2017</v>
      </c>
      <c r="D129" s="168"/>
      <c r="E129" s="222">
        <v>827559</v>
      </c>
      <c r="F129" s="89" t="s">
        <v>1882</v>
      </c>
      <c r="G129" s="106">
        <v>12</v>
      </c>
      <c r="H129" s="159" t="s">
        <v>77</v>
      </c>
      <c r="I129" s="8"/>
      <c r="J129" s="8"/>
      <c r="K129" s="17"/>
      <c r="L129" s="260">
        <v>51.13</v>
      </c>
      <c r="M129" s="220">
        <f t="shared" si="30"/>
        <v>0</v>
      </c>
      <c r="N129" s="183">
        <f t="shared" si="22"/>
        <v>4.2608333333333333</v>
      </c>
      <c r="O129" s="184">
        <f t="shared" si="27"/>
        <v>0.37069249999999998</v>
      </c>
      <c r="P129" s="184">
        <f t="shared" si="28"/>
        <v>4.6315258333333329</v>
      </c>
      <c r="Q129" s="207">
        <v>3</v>
      </c>
      <c r="R129" s="184">
        <f t="shared" si="32"/>
        <v>2.7272727272727271</v>
      </c>
      <c r="S129" s="184">
        <f t="shared" si="29"/>
        <v>-1.9042531060606058</v>
      </c>
      <c r="T129" s="171">
        <f t="shared" si="31"/>
        <v>-0.69822613888888885</v>
      </c>
    </row>
    <row r="130" spans="3:20" x14ac:dyDescent="0.2">
      <c r="C130" s="578" t="s">
        <v>2018</v>
      </c>
      <c r="D130" s="167"/>
      <c r="E130" s="232">
        <v>459343</v>
      </c>
      <c r="F130" s="233" t="s">
        <v>2019</v>
      </c>
      <c r="G130" s="165">
        <v>12</v>
      </c>
      <c r="H130" s="159" t="s">
        <v>77</v>
      </c>
      <c r="I130" s="11"/>
      <c r="J130" s="11"/>
      <c r="K130" s="17"/>
      <c r="L130" s="263">
        <v>51.13</v>
      </c>
      <c r="M130" s="236">
        <f t="shared" si="30"/>
        <v>0</v>
      </c>
      <c r="N130" s="183">
        <f t="shared" si="22"/>
        <v>4.2608333333333333</v>
      </c>
      <c r="O130" s="184">
        <f t="shared" si="27"/>
        <v>0.37069249999999998</v>
      </c>
      <c r="P130" s="184">
        <f t="shared" si="28"/>
        <v>4.6315258333333329</v>
      </c>
      <c r="Q130" s="207">
        <v>2.8</v>
      </c>
      <c r="R130" s="184">
        <f t="shared" si="32"/>
        <v>2.545454545454545</v>
      </c>
      <c r="S130" s="184">
        <f t="shared" si="29"/>
        <v>-2.0860712878787879</v>
      </c>
      <c r="T130" s="171">
        <f t="shared" si="31"/>
        <v>-0.81952800595238118</v>
      </c>
    </row>
    <row r="131" spans="3:20" x14ac:dyDescent="0.2">
      <c r="C131" s="578" t="s">
        <v>2020</v>
      </c>
      <c r="D131" s="168"/>
      <c r="E131" s="222">
        <v>151076</v>
      </c>
      <c r="F131" s="89" t="s">
        <v>2005</v>
      </c>
      <c r="G131" s="106">
        <v>36</v>
      </c>
      <c r="H131" s="159" t="s">
        <v>77</v>
      </c>
      <c r="I131" s="8"/>
      <c r="J131" s="8"/>
      <c r="K131" s="17"/>
      <c r="L131" s="260">
        <v>53.52</v>
      </c>
      <c r="M131" s="220">
        <f t="shared" si="30"/>
        <v>0</v>
      </c>
      <c r="N131" s="183">
        <f t="shared" ref="N131:N178" si="33">L131/G131</f>
        <v>1.4866666666666668</v>
      </c>
      <c r="O131" s="184">
        <f t="shared" si="27"/>
        <v>0.12934000000000001</v>
      </c>
      <c r="P131" s="184">
        <f t="shared" si="28"/>
        <v>1.6160066666666668</v>
      </c>
      <c r="Q131" s="207">
        <v>4.8</v>
      </c>
      <c r="R131" s="184">
        <f t="shared" ref="R131:R219" si="34">Q131/$R$10</f>
        <v>4.3636363636363633</v>
      </c>
      <c r="S131" s="184">
        <f t="shared" si="29"/>
        <v>2.7476296969696965</v>
      </c>
      <c r="T131" s="171">
        <f t="shared" ref="T131:T219" si="35">S131/R131</f>
        <v>0.62966513888888886</v>
      </c>
    </row>
    <row r="132" spans="3:20" x14ac:dyDescent="0.2">
      <c r="C132" s="578" t="s">
        <v>2021</v>
      </c>
      <c r="D132" s="168"/>
      <c r="E132" s="222">
        <v>150774</v>
      </c>
      <c r="F132" s="89" t="s">
        <v>1926</v>
      </c>
      <c r="G132" s="106">
        <v>36</v>
      </c>
      <c r="H132" s="159" t="s">
        <v>77</v>
      </c>
      <c r="I132" s="8"/>
      <c r="J132" s="8"/>
      <c r="K132" s="17"/>
      <c r="L132" s="260">
        <v>53.52</v>
      </c>
      <c r="M132" s="220">
        <f t="shared" si="30"/>
        <v>0</v>
      </c>
      <c r="N132" s="183">
        <f t="shared" si="33"/>
        <v>1.4866666666666668</v>
      </c>
      <c r="O132" s="184">
        <f t="shared" si="27"/>
        <v>0.12934000000000001</v>
      </c>
      <c r="P132" s="184">
        <f t="shared" si="28"/>
        <v>1.6160066666666668</v>
      </c>
      <c r="Q132" s="207">
        <v>4.8</v>
      </c>
      <c r="R132" s="184">
        <f t="shared" si="34"/>
        <v>4.3636363636363633</v>
      </c>
      <c r="S132" s="184">
        <f t="shared" si="29"/>
        <v>2.7476296969696965</v>
      </c>
      <c r="T132" s="171">
        <f t="shared" si="35"/>
        <v>0.62966513888888886</v>
      </c>
    </row>
    <row r="133" spans="3:20" x14ac:dyDescent="0.2">
      <c r="C133" s="578" t="s">
        <v>2022</v>
      </c>
      <c r="D133" s="168"/>
      <c r="E133" s="222">
        <v>622394</v>
      </c>
      <c r="F133" s="89" t="s">
        <v>2023</v>
      </c>
      <c r="G133" s="106">
        <v>16</v>
      </c>
      <c r="H133" s="159" t="s">
        <v>77</v>
      </c>
      <c r="I133" s="8"/>
      <c r="J133" s="8"/>
      <c r="K133" s="17"/>
      <c r="L133" s="260">
        <v>57.46</v>
      </c>
      <c r="M133" s="220">
        <f t="shared" si="30"/>
        <v>0</v>
      </c>
      <c r="N133" s="183">
        <f t="shared" si="33"/>
        <v>3.5912500000000001</v>
      </c>
      <c r="O133" s="184">
        <f t="shared" si="27"/>
        <v>0.31243874999999999</v>
      </c>
      <c r="P133" s="184">
        <f t="shared" si="28"/>
        <v>3.9036887500000002</v>
      </c>
      <c r="Q133" s="207">
        <v>4.8</v>
      </c>
      <c r="R133" s="184">
        <f t="shared" si="34"/>
        <v>4.3636363636363633</v>
      </c>
      <c r="S133" s="184">
        <f t="shared" si="29"/>
        <v>0.45994761363636316</v>
      </c>
      <c r="T133" s="171">
        <f t="shared" si="35"/>
        <v>0.10540466145833323</v>
      </c>
    </row>
    <row r="134" spans="3:20" x14ac:dyDescent="0.2">
      <c r="C134" s="578" t="s">
        <v>2024</v>
      </c>
      <c r="D134" s="168"/>
      <c r="E134" s="222">
        <v>622580</v>
      </c>
      <c r="F134" s="89" t="s">
        <v>2007</v>
      </c>
      <c r="G134" s="106">
        <v>16</v>
      </c>
      <c r="H134" s="159" t="s">
        <v>77</v>
      </c>
      <c r="I134" s="8"/>
      <c r="J134" s="8"/>
      <c r="K134" s="17"/>
      <c r="L134" s="260">
        <v>57.46</v>
      </c>
      <c r="M134" s="220">
        <f t="shared" si="30"/>
        <v>0</v>
      </c>
      <c r="N134" s="183">
        <f t="shared" ref="N134" si="36">L134/G134</f>
        <v>3.5912500000000001</v>
      </c>
      <c r="O134" s="184">
        <f t="shared" si="27"/>
        <v>0.31243874999999999</v>
      </c>
      <c r="P134" s="184">
        <f t="shared" ref="P134" si="37">N134+O134</f>
        <v>3.9036887500000002</v>
      </c>
      <c r="Q134" s="207">
        <v>5.8</v>
      </c>
      <c r="R134" s="184">
        <f t="shared" ref="R134" si="38">Q134/$R$10</f>
        <v>5.2727272727272725</v>
      </c>
      <c r="S134" s="184">
        <f t="shared" ref="S134" si="39">R134-P134</f>
        <v>1.3690385227272723</v>
      </c>
      <c r="T134" s="171">
        <f t="shared" si="35"/>
        <v>0.25964523706896547</v>
      </c>
    </row>
    <row r="135" spans="3:20" x14ac:dyDescent="0.2">
      <c r="C135" s="578" t="s">
        <v>2025</v>
      </c>
      <c r="D135" s="168"/>
      <c r="E135" s="222">
        <v>621568</v>
      </c>
      <c r="F135" s="89" t="s">
        <v>2026</v>
      </c>
      <c r="G135" s="106">
        <v>24</v>
      </c>
      <c r="H135" s="159" t="s">
        <v>77</v>
      </c>
      <c r="I135" s="8"/>
      <c r="J135" s="8"/>
      <c r="K135" s="17"/>
      <c r="L135" s="260">
        <v>86.19</v>
      </c>
      <c r="M135" s="220">
        <f t="shared" si="30"/>
        <v>0</v>
      </c>
      <c r="N135" s="183">
        <f t="shared" si="33"/>
        <v>3.5912500000000001</v>
      </c>
      <c r="O135" s="184">
        <f t="shared" si="27"/>
        <v>0.31243874999999999</v>
      </c>
      <c r="P135" s="184">
        <f t="shared" si="28"/>
        <v>3.9036887500000002</v>
      </c>
      <c r="Q135" s="207">
        <v>4.8</v>
      </c>
      <c r="R135" s="184">
        <f t="shared" si="34"/>
        <v>4.3636363636363633</v>
      </c>
      <c r="S135" s="184">
        <f t="shared" si="29"/>
        <v>0.45994761363636316</v>
      </c>
      <c r="T135" s="171">
        <f t="shared" si="35"/>
        <v>0.10540466145833323</v>
      </c>
    </row>
    <row r="136" spans="3:20" x14ac:dyDescent="0.2">
      <c r="C136" s="578" t="s">
        <v>2027</v>
      </c>
      <c r="D136" s="168"/>
      <c r="E136" s="222">
        <v>622695</v>
      </c>
      <c r="F136" s="233" t="s">
        <v>1874</v>
      </c>
      <c r="G136" s="165">
        <v>15</v>
      </c>
      <c r="H136" s="159" t="s">
        <v>77</v>
      </c>
      <c r="I136" s="11"/>
      <c r="J136" s="8"/>
      <c r="K136" s="17"/>
      <c r="L136" s="260">
        <v>52.19</v>
      </c>
      <c r="M136" s="220">
        <f t="shared" si="30"/>
        <v>0</v>
      </c>
      <c r="N136" s="183">
        <f t="shared" si="33"/>
        <v>3.4793333333333334</v>
      </c>
      <c r="O136" s="184">
        <f t="shared" si="27"/>
        <v>0.30270199999999997</v>
      </c>
      <c r="P136" s="184">
        <f t="shared" ref="P136:P178" si="40">N136+O136</f>
        <v>3.7820353333333334</v>
      </c>
      <c r="Q136" s="207">
        <v>5.8</v>
      </c>
      <c r="R136" s="184">
        <f t="shared" ref="R136:R178" si="41">Q136/$R$10</f>
        <v>5.2727272727272725</v>
      </c>
      <c r="S136" s="184">
        <f t="shared" ref="S136:S178" si="42">R136-P136</f>
        <v>1.4906919393939391</v>
      </c>
      <c r="T136" s="171"/>
    </row>
    <row r="137" spans="3:20" x14ac:dyDescent="0.2">
      <c r="C137" s="578" t="s">
        <v>2028</v>
      </c>
      <c r="D137" s="168"/>
      <c r="E137" s="222">
        <v>622742</v>
      </c>
      <c r="F137" s="233" t="s">
        <v>1874</v>
      </c>
      <c r="G137" s="165">
        <v>15</v>
      </c>
      <c r="H137" s="159" t="s">
        <v>77</v>
      </c>
      <c r="I137" s="11"/>
      <c r="J137" s="8"/>
      <c r="K137" s="17"/>
      <c r="L137" s="260">
        <v>52.19</v>
      </c>
      <c r="M137" s="220">
        <f t="shared" si="30"/>
        <v>0</v>
      </c>
      <c r="N137" s="183">
        <f t="shared" si="33"/>
        <v>3.4793333333333334</v>
      </c>
      <c r="O137" s="184">
        <f t="shared" si="27"/>
        <v>0.30270199999999997</v>
      </c>
      <c r="P137" s="184">
        <f t="shared" si="40"/>
        <v>3.7820353333333334</v>
      </c>
      <c r="Q137" s="207">
        <v>6.8</v>
      </c>
      <c r="R137" s="184">
        <f t="shared" si="41"/>
        <v>6.1818181818181808</v>
      </c>
      <c r="S137" s="184">
        <f t="shared" si="42"/>
        <v>2.3997828484848474</v>
      </c>
      <c r="T137" s="171"/>
    </row>
    <row r="138" spans="3:20" x14ac:dyDescent="0.2">
      <c r="C138" s="578" t="s">
        <v>2029</v>
      </c>
      <c r="D138" s="168"/>
      <c r="E138" s="222">
        <v>638528</v>
      </c>
      <c r="F138" s="233" t="s">
        <v>2030</v>
      </c>
      <c r="G138" s="165">
        <v>40</v>
      </c>
      <c r="H138" s="159" t="s">
        <v>77</v>
      </c>
      <c r="I138" s="11"/>
      <c r="J138" s="8"/>
      <c r="K138" s="17"/>
      <c r="L138" s="260">
        <v>39.409999999999997</v>
      </c>
      <c r="M138" s="220">
        <f t="shared" si="30"/>
        <v>0</v>
      </c>
      <c r="N138" s="183">
        <f t="shared" si="33"/>
        <v>0.98524999999999996</v>
      </c>
      <c r="O138" s="184">
        <f t="shared" si="27"/>
        <v>8.5716749999999994E-2</v>
      </c>
      <c r="P138" s="184">
        <f t="shared" si="40"/>
        <v>1.07096675</v>
      </c>
      <c r="Q138" s="207">
        <v>7.8</v>
      </c>
      <c r="R138" s="184">
        <f t="shared" si="41"/>
        <v>7.0909090909090899</v>
      </c>
      <c r="S138" s="184">
        <f t="shared" si="42"/>
        <v>6.0199423409090898</v>
      </c>
      <c r="T138" s="171"/>
    </row>
    <row r="139" spans="3:20" x14ac:dyDescent="0.2">
      <c r="C139" s="578" t="s">
        <v>2031</v>
      </c>
      <c r="D139" s="168"/>
      <c r="E139" s="222">
        <v>640494</v>
      </c>
      <c r="F139" s="233" t="s">
        <v>2032</v>
      </c>
      <c r="G139" s="165">
        <v>40</v>
      </c>
      <c r="H139" s="159" t="s">
        <v>77</v>
      </c>
      <c r="I139" s="11"/>
      <c r="J139" s="8"/>
      <c r="K139" s="17"/>
      <c r="L139" s="260">
        <v>39.409999999999997</v>
      </c>
      <c r="M139" s="220">
        <f t="shared" si="30"/>
        <v>0</v>
      </c>
      <c r="N139" s="183">
        <f t="shared" si="33"/>
        <v>0.98524999999999996</v>
      </c>
      <c r="O139" s="184">
        <f t="shared" si="27"/>
        <v>8.5716749999999994E-2</v>
      </c>
      <c r="P139" s="184">
        <f t="shared" si="40"/>
        <v>1.07096675</v>
      </c>
      <c r="Q139" s="207">
        <v>8.8000000000000007</v>
      </c>
      <c r="R139" s="184">
        <f t="shared" si="41"/>
        <v>8</v>
      </c>
      <c r="S139" s="184">
        <f t="shared" si="42"/>
        <v>6.9290332499999998</v>
      </c>
      <c r="T139" s="171"/>
    </row>
    <row r="140" spans="3:20" x14ac:dyDescent="0.2">
      <c r="C140" s="578" t="s">
        <v>2033</v>
      </c>
      <c r="D140" s="168"/>
      <c r="E140" s="222">
        <v>639998</v>
      </c>
      <c r="F140" s="233" t="s">
        <v>2032</v>
      </c>
      <c r="G140" s="165">
        <v>40</v>
      </c>
      <c r="H140" s="159" t="s">
        <v>77</v>
      </c>
      <c r="I140" s="11"/>
      <c r="J140" s="8"/>
      <c r="K140" s="17"/>
      <c r="L140" s="260">
        <v>39.409999999999997</v>
      </c>
      <c r="M140" s="220">
        <f t="shared" si="30"/>
        <v>0</v>
      </c>
      <c r="N140" s="183">
        <f t="shared" si="33"/>
        <v>0.98524999999999996</v>
      </c>
      <c r="O140" s="184">
        <f t="shared" si="27"/>
        <v>8.5716749999999994E-2</v>
      </c>
      <c r="P140" s="184">
        <f t="shared" si="40"/>
        <v>1.07096675</v>
      </c>
      <c r="Q140" s="207">
        <v>9.8000000000000007</v>
      </c>
      <c r="R140" s="184">
        <f t="shared" si="41"/>
        <v>8.9090909090909083</v>
      </c>
      <c r="S140" s="184">
        <f t="shared" si="42"/>
        <v>7.8381241590909081</v>
      </c>
      <c r="T140" s="171"/>
    </row>
    <row r="141" spans="3:20" x14ac:dyDescent="0.2">
      <c r="C141" s="578" t="s">
        <v>2034</v>
      </c>
      <c r="D141" s="168"/>
      <c r="E141" s="222">
        <v>542353</v>
      </c>
      <c r="F141" s="233" t="s">
        <v>2035</v>
      </c>
      <c r="G141" s="165">
        <v>18</v>
      </c>
      <c r="H141" s="159" t="s">
        <v>77</v>
      </c>
      <c r="I141" s="11"/>
      <c r="J141" s="8"/>
      <c r="K141" s="17"/>
      <c r="L141" s="260">
        <v>44.33</v>
      </c>
      <c r="M141" s="220">
        <f t="shared" si="30"/>
        <v>0</v>
      </c>
      <c r="N141" s="183">
        <f t="shared" si="33"/>
        <v>2.4627777777777777</v>
      </c>
      <c r="O141" s="184">
        <f t="shared" si="27"/>
        <v>0.21426166666666666</v>
      </c>
      <c r="P141" s="184">
        <f t="shared" si="40"/>
        <v>2.6770394444444445</v>
      </c>
      <c r="Q141" s="207">
        <v>10.8</v>
      </c>
      <c r="R141" s="184">
        <f t="shared" si="41"/>
        <v>9.8181818181818183</v>
      </c>
      <c r="S141" s="184">
        <f t="shared" si="42"/>
        <v>7.1411423737373738</v>
      </c>
      <c r="T141" s="171"/>
    </row>
    <row r="142" spans="3:20" x14ac:dyDescent="0.2">
      <c r="C142" s="578" t="s">
        <v>2036</v>
      </c>
      <c r="D142" s="168"/>
      <c r="E142" s="222">
        <v>60783</v>
      </c>
      <c r="F142" s="233" t="s">
        <v>2007</v>
      </c>
      <c r="G142" s="165">
        <v>10</v>
      </c>
      <c r="H142" s="159" t="s">
        <v>77</v>
      </c>
      <c r="I142" s="11"/>
      <c r="J142" s="8"/>
      <c r="K142" s="17"/>
      <c r="L142" s="260">
        <v>25.07</v>
      </c>
      <c r="M142" s="220">
        <f t="shared" si="30"/>
        <v>0</v>
      </c>
      <c r="N142" s="183">
        <f t="shared" si="33"/>
        <v>2.5070000000000001</v>
      </c>
      <c r="O142" s="184">
        <f t="shared" si="27"/>
        <v>0.218109</v>
      </c>
      <c r="P142" s="184">
        <f t="shared" si="40"/>
        <v>2.7251090000000002</v>
      </c>
      <c r="Q142" s="207">
        <v>11.8</v>
      </c>
      <c r="R142" s="184">
        <f t="shared" si="41"/>
        <v>10.727272727272727</v>
      </c>
      <c r="S142" s="184">
        <f t="shared" si="42"/>
        <v>8.0021637272727268</v>
      </c>
      <c r="T142" s="171"/>
    </row>
    <row r="143" spans="3:20" x14ac:dyDescent="0.2">
      <c r="C143" s="578" t="s">
        <v>2037</v>
      </c>
      <c r="D143" s="168"/>
      <c r="E143" s="222">
        <v>696092</v>
      </c>
      <c r="F143" s="233" t="s">
        <v>2035</v>
      </c>
      <c r="G143" s="165">
        <v>18</v>
      </c>
      <c r="H143" s="159" t="s">
        <v>77</v>
      </c>
      <c r="I143" s="11"/>
      <c r="J143" s="8"/>
      <c r="K143" s="17"/>
      <c r="L143" s="260">
        <v>44.33</v>
      </c>
      <c r="M143" s="220">
        <f t="shared" si="30"/>
        <v>0</v>
      </c>
      <c r="N143" s="183">
        <f t="shared" si="33"/>
        <v>2.4627777777777777</v>
      </c>
      <c r="O143" s="184">
        <f t="shared" si="27"/>
        <v>0.21426166666666666</v>
      </c>
      <c r="P143" s="184">
        <f t="shared" si="40"/>
        <v>2.6770394444444445</v>
      </c>
      <c r="Q143" s="207">
        <v>12.8</v>
      </c>
      <c r="R143" s="184">
        <f t="shared" si="41"/>
        <v>11.636363636363637</v>
      </c>
      <c r="S143" s="184">
        <f t="shared" si="42"/>
        <v>8.9593241919191922</v>
      </c>
      <c r="T143" s="171"/>
    </row>
    <row r="144" spans="3:20" x14ac:dyDescent="0.2">
      <c r="C144" s="578" t="s">
        <v>2038</v>
      </c>
      <c r="D144" s="168"/>
      <c r="E144" s="222">
        <v>557492</v>
      </c>
      <c r="F144" s="233" t="s">
        <v>2035</v>
      </c>
      <c r="G144" s="165">
        <v>16</v>
      </c>
      <c r="H144" s="159" t="s">
        <v>77</v>
      </c>
      <c r="I144" s="11"/>
      <c r="J144" s="8"/>
      <c r="K144" s="17"/>
      <c r="L144" s="260">
        <v>39.4</v>
      </c>
      <c r="M144" s="220">
        <f t="shared" si="30"/>
        <v>0</v>
      </c>
      <c r="N144" s="183">
        <f t="shared" si="33"/>
        <v>2.4624999999999999</v>
      </c>
      <c r="O144" s="184">
        <f t="shared" si="27"/>
        <v>0.21423749999999997</v>
      </c>
      <c r="P144" s="184">
        <f t="shared" si="40"/>
        <v>2.6767374999999998</v>
      </c>
      <c r="Q144" s="207">
        <v>13.8</v>
      </c>
      <c r="R144" s="184">
        <f t="shared" si="41"/>
        <v>12.545454545454545</v>
      </c>
      <c r="S144" s="184">
        <f t="shared" si="42"/>
        <v>9.8687170454545452</v>
      </c>
      <c r="T144" s="171"/>
    </row>
    <row r="145" spans="3:20" x14ac:dyDescent="0.2">
      <c r="C145" s="578" t="s">
        <v>2039</v>
      </c>
      <c r="D145" s="168"/>
      <c r="E145" s="222">
        <v>20288</v>
      </c>
      <c r="F145" s="233" t="s">
        <v>1882</v>
      </c>
      <c r="G145" s="165">
        <v>12</v>
      </c>
      <c r="H145" s="159" t="s">
        <v>77</v>
      </c>
      <c r="I145" s="11"/>
      <c r="J145" s="8"/>
      <c r="K145" s="17"/>
      <c r="L145" s="260">
        <v>25.07</v>
      </c>
      <c r="M145" s="220">
        <f t="shared" si="30"/>
        <v>0</v>
      </c>
      <c r="N145" s="183">
        <f t="shared" si="33"/>
        <v>2.0891666666666668</v>
      </c>
      <c r="O145" s="184">
        <f t="shared" si="27"/>
        <v>0.18175750000000002</v>
      </c>
      <c r="P145" s="184">
        <f t="shared" si="40"/>
        <v>2.2709241666666671</v>
      </c>
      <c r="Q145" s="207">
        <v>14.8</v>
      </c>
      <c r="R145" s="184">
        <f t="shared" si="41"/>
        <v>13.454545454545453</v>
      </c>
      <c r="S145" s="184">
        <f t="shared" si="42"/>
        <v>11.183621287878786</v>
      </c>
      <c r="T145" s="171"/>
    </row>
    <row r="146" spans="3:20" x14ac:dyDescent="0.2">
      <c r="C146" s="578" t="s">
        <v>2040</v>
      </c>
      <c r="D146" s="168"/>
      <c r="E146" s="222">
        <v>558003</v>
      </c>
      <c r="F146" s="233" t="s">
        <v>2035</v>
      </c>
      <c r="G146" s="165">
        <v>16</v>
      </c>
      <c r="H146" s="159" t="s">
        <v>77</v>
      </c>
      <c r="I146" s="11"/>
      <c r="J146" s="8"/>
      <c r="K146" s="17"/>
      <c r="L146" s="260">
        <v>39.4</v>
      </c>
      <c r="M146" s="220">
        <f t="shared" si="30"/>
        <v>0</v>
      </c>
      <c r="N146" s="183">
        <f t="shared" si="33"/>
        <v>2.4624999999999999</v>
      </c>
      <c r="O146" s="184">
        <f t="shared" ref="O146:O177" si="43">N146*$O$12</f>
        <v>0.21423749999999997</v>
      </c>
      <c r="P146" s="184">
        <f t="shared" si="40"/>
        <v>2.6767374999999998</v>
      </c>
      <c r="Q146" s="207">
        <v>15.8</v>
      </c>
      <c r="R146" s="184">
        <f t="shared" si="41"/>
        <v>14.363636363636363</v>
      </c>
      <c r="S146" s="184">
        <f t="shared" si="42"/>
        <v>11.686898863636364</v>
      </c>
      <c r="T146" s="171"/>
    </row>
    <row r="147" spans="3:20" x14ac:dyDescent="0.2">
      <c r="C147" s="578" t="s">
        <v>2041</v>
      </c>
      <c r="D147" s="168"/>
      <c r="E147" s="222">
        <v>18731</v>
      </c>
      <c r="F147" s="233" t="s">
        <v>2042</v>
      </c>
      <c r="G147" s="165">
        <v>12</v>
      </c>
      <c r="H147" s="159" t="s">
        <v>77</v>
      </c>
      <c r="I147" s="11"/>
      <c r="J147" s="8"/>
      <c r="K147" s="17"/>
      <c r="L147" s="260">
        <v>53.38</v>
      </c>
      <c r="M147" s="220">
        <f t="shared" si="30"/>
        <v>0</v>
      </c>
      <c r="N147" s="183">
        <f t="shared" si="33"/>
        <v>4.4483333333333333</v>
      </c>
      <c r="O147" s="184">
        <f t="shared" si="43"/>
        <v>0.38700499999999999</v>
      </c>
      <c r="P147" s="184">
        <f t="shared" si="40"/>
        <v>4.8353383333333335</v>
      </c>
      <c r="Q147" s="207">
        <v>16.8</v>
      </c>
      <c r="R147" s="184">
        <f t="shared" si="41"/>
        <v>15.272727272727272</v>
      </c>
      <c r="S147" s="184">
        <f t="shared" si="42"/>
        <v>10.437388939393937</v>
      </c>
      <c r="T147" s="171"/>
    </row>
    <row r="148" spans="3:20" x14ac:dyDescent="0.2">
      <c r="C148" s="578" t="s">
        <v>2043</v>
      </c>
      <c r="D148" s="168"/>
      <c r="E148" s="222">
        <v>45903</v>
      </c>
      <c r="F148" s="233" t="s">
        <v>1882</v>
      </c>
      <c r="G148" s="165">
        <v>12</v>
      </c>
      <c r="H148" s="159" t="s">
        <v>77</v>
      </c>
      <c r="I148" s="11"/>
      <c r="J148" s="8"/>
      <c r="K148" s="17"/>
      <c r="L148" s="260">
        <v>53.38</v>
      </c>
      <c r="M148" s="220">
        <f t="shared" si="30"/>
        <v>0</v>
      </c>
      <c r="N148" s="183">
        <f t="shared" si="33"/>
        <v>4.4483333333333333</v>
      </c>
      <c r="O148" s="184">
        <f t="shared" si="43"/>
        <v>0.38700499999999999</v>
      </c>
      <c r="P148" s="184">
        <f t="shared" si="40"/>
        <v>4.8353383333333335</v>
      </c>
      <c r="Q148" s="207">
        <v>17.8</v>
      </c>
      <c r="R148" s="184">
        <f t="shared" si="41"/>
        <v>16.18181818181818</v>
      </c>
      <c r="S148" s="184">
        <f t="shared" si="42"/>
        <v>11.346479848484847</v>
      </c>
      <c r="T148" s="171"/>
    </row>
    <row r="149" spans="3:20" x14ac:dyDescent="0.2">
      <c r="C149" s="578" t="s">
        <v>2044</v>
      </c>
      <c r="D149" s="168"/>
      <c r="E149" s="222">
        <v>369797</v>
      </c>
      <c r="F149" s="233" t="s">
        <v>1926</v>
      </c>
      <c r="G149" s="165">
        <v>24</v>
      </c>
      <c r="H149" s="159" t="s">
        <v>77</v>
      </c>
      <c r="I149" s="11"/>
      <c r="J149" s="8"/>
      <c r="K149" s="17"/>
      <c r="L149" s="260">
        <v>70.91</v>
      </c>
      <c r="M149" s="220">
        <f t="shared" si="30"/>
        <v>0</v>
      </c>
      <c r="N149" s="183">
        <f t="shared" si="33"/>
        <v>2.9545833333333333</v>
      </c>
      <c r="O149" s="184">
        <f t="shared" si="43"/>
        <v>0.25704874999999999</v>
      </c>
      <c r="P149" s="184">
        <f t="shared" si="40"/>
        <v>3.2116320833333334</v>
      </c>
      <c r="Q149" s="207">
        <v>18.8</v>
      </c>
      <c r="R149" s="184">
        <f t="shared" si="41"/>
        <v>17.09090909090909</v>
      </c>
      <c r="S149" s="184">
        <f t="shared" si="42"/>
        <v>13.879277007575757</v>
      </c>
      <c r="T149" s="171"/>
    </row>
    <row r="150" spans="3:20" x14ac:dyDescent="0.2">
      <c r="C150" s="578" t="s">
        <v>2045</v>
      </c>
      <c r="D150" s="168"/>
      <c r="E150" s="222">
        <v>369802</v>
      </c>
      <c r="F150" s="233" t="s">
        <v>1926</v>
      </c>
      <c r="G150" s="165">
        <v>24</v>
      </c>
      <c r="H150" s="159" t="s">
        <v>77</v>
      </c>
      <c r="I150" s="11"/>
      <c r="J150" s="8"/>
      <c r="K150" s="17"/>
      <c r="L150" s="260">
        <v>34.909999999999997</v>
      </c>
      <c r="M150" s="220">
        <f t="shared" si="30"/>
        <v>0</v>
      </c>
      <c r="N150" s="183">
        <f t="shared" si="33"/>
        <v>1.4545833333333331</v>
      </c>
      <c r="O150" s="184">
        <f t="shared" si="43"/>
        <v>0.12654874999999996</v>
      </c>
      <c r="P150" s="184">
        <f t="shared" si="40"/>
        <v>1.5811320833333331</v>
      </c>
      <c r="Q150" s="207">
        <v>19.8</v>
      </c>
      <c r="R150" s="184">
        <f t="shared" si="41"/>
        <v>18</v>
      </c>
      <c r="S150" s="184">
        <f t="shared" si="42"/>
        <v>16.418867916666667</v>
      </c>
      <c r="T150" s="171"/>
    </row>
    <row r="151" spans="3:20" x14ac:dyDescent="0.2">
      <c r="C151" s="578" t="s">
        <v>2046</v>
      </c>
      <c r="D151" s="168"/>
      <c r="E151" s="222">
        <v>381820</v>
      </c>
      <c r="F151" s="233" t="s">
        <v>2047</v>
      </c>
      <c r="G151" s="165">
        <v>12</v>
      </c>
      <c r="H151" s="159" t="s">
        <v>77</v>
      </c>
      <c r="I151" s="11"/>
      <c r="J151" s="8"/>
      <c r="K151" s="17"/>
      <c r="L151" s="260">
        <v>17.34</v>
      </c>
      <c r="M151" s="220">
        <f t="shared" si="30"/>
        <v>0</v>
      </c>
      <c r="N151" s="183">
        <f t="shared" si="33"/>
        <v>1.4450000000000001</v>
      </c>
      <c r="O151" s="184">
        <f t="shared" si="43"/>
        <v>0.12571499999999999</v>
      </c>
      <c r="P151" s="184">
        <f t="shared" si="40"/>
        <v>1.5707150000000001</v>
      </c>
      <c r="Q151" s="207">
        <v>20.8</v>
      </c>
      <c r="R151" s="184">
        <f t="shared" si="41"/>
        <v>18.909090909090907</v>
      </c>
      <c r="S151" s="184">
        <f t="shared" si="42"/>
        <v>17.338375909090907</v>
      </c>
      <c r="T151" s="171"/>
    </row>
    <row r="152" spans="3:20" x14ac:dyDescent="0.2">
      <c r="C152" s="578" t="s">
        <v>2048</v>
      </c>
      <c r="D152" s="168"/>
      <c r="E152" s="222">
        <v>381684</v>
      </c>
      <c r="F152" s="233" t="s">
        <v>2047</v>
      </c>
      <c r="G152" s="165">
        <v>12</v>
      </c>
      <c r="H152" s="159" t="s">
        <v>77</v>
      </c>
      <c r="I152" s="11"/>
      <c r="J152" s="8"/>
      <c r="K152" s="17"/>
      <c r="L152" s="260">
        <v>17.34</v>
      </c>
      <c r="M152" s="220">
        <f t="shared" si="30"/>
        <v>0</v>
      </c>
      <c r="N152" s="183">
        <f t="shared" si="33"/>
        <v>1.4450000000000001</v>
      </c>
      <c r="O152" s="184">
        <f t="shared" si="43"/>
        <v>0.12571499999999999</v>
      </c>
      <c r="P152" s="184">
        <f t="shared" si="40"/>
        <v>1.5707150000000001</v>
      </c>
      <c r="Q152" s="207">
        <v>21.8</v>
      </c>
      <c r="R152" s="184">
        <f t="shared" si="41"/>
        <v>19.818181818181817</v>
      </c>
      <c r="S152" s="184">
        <f t="shared" si="42"/>
        <v>18.247466818181817</v>
      </c>
      <c r="T152" s="171"/>
    </row>
    <row r="153" spans="3:20" x14ac:dyDescent="0.2">
      <c r="C153" s="578" t="s">
        <v>2049</v>
      </c>
      <c r="D153" s="168"/>
      <c r="E153" s="222">
        <v>381778</v>
      </c>
      <c r="F153" s="233" t="s">
        <v>2047</v>
      </c>
      <c r="G153" s="165">
        <v>12</v>
      </c>
      <c r="H153" s="159" t="s">
        <v>77</v>
      </c>
      <c r="I153" s="11"/>
      <c r="J153" s="8"/>
      <c r="K153" s="17"/>
      <c r="L153" s="260">
        <v>17.34</v>
      </c>
      <c r="M153" s="220">
        <f t="shared" si="30"/>
        <v>0</v>
      </c>
      <c r="N153" s="183">
        <f t="shared" si="33"/>
        <v>1.4450000000000001</v>
      </c>
      <c r="O153" s="184">
        <f t="shared" si="43"/>
        <v>0.12571499999999999</v>
      </c>
      <c r="P153" s="184">
        <f t="shared" si="40"/>
        <v>1.5707150000000001</v>
      </c>
      <c r="Q153" s="207">
        <v>22.8</v>
      </c>
      <c r="R153" s="184">
        <f t="shared" si="41"/>
        <v>20.727272727272727</v>
      </c>
      <c r="S153" s="184">
        <f t="shared" si="42"/>
        <v>19.156557727272727</v>
      </c>
      <c r="T153" s="171"/>
    </row>
    <row r="154" spans="3:20" x14ac:dyDescent="0.2">
      <c r="C154" s="579" t="s">
        <v>2050</v>
      </c>
      <c r="D154" s="168"/>
      <c r="E154" s="222">
        <v>95652</v>
      </c>
      <c r="F154" s="233" t="s">
        <v>2007</v>
      </c>
      <c r="G154" s="165">
        <v>18</v>
      </c>
      <c r="H154" s="159" t="s">
        <v>77</v>
      </c>
      <c r="I154" s="11"/>
      <c r="J154" s="8"/>
      <c r="K154" s="17"/>
      <c r="L154" s="260">
        <v>48.85</v>
      </c>
      <c r="M154" s="220">
        <f t="shared" si="30"/>
        <v>0</v>
      </c>
      <c r="N154" s="183">
        <f t="shared" si="33"/>
        <v>2.713888888888889</v>
      </c>
      <c r="O154" s="184">
        <f t="shared" si="43"/>
        <v>0.23610833333333334</v>
      </c>
      <c r="P154" s="184">
        <f t="shared" si="40"/>
        <v>2.9499972222222222</v>
      </c>
      <c r="Q154" s="207">
        <v>23.8</v>
      </c>
      <c r="R154" s="184">
        <f t="shared" si="41"/>
        <v>21.636363636363637</v>
      </c>
      <c r="S154" s="184">
        <f t="shared" si="42"/>
        <v>18.686366414141414</v>
      </c>
      <c r="T154" s="171"/>
    </row>
    <row r="155" spans="3:20" x14ac:dyDescent="0.2">
      <c r="C155" s="579" t="s">
        <v>2051</v>
      </c>
      <c r="D155" s="168"/>
      <c r="E155" s="222">
        <v>311176</v>
      </c>
      <c r="F155" s="233" t="s">
        <v>1970</v>
      </c>
      <c r="G155" s="165">
        <v>10</v>
      </c>
      <c r="H155" s="159" t="s">
        <v>77</v>
      </c>
      <c r="I155" s="11"/>
      <c r="J155" s="8"/>
      <c r="K155" s="17"/>
      <c r="L155" s="260">
        <v>36.79</v>
      </c>
      <c r="M155" s="220">
        <f t="shared" si="30"/>
        <v>0</v>
      </c>
      <c r="N155" s="183">
        <f t="shared" si="33"/>
        <v>3.6789999999999998</v>
      </c>
      <c r="O155" s="184">
        <f t="shared" si="43"/>
        <v>0.32007299999999994</v>
      </c>
      <c r="P155" s="184">
        <f t="shared" si="40"/>
        <v>3.9990729999999997</v>
      </c>
      <c r="Q155" s="207">
        <v>24.8</v>
      </c>
      <c r="R155" s="184">
        <f t="shared" si="41"/>
        <v>22.545454545454543</v>
      </c>
      <c r="S155" s="184">
        <f t="shared" si="42"/>
        <v>18.546381545454544</v>
      </c>
      <c r="T155" s="171"/>
    </row>
    <row r="156" spans="3:20" x14ac:dyDescent="0.2">
      <c r="C156" s="579" t="s">
        <v>2052</v>
      </c>
      <c r="D156" s="168"/>
      <c r="E156" s="222">
        <v>113243</v>
      </c>
      <c r="F156" s="233" t="s">
        <v>1926</v>
      </c>
      <c r="G156" s="165">
        <v>7</v>
      </c>
      <c r="H156" s="159" t="s">
        <v>77</v>
      </c>
      <c r="I156" s="11"/>
      <c r="J156" s="8"/>
      <c r="K156" s="17"/>
      <c r="L156" s="260">
        <v>24.8</v>
      </c>
      <c r="M156" s="220">
        <f t="shared" si="30"/>
        <v>0</v>
      </c>
      <c r="N156" s="183">
        <f t="shared" si="33"/>
        <v>3.5428571428571431</v>
      </c>
      <c r="O156" s="184">
        <f t="shared" si="43"/>
        <v>0.30822857142857141</v>
      </c>
      <c r="P156" s="184">
        <f t="shared" si="40"/>
        <v>3.8510857142857144</v>
      </c>
      <c r="Q156" s="207">
        <v>25.8</v>
      </c>
      <c r="R156" s="184">
        <f t="shared" si="41"/>
        <v>23.454545454545453</v>
      </c>
      <c r="S156" s="184">
        <f t="shared" si="42"/>
        <v>19.603459740259737</v>
      </c>
      <c r="T156" s="171"/>
    </row>
    <row r="157" spans="3:20" x14ac:dyDescent="0.2">
      <c r="C157" s="579" t="s">
        <v>2053</v>
      </c>
      <c r="D157" s="168"/>
      <c r="E157" s="222">
        <v>115910</v>
      </c>
      <c r="F157" s="233" t="s">
        <v>1926</v>
      </c>
      <c r="G157" s="165">
        <v>7</v>
      </c>
      <c r="H157" s="159" t="s">
        <v>77</v>
      </c>
      <c r="I157" s="11"/>
      <c r="J157" s="8"/>
      <c r="K157" s="17"/>
      <c r="L157" s="260">
        <v>24.8</v>
      </c>
      <c r="M157" s="220">
        <f t="shared" si="30"/>
        <v>0</v>
      </c>
      <c r="N157" s="183">
        <f t="shared" si="33"/>
        <v>3.5428571428571431</v>
      </c>
      <c r="O157" s="184">
        <f t="shared" si="43"/>
        <v>0.30822857142857141</v>
      </c>
      <c r="P157" s="184">
        <f t="shared" si="40"/>
        <v>3.8510857142857144</v>
      </c>
      <c r="Q157" s="207">
        <v>26.8</v>
      </c>
      <c r="R157" s="184">
        <f t="shared" si="41"/>
        <v>24.363636363636363</v>
      </c>
      <c r="S157" s="184">
        <f t="shared" si="42"/>
        <v>20.512550649350651</v>
      </c>
      <c r="T157" s="171"/>
    </row>
    <row r="158" spans="3:20" x14ac:dyDescent="0.2">
      <c r="C158" s="579" t="s">
        <v>2054</v>
      </c>
      <c r="D158" s="168"/>
      <c r="E158" s="222">
        <v>842779</v>
      </c>
      <c r="F158" s="233" t="s">
        <v>1955</v>
      </c>
      <c r="G158" s="165">
        <v>12</v>
      </c>
      <c r="H158" s="159" t="s">
        <v>77</v>
      </c>
      <c r="I158" s="11"/>
      <c r="J158" s="8"/>
      <c r="K158" s="17"/>
      <c r="L158" s="260">
        <v>31.11</v>
      </c>
      <c r="M158" s="220">
        <f t="shared" si="30"/>
        <v>0</v>
      </c>
      <c r="N158" s="183">
        <f t="shared" si="33"/>
        <v>2.5924999999999998</v>
      </c>
      <c r="O158" s="184">
        <f t="shared" si="43"/>
        <v>0.22554749999999996</v>
      </c>
      <c r="P158" s="184">
        <f t="shared" si="40"/>
        <v>2.8180474999999996</v>
      </c>
      <c r="Q158" s="207">
        <v>27.8</v>
      </c>
      <c r="R158" s="184">
        <f t="shared" si="41"/>
        <v>25.27272727272727</v>
      </c>
      <c r="S158" s="184">
        <f t="shared" si="42"/>
        <v>22.454679772727271</v>
      </c>
      <c r="T158" s="171"/>
    </row>
    <row r="159" spans="3:20" x14ac:dyDescent="0.2">
      <c r="C159" s="579" t="s">
        <v>2055</v>
      </c>
      <c r="D159" s="168"/>
      <c r="E159" s="222">
        <v>842753</v>
      </c>
      <c r="F159" s="233" t="s">
        <v>1955</v>
      </c>
      <c r="G159" s="165">
        <v>12</v>
      </c>
      <c r="H159" s="159" t="s">
        <v>77</v>
      </c>
      <c r="I159" s="11"/>
      <c r="J159" s="8"/>
      <c r="K159" s="17"/>
      <c r="L159" s="260">
        <v>31.11</v>
      </c>
      <c r="M159" s="220">
        <f t="shared" si="30"/>
        <v>0</v>
      </c>
      <c r="N159" s="183">
        <f t="shared" si="33"/>
        <v>2.5924999999999998</v>
      </c>
      <c r="O159" s="184">
        <f t="shared" si="43"/>
        <v>0.22554749999999996</v>
      </c>
      <c r="P159" s="184">
        <f t="shared" si="40"/>
        <v>2.8180474999999996</v>
      </c>
      <c r="Q159" s="207">
        <v>28.8</v>
      </c>
      <c r="R159" s="184">
        <f t="shared" si="41"/>
        <v>26.18181818181818</v>
      </c>
      <c r="S159" s="184">
        <f t="shared" si="42"/>
        <v>23.363770681818181</v>
      </c>
      <c r="T159" s="171"/>
    </row>
    <row r="160" spans="3:20" x14ac:dyDescent="0.2">
      <c r="C160" s="579" t="s">
        <v>2056</v>
      </c>
      <c r="D160" s="168"/>
      <c r="E160" s="222">
        <v>878694</v>
      </c>
      <c r="F160" s="233" t="s">
        <v>2057</v>
      </c>
      <c r="G160" s="165">
        <v>12</v>
      </c>
      <c r="H160" s="159" t="s">
        <v>77</v>
      </c>
      <c r="I160" s="11"/>
      <c r="J160" s="8"/>
      <c r="K160" s="17"/>
      <c r="L160" s="260">
        <v>31.11</v>
      </c>
      <c r="M160" s="220">
        <f t="shared" si="30"/>
        <v>0</v>
      </c>
      <c r="N160" s="183">
        <f t="shared" si="33"/>
        <v>2.5924999999999998</v>
      </c>
      <c r="O160" s="184">
        <f t="shared" si="43"/>
        <v>0.22554749999999996</v>
      </c>
      <c r="P160" s="184">
        <f t="shared" si="40"/>
        <v>2.8180474999999996</v>
      </c>
      <c r="Q160" s="207">
        <v>29.8</v>
      </c>
      <c r="R160" s="184">
        <f t="shared" si="41"/>
        <v>27.09090909090909</v>
      </c>
      <c r="S160" s="184">
        <f t="shared" si="42"/>
        <v>24.272861590909091</v>
      </c>
      <c r="T160" s="171"/>
    </row>
    <row r="161" spans="3:20" x14ac:dyDescent="0.2">
      <c r="C161" s="579" t="s">
        <v>2058</v>
      </c>
      <c r="D161" s="168"/>
      <c r="E161" s="222">
        <v>842761</v>
      </c>
      <c r="F161" s="233" t="s">
        <v>2057</v>
      </c>
      <c r="G161" s="165">
        <v>12</v>
      </c>
      <c r="H161" s="159" t="s">
        <v>77</v>
      </c>
      <c r="I161" s="11"/>
      <c r="J161" s="8"/>
      <c r="K161" s="17"/>
      <c r="L161" s="260">
        <v>31.11</v>
      </c>
      <c r="M161" s="220">
        <f t="shared" si="30"/>
        <v>0</v>
      </c>
      <c r="N161" s="183">
        <f t="shared" si="33"/>
        <v>2.5924999999999998</v>
      </c>
      <c r="O161" s="184">
        <f t="shared" si="43"/>
        <v>0.22554749999999996</v>
      </c>
      <c r="P161" s="184">
        <f t="shared" si="40"/>
        <v>2.8180474999999996</v>
      </c>
      <c r="Q161" s="207">
        <v>30.8</v>
      </c>
      <c r="R161" s="184">
        <f t="shared" si="41"/>
        <v>28</v>
      </c>
      <c r="S161" s="184">
        <f t="shared" si="42"/>
        <v>25.181952500000001</v>
      </c>
      <c r="T161" s="171"/>
    </row>
    <row r="162" spans="3:20" x14ac:dyDescent="0.2">
      <c r="C162" s="579" t="s">
        <v>2059</v>
      </c>
      <c r="D162" s="168"/>
      <c r="E162" s="222">
        <v>43281</v>
      </c>
      <c r="F162" s="233" t="s">
        <v>2060</v>
      </c>
      <c r="G162" s="165">
        <v>12</v>
      </c>
      <c r="H162" s="159" t="s">
        <v>77</v>
      </c>
      <c r="I162" s="11"/>
      <c r="J162" s="8"/>
      <c r="K162" s="17"/>
      <c r="L162" s="260">
        <v>35.950000000000003</v>
      </c>
      <c r="M162" s="220">
        <f t="shared" si="30"/>
        <v>0</v>
      </c>
      <c r="N162" s="183">
        <f t="shared" si="33"/>
        <v>2.9958333333333336</v>
      </c>
      <c r="O162" s="184">
        <f t="shared" si="43"/>
        <v>0.26063750000000002</v>
      </c>
      <c r="P162" s="184">
        <f t="shared" si="40"/>
        <v>3.2564708333333336</v>
      </c>
      <c r="Q162" s="207">
        <v>31.8</v>
      </c>
      <c r="R162" s="184">
        <f t="shared" si="41"/>
        <v>28.909090909090907</v>
      </c>
      <c r="S162" s="184">
        <f t="shared" si="42"/>
        <v>25.652620075757572</v>
      </c>
      <c r="T162" s="171"/>
    </row>
    <row r="163" spans="3:20" x14ac:dyDescent="0.2">
      <c r="C163" s="579" t="s">
        <v>2061</v>
      </c>
      <c r="D163" s="168"/>
      <c r="E163" s="222">
        <v>43299</v>
      </c>
      <c r="F163" s="233" t="s">
        <v>2062</v>
      </c>
      <c r="G163" s="165">
        <v>12</v>
      </c>
      <c r="H163" s="159" t="s">
        <v>77</v>
      </c>
      <c r="I163" s="11"/>
      <c r="J163" s="8"/>
      <c r="K163" s="17"/>
      <c r="L163" s="260">
        <v>35.950000000000003</v>
      </c>
      <c r="M163" s="220">
        <f t="shared" si="30"/>
        <v>0</v>
      </c>
      <c r="N163" s="183">
        <f t="shared" si="33"/>
        <v>2.9958333333333336</v>
      </c>
      <c r="O163" s="184">
        <f t="shared" si="43"/>
        <v>0.26063750000000002</v>
      </c>
      <c r="P163" s="184">
        <f t="shared" si="40"/>
        <v>3.2564708333333336</v>
      </c>
      <c r="Q163" s="207">
        <v>32.799999999999997</v>
      </c>
      <c r="R163" s="184">
        <f t="shared" si="41"/>
        <v>29.818181818181813</v>
      </c>
      <c r="S163" s="184">
        <f t="shared" si="42"/>
        <v>26.561710984848478</v>
      </c>
      <c r="T163" s="171"/>
    </row>
    <row r="164" spans="3:20" x14ac:dyDescent="0.2">
      <c r="C164" s="579" t="s">
        <v>2063</v>
      </c>
      <c r="D164" s="168"/>
      <c r="E164" s="222">
        <v>842672</v>
      </c>
      <c r="F164" s="233" t="s">
        <v>2064</v>
      </c>
      <c r="G164" s="165">
        <v>18</v>
      </c>
      <c r="H164" s="159" t="s">
        <v>77</v>
      </c>
      <c r="I164" s="11"/>
      <c r="J164" s="8"/>
      <c r="K164" s="17"/>
      <c r="L164" s="260">
        <v>48.24</v>
      </c>
      <c r="M164" s="220">
        <f t="shared" si="30"/>
        <v>0</v>
      </c>
      <c r="N164" s="183">
        <f t="shared" si="33"/>
        <v>2.68</v>
      </c>
      <c r="O164" s="184">
        <f t="shared" si="43"/>
        <v>0.23316000000000001</v>
      </c>
      <c r="P164" s="184">
        <f t="shared" si="40"/>
        <v>2.91316</v>
      </c>
      <c r="Q164" s="207">
        <v>33.799999999999997</v>
      </c>
      <c r="R164" s="184">
        <f t="shared" si="41"/>
        <v>30.727272727272723</v>
      </c>
      <c r="S164" s="184">
        <f t="shared" si="42"/>
        <v>27.814112727272722</v>
      </c>
      <c r="T164" s="171"/>
    </row>
    <row r="165" spans="3:20" x14ac:dyDescent="0.2">
      <c r="C165" s="579" t="s">
        <v>2065</v>
      </c>
      <c r="D165" s="168"/>
      <c r="E165" s="222">
        <v>842664</v>
      </c>
      <c r="F165" s="233" t="s">
        <v>2064</v>
      </c>
      <c r="G165" s="165">
        <v>18</v>
      </c>
      <c r="H165" s="159" t="s">
        <v>77</v>
      </c>
      <c r="I165" s="11"/>
      <c r="J165" s="8"/>
      <c r="K165" s="17"/>
      <c r="L165" s="260">
        <v>48.24</v>
      </c>
      <c r="M165" s="220">
        <f t="shared" si="30"/>
        <v>0</v>
      </c>
      <c r="N165" s="183">
        <f t="shared" si="33"/>
        <v>2.68</v>
      </c>
      <c r="O165" s="184">
        <f t="shared" si="43"/>
        <v>0.23316000000000001</v>
      </c>
      <c r="P165" s="184">
        <f t="shared" si="40"/>
        <v>2.91316</v>
      </c>
      <c r="Q165" s="207">
        <v>34.799999999999997</v>
      </c>
      <c r="R165" s="184">
        <f t="shared" si="41"/>
        <v>31.63636363636363</v>
      </c>
      <c r="S165" s="184">
        <f t="shared" si="42"/>
        <v>28.723203636363628</v>
      </c>
      <c r="T165" s="171"/>
    </row>
    <row r="166" spans="3:20" x14ac:dyDescent="0.2">
      <c r="C166" s="579" t="s">
        <v>2066</v>
      </c>
      <c r="D166" s="168"/>
      <c r="E166" s="222">
        <v>842648</v>
      </c>
      <c r="F166" s="233" t="s">
        <v>2064</v>
      </c>
      <c r="G166" s="165">
        <v>18</v>
      </c>
      <c r="H166" s="159" t="s">
        <v>77</v>
      </c>
      <c r="I166" s="11"/>
      <c r="J166" s="8"/>
      <c r="K166" s="17"/>
      <c r="L166" s="260">
        <v>48.24</v>
      </c>
      <c r="M166" s="220">
        <f t="shared" si="30"/>
        <v>0</v>
      </c>
      <c r="N166" s="183">
        <f t="shared" si="33"/>
        <v>2.68</v>
      </c>
      <c r="O166" s="184">
        <f t="shared" si="43"/>
        <v>0.23316000000000001</v>
      </c>
      <c r="P166" s="184">
        <f t="shared" si="40"/>
        <v>2.91316</v>
      </c>
      <c r="Q166" s="207">
        <v>35.799999999999997</v>
      </c>
      <c r="R166" s="184">
        <f t="shared" si="41"/>
        <v>32.54545454545454</v>
      </c>
      <c r="S166" s="184">
        <f t="shared" si="42"/>
        <v>29.632294545454538</v>
      </c>
      <c r="T166" s="171"/>
    </row>
    <row r="167" spans="3:20" x14ac:dyDescent="0.2">
      <c r="C167" s="579" t="s">
        <v>2067</v>
      </c>
      <c r="D167" s="168"/>
      <c r="E167" s="222">
        <v>777071</v>
      </c>
      <c r="F167" s="233" t="s">
        <v>2068</v>
      </c>
      <c r="G167" s="165">
        <v>23</v>
      </c>
      <c r="H167" s="159" t="s">
        <v>77</v>
      </c>
      <c r="I167" s="11"/>
      <c r="J167" s="8"/>
      <c r="K167" s="17"/>
      <c r="L167" s="260">
        <v>51.78</v>
      </c>
      <c r="M167" s="220">
        <f t="shared" si="30"/>
        <v>0</v>
      </c>
      <c r="N167" s="183">
        <f t="shared" si="33"/>
        <v>2.2513043478260868</v>
      </c>
      <c r="O167" s="184">
        <f t="shared" si="43"/>
        <v>0.19586347826086953</v>
      </c>
      <c r="P167" s="184">
        <f t="shared" si="40"/>
        <v>2.4471678260869565</v>
      </c>
      <c r="Q167" s="207">
        <v>36.799999999999997</v>
      </c>
      <c r="R167" s="184">
        <f t="shared" si="41"/>
        <v>33.454545454545446</v>
      </c>
      <c r="S167" s="184">
        <f t="shared" si="42"/>
        <v>31.007377628458489</v>
      </c>
      <c r="T167" s="171"/>
    </row>
    <row r="168" spans="3:20" x14ac:dyDescent="0.2">
      <c r="C168" s="579" t="s">
        <v>2069</v>
      </c>
      <c r="D168" s="168"/>
      <c r="E168" s="222">
        <v>777063</v>
      </c>
      <c r="F168" s="233" t="s">
        <v>2068</v>
      </c>
      <c r="G168" s="165">
        <v>23</v>
      </c>
      <c r="H168" s="159" t="s">
        <v>77</v>
      </c>
      <c r="I168" s="11"/>
      <c r="J168" s="8"/>
      <c r="K168" s="17"/>
      <c r="L168" s="260">
        <v>51.78</v>
      </c>
      <c r="M168" s="220">
        <f t="shared" si="30"/>
        <v>0</v>
      </c>
      <c r="N168" s="183">
        <f t="shared" si="33"/>
        <v>2.2513043478260868</v>
      </c>
      <c r="O168" s="184">
        <f t="shared" si="43"/>
        <v>0.19586347826086953</v>
      </c>
      <c r="P168" s="184">
        <f t="shared" si="40"/>
        <v>2.4471678260869565</v>
      </c>
      <c r="Q168" s="207">
        <v>37.799999999999997</v>
      </c>
      <c r="R168" s="184">
        <f t="shared" si="41"/>
        <v>34.36363636363636</v>
      </c>
      <c r="S168" s="184">
        <f t="shared" si="42"/>
        <v>31.916468537549402</v>
      </c>
      <c r="T168" s="171"/>
    </row>
    <row r="169" spans="3:20" x14ac:dyDescent="0.2">
      <c r="C169" s="579" t="s">
        <v>2070</v>
      </c>
      <c r="D169" s="168"/>
      <c r="E169" s="222">
        <v>874302</v>
      </c>
      <c r="F169" s="233" t="s">
        <v>2071</v>
      </c>
      <c r="G169" s="165">
        <v>50</v>
      </c>
      <c r="H169" s="159" t="s">
        <v>77</v>
      </c>
      <c r="I169" s="11"/>
      <c r="J169" s="8"/>
      <c r="K169" s="17"/>
      <c r="L169" s="260">
        <v>59.85</v>
      </c>
      <c r="M169" s="220">
        <f t="shared" si="30"/>
        <v>0</v>
      </c>
      <c r="N169" s="183">
        <f t="shared" si="33"/>
        <v>1.1970000000000001</v>
      </c>
      <c r="O169" s="184">
        <f t="shared" si="43"/>
        <v>0.104139</v>
      </c>
      <c r="P169" s="184">
        <f t="shared" si="40"/>
        <v>1.301139</v>
      </c>
      <c r="Q169" s="207">
        <v>38.799999999999997</v>
      </c>
      <c r="R169" s="184">
        <f t="shared" si="41"/>
        <v>35.272727272727266</v>
      </c>
      <c r="S169" s="184">
        <f t="shared" si="42"/>
        <v>33.971588272727267</v>
      </c>
      <c r="T169" s="171"/>
    </row>
    <row r="170" spans="3:20" x14ac:dyDescent="0.2">
      <c r="C170" s="579" t="s">
        <v>2072</v>
      </c>
      <c r="D170" s="168"/>
      <c r="E170" s="222">
        <v>336930</v>
      </c>
      <c r="F170" s="233" t="s">
        <v>2071</v>
      </c>
      <c r="G170" s="165">
        <v>50</v>
      </c>
      <c r="H170" s="159" t="s">
        <v>77</v>
      </c>
      <c r="I170" s="11"/>
      <c r="J170" s="8"/>
      <c r="K170" s="17"/>
      <c r="L170" s="260">
        <v>59.85</v>
      </c>
      <c r="M170" s="220">
        <f t="shared" si="30"/>
        <v>0</v>
      </c>
      <c r="N170" s="183">
        <f t="shared" si="33"/>
        <v>1.1970000000000001</v>
      </c>
      <c r="O170" s="184">
        <f t="shared" si="43"/>
        <v>0.104139</v>
      </c>
      <c r="P170" s="184">
        <f t="shared" si="40"/>
        <v>1.301139</v>
      </c>
      <c r="Q170" s="207">
        <v>39.799999999999997</v>
      </c>
      <c r="R170" s="184">
        <f t="shared" si="41"/>
        <v>36.181818181818173</v>
      </c>
      <c r="S170" s="184">
        <f t="shared" si="42"/>
        <v>34.880679181818174</v>
      </c>
      <c r="T170" s="171"/>
    </row>
    <row r="171" spans="3:20" x14ac:dyDescent="0.2">
      <c r="C171" s="579" t="s">
        <v>2073</v>
      </c>
      <c r="D171" s="168"/>
      <c r="E171" s="222">
        <v>471764</v>
      </c>
      <c r="F171" s="233" t="s">
        <v>2071</v>
      </c>
      <c r="G171" s="165">
        <v>50</v>
      </c>
      <c r="H171" s="159" t="s">
        <v>77</v>
      </c>
      <c r="I171" s="11"/>
      <c r="J171" s="8"/>
      <c r="K171" s="17"/>
      <c r="L171" s="260">
        <v>59.85</v>
      </c>
      <c r="M171" s="220">
        <f t="shared" si="30"/>
        <v>0</v>
      </c>
      <c r="N171" s="183">
        <f t="shared" si="33"/>
        <v>1.1970000000000001</v>
      </c>
      <c r="O171" s="184">
        <f t="shared" si="43"/>
        <v>0.104139</v>
      </c>
      <c r="P171" s="184">
        <f t="shared" si="40"/>
        <v>1.301139</v>
      </c>
      <c r="Q171" s="207">
        <v>40.799999999999997</v>
      </c>
      <c r="R171" s="184">
        <f t="shared" si="41"/>
        <v>37.090909090909086</v>
      </c>
      <c r="S171" s="184">
        <f t="shared" si="42"/>
        <v>35.789770090909087</v>
      </c>
      <c r="T171" s="171"/>
    </row>
    <row r="172" spans="3:20" x14ac:dyDescent="0.2">
      <c r="C172" s="579" t="s">
        <v>2074</v>
      </c>
      <c r="D172" s="168"/>
      <c r="E172" s="222">
        <v>323929</v>
      </c>
      <c r="F172" s="233" t="s">
        <v>2075</v>
      </c>
      <c r="G172" s="165">
        <v>6</v>
      </c>
      <c r="H172" s="159" t="s">
        <v>77</v>
      </c>
      <c r="I172" s="11"/>
      <c r="J172" s="8"/>
      <c r="K172" s="17"/>
      <c r="L172" s="260">
        <v>17.739999999999998</v>
      </c>
      <c r="M172" s="220">
        <f t="shared" si="30"/>
        <v>0</v>
      </c>
      <c r="N172" s="183">
        <f t="shared" si="33"/>
        <v>2.9566666666666666</v>
      </c>
      <c r="O172" s="184">
        <f t="shared" si="43"/>
        <v>0.25722999999999996</v>
      </c>
      <c r="P172" s="184">
        <f t="shared" si="40"/>
        <v>3.2138966666666664</v>
      </c>
      <c r="Q172" s="207">
        <v>41.8</v>
      </c>
      <c r="R172" s="184">
        <f t="shared" si="41"/>
        <v>37.999999999999993</v>
      </c>
      <c r="S172" s="184">
        <f t="shared" si="42"/>
        <v>34.78610333333333</v>
      </c>
      <c r="T172" s="171"/>
    </row>
    <row r="173" spans="3:20" x14ac:dyDescent="0.2">
      <c r="C173" s="579" t="s">
        <v>2076</v>
      </c>
      <c r="D173" s="168"/>
      <c r="E173" s="222">
        <v>25725</v>
      </c>
      <c r="F173" s="233" t="s">
        <v>2075</v>
      </c>
      <c r="G173" s="165">
        <v>6</v>
      </c>
      <c r="H173" s="159" t="s">
        <v>77</v>
      </c>
      <c r="I173" s="11"/>
      <c r="J173" s="8"/>
      <c r="K173" s="17"/>
      <c r="L173" s="260">
        <v>17.739999999999998</v>
      </c>
      <c r="M173" s="220">
        <f t="shared" si="30"/>
        <v>0</v>
      </c>
      <c r="N173" s="183">
        <f t="shared" si="33"/>
        <v>2.9566666666666666</v>
      </c>
      <c r="O173" s="184">
        <f t="shared" si="43"/>
        <v>0.25722999999999996</v>
      </c>
      <c r="P173" s="184">
        <f t="shared" si="40"/>
        <v>3.2138966666666664</v>
      </c>
      <c r="Q173" s="207">
        <v>42.8</v>
      </c>
      <c r="R173" s="184">
        <f t="shared" si="41"/>
        <v>38.909090909090907</v>
      </c>
      <c r="S173" s="184">
        <f t="shared" si="42"/>
        <v>35.695194242424243</v>
      </c>
      <c r="T173" s="171"/>
    </row>
    <row r="174" spans="3:20" x14ac:dyDescent="0.2">
      <c r="C174" s="579" t="s">
        <v>2077</v>
      </c>
      <c r="D174" s="168"/>
      <c r="E174" s="222">
        <v>25686</v>
      </c>
      <c r="F174" s="233" t="s">
        <v>2075</v>
      </c>
      <c r="G174" s="165">
        <v>6</v>
      </c>
      <c r="H174" s="159" t="s">
        <v>77</v>
      </c>
      <c r="I174" s="11"/>
      <c r="J174" s="8"/>
      <c r="K174" s="17"/>
      <c r="L174" s="260">
        <v>17.739999999999998</v>
      </c>
      <c r="M174" s="220">
        <f t="shared" si="30"/>
        <v>0</v>
      </c>
      <c r="N174" s="183">
        <f t="shared" si="33"/>
        <v>2.9566666666666666</v>
      </c>
      <c r="O174" s="184">
        <f t="shared" si="43"/>
        <v>0.25722999999999996</v>
      </c>
      <c r="P174" s="184">
        <f t="shared" si="40"/>
        <v>3.2138966666666664</v>
      </c>
      <c r="Q174" s="207">
        <v>43.8</v>
      </c>
      <c r="R174" s="184">
        <f t="shared" si="41"/>
        <v>39.818181818181813</v>
      </c>
      <c r="S174" s="184">
        <f t="shared" si="42"/>
        <v>36.60428515151515</v>
      </c>
      <c r="T174" s="171"/>
    </row>
    <row r="175" spans="3:20" x14ac:dyDescent="0.2">
      <c r="C175" s="579" t="s">
        <v>2078</v>
      </c>
      <c r="D175" s="168"/>
      <c r="E175" s="222">
        <v>178308</v>
      </c>
      <c r="F175" s="233" t="s">
        <v>2075</v>
      </c>
      <c r="G175" s="165">
        <v>6</v>
      </c>
      <c r="H175" s="159" t="s">
        <v>77</v>
      </c>
      <c r="I175" s="11"/>
      <c r="J175" s="8"/>
      <c r="K175" s="17"/>
      <c r="L175" s="260">
        <v>17.739999999999998</v>
      </c>
      <c r="M175" s="220">
        <f t="shared" si="30"/>
        <v>0</v>
      </c>
      <c r="N175" s="183">
        <f t="shared" si="33"/>
        <v>2.9566666666666666</v>
      </c>
      <c r="O175" s="184">
        <f t="shared" si="43"/>
        <v>0.25722999999999996</v>
      </c>
      <c r="P175" s="184">
        <f t="shared" si="40"/>
        <v>3.2138966666666664</v>
      </c>
      <c r="Q175" s="207">
        <v>44.8</v>
      </c>
      <c r="R175" s="184">
        <f t="shared" si="41"/>
        <v>40.72727272727272</v>
      </c>
      <c r="S175" s="184">
        <f t="shared" si="42"/>
        <v>37.513376060606056</v>
      </c>
      <c r="T175" s="171"/>
    </row>
    <row r="176" spans="3:20" x14ac:dyDescent="0.2">
      <c r="C176" s="579" t="s">
        <v>2079</v>
      </c>
      <c r="D176" s="168"/>
      <c r="E176" s="222">
        <v>686254</v>
      </c>
      <c r="F176" s="233" t="s">
        <v>2080</v>
      </c>
      <c r="G176" s="165">
        <v>60</v>
      </c>
      <c r="H176" s="159" t="s">
        <v>77</v>
      </c>
      <c r="I176" s="11"/>
      <c r="J176" s="8"/>
      <c r="K176" s="17"/>
      <c r="L176" s="260">
        <v>28.33</v>
      </c>
      <c r="M176" s="220">
        <f t="shared" si="30"/>
        <v>0</v>
      </c>
      <c r="N176" s="183">
        <f t="shared" si="33"/>
        <v>0.47216666666666662</v>
      </c>
      <c r="O176" s="184">
        <f t="shared" si="43"/>
        <v>4.107849999999999E-2</v>
      </c>
      <c r="P176" s="184">
        <f t="shared" si="40"/>
        <v>0.51324516666666664</v>
      </c>
      <c r="Q176" s="207">
        <v>45.8</v>
      </c>
      <c r="R176" s="184">
        <f t="shared" si="41"/>
        <v>41.636363636363633</v>
      </c>
      <c r="S176" s="184">
        <f t="shared" si="42"/>
        <v>41.123118469696969</v>
      </c>
      <c r="T176" s="171"/>
    </row>
    <row r="177" spans="3:20" x14ac:dyDescent="0.2">
      <c r="C177" s="579" t="s">
        <v>2081</v>
      </c>
      <c r="D177" s="168"/>
      <c r="E177" s="222">
        <v>18655</v>
      </c>
      <c r="F177" s="233" t="s">
        <v>2080</v>
      </c>
      <c r="G177" s="165">
        <v>60</v>
      </c>
      <c r="H177" s="159" t="s">
        <v>77</v>
      </c>
      <c r="I177" s="11"/>
      <c r="J177" s="8"/>
      <c r="K177" s="17"/>
      <c r="L177" s="260">
        <v>28.33</v>
      </c>
      <c r="M177" s="220">
        <f t="shared" si="30"/>
        <v>0</v>
      </c>
      <c r="N177" s="183">
        <f t="shared" si="33"/>
        <v>0.47216666666666662</v>
      </c>
      <c r="O177" s="184">
        <f t="shared" si="43"/>
        <v>4.107849999999999E-2</v>
      </c>
      <c r="P177" s="184">
        <f t="shared" si="40"/>
        <v>0.51324516666666664</v>
      </c>
      <c r="Q177" s="207">
        <v>46.8</v>
      </c>
      <c r="R177" s="184">
        <f t="shared" si="41"/>
        <v>42.54545454545454</v>
      </c>
      <c r="S177" s="184">
        <f t="shared" si="42"/>
        <v>42.032209378787876</v>
      </c>
      <c r="T177" s="171"/>
    </row>
    <row r="178" spans="3:20" x14ac:dyDescent="0.2">
      <c r="C178" s="579" t="s">
        <v>2082</v>
      </c>
      <c r="D178" s="168"/>
      <c r="E178" s="222">
        <v>385329</v>
      </c>
      <c r="F178" s="233" t="s">
        <v>2080</v>
      </c>
      <c r="G178" s="165">
        <v>60</v>
      </c>
      <c r="H178" s="159" t="s">
        <v>77</v>
      </c>
      <c r="I178" s="11"/>
      <c r="J178" s="8"/>
      <c r="K178" s="17"/>
      <c r="L178" s="260">
        <v>28.33</v>
      </c>
      <c r="M178" s="220">
        <f t="shared" si="30"/>
        <v>0</v>
      </c>
      <c r="N178" s="183">
        <f t="shared" si="33"/>
        <v>0.47216666666666662</v>
      </c>
      <c r="O178" s="184">
        <f t="shared" ref="O178" si="44">N178*$O$12</f>
        <v>4.107849999999999E-2</v>
      </c>
      <c r="P178" s="184">
        <f t="shared" si="40"/>
        <v>0.51324516666666664</v>
      </c>
      <c r="Q178" s="207">
        <v>47.8</v>
      </c>
      <c r="R178" s="184">
        <f t="shared" si="41"/>
        <v>43.454545454545446</v>
      </c>
      <c r="S178" s="184">
        <f t="shared" si="42"/>
        <v>42.941300287878782</v>
      </c>
      <c r="T178" s="171"/>
    </row>
    <row r="179" spans="3:20" x14ac:dyDescent="0.2">
      <c r="C179" s="579"/>
      <c r="D179" s="168"/>
      <c r="E179" s="222"/>
      <c r="F179" s="233"/>
      <c r="G179" s="165"/>
      <c r="H179" s="234"/>
      <c r="I179" s="11"/>
      <c r="J179" s="11"/>
      <c r="K179" s="17"/>
      <c r="L179" s="260"/>
      <c r="M179" s="236"/>
      <c r="N179" s="183"/>
      <c r="O179" s="184"/>
      <c r="P179" s="184"/>
      <c r="Q179" s="207"/>
      <c r="R179" s="184"/>
      <c r="S179" s="184"/>
      <c r="T179" s="171"/>
    </row>
    <row r="180" spans="3:20" ht="17" thickBot="1" x14ac:dyDescent="0.25">
      <c r="C180" s="230"/>
      <c r="D180" s="168"/>
      <c r="E180" s="222"/>
      <c r="F180" s="233"/>
      <c r="G180" s="165"/>
      <c r="H180" s="234"/>
      <c r="I180" s="11"/>
      <c r="J180" s="11"/>
      <c r="K180" s="17"/>
      <c r="L180" s="260"/>
      <c r="M180" s="236"/>
      <c r="N180" s="183"/>
      <c r="O180" s="184"/>
      <c r="P180" s="184"/>
      <c r="Q180" s="207"/>
      <c r="R180" s="184"/>
      <c r="S180" s="184"/>
      <c r="T180" s="171"/>
    </row>
    <row r="181" spans="3:20" ht="17" thickBot="1" x14ac:dyDescent="0.25">
      <c r="C181" s="724"/>
      <c r="D181" s="725"/>
      <c r="E181" s="725"/>
      <c r="F181" s="726"/>
      <c r="G181" s="726"/>
      <c r="H181" s="726"/>
      <c r="I181" s="726"/>
      <c r="J181" s="726"/>
      <c r="K181" s="726"/>
      <c r="L181" s="726"/>
      <c r="M181" s="240">
        <f>SUM(M14:M180)</f>
        <v>0</v>
      </c>
      <c r="N181" s="183"/>
      <c r="O181" s="184">
        <f>N181*$O$12</f>
        <v>0</v>
      </c>
      <c r="P181" s="184">
        <f t="shared" si="28"/>
        <v>0</v>
      </c>
      <c r="Q181" s="207"/>
      <c r="R181" s="184"/>
      <c r="S181" s="184">
        <f t="shared" si="29"/>
        <v>0</v>
      </c>
      <c r="T181" s="171"/>
    </row>
    <row r="182" spans="3:20" ht="24.75" customHeight="1" thickBot="1" x14ac:dyDescent="0.25">
      <c r="C182" s="231" t="s">
        <v>2083</v>
      </c>
      <c r="D182" s="145" t="s">
        <v>1746</v>
      </c>
      <c r="E182" s="146" t="s">
        <v>65</v>
      </c>
      <c r="F182" s="146" t="s">
        <v>66</v>
      </c>
      <c r="G182" s="146" t="s">
        <v>1747</v>
      </c>
      <c r="H182" s="146" t="s">
        <v>1748</v>
      </c>
      <c r="I182" s="76" t="s">
        <v>1749</v>
      </c>
      <c r="J182" s="76" t="s">
        <v>1750</v>
      </c>
      <c r="K182" s="76" t="s">
        <v>1751</v>
      </c>
      <c r="L182" s="77" t="s">
        <v>1752</v>
      </c>
      <c r="M182" s="212" t="s">
        <v>25</v>
      </c>
      <c r="N182" s="425"/>
      <c r="O182" s="427"/>
      <c r="P182" s="427"/>
      <c r="Q182" s="427"/>
      <c r="R182" s="427"/>
      <c r="S182" s="427"/>
      <c r="T182" s="153"/>
    </row>
    <row r="183" spans="3:20" x14ac:dyDescent="0.2">
      <c r="C183" s="246" t="s">
        <v>2084</v>
      </c>
      <c r="D183" s="214">
        <v>93204422</v>
      </c>
      <c r="E183" s="227">
        <v>45589</v>
      </c>
      <c r="F183" s="83" t="s">
        <v>2085</v>
      </c>
      <c r="G183" s="218">
        <v>12</v>
      </c>
      <c r="H183" s="159" t="s">
        <v>77</v>
      </c>
      <c r="I183" s="8"/>
      <c r="J183" s="3"/>
      <c r="K183" s="17"/>
      <c r="L183" s="219">
        <v>63</v>
      </c>
      <c r="M183" s="220">
        <f t="shared" ref="M183" si="45">K183*L183</f>
        <v>0</v>
      </c>
      <c r="N183" s="183">
        <f t="shared" ref="N183:N249" si="46">L183/G183</f>
        <v>5.25</v>
      </c>
      <c r="O183" s="184">
        <f t="shared" ref="O183:O214" si="47">N183*$O$12</f>
        <v>0.45674999999999999</v>
      </c>
      <c r="P183" s="184">
        <f t="shared" si="28"/>
        <v>5.7067499999999995</v>
      </c>
      <c r="Q183" s="207">
        <v>7.3</v>
      </c>
      <c r="R183" s="184">
        <f>Q183/$R$10</f>
        <v>6.6363636363636358</v>
      </c>
      <c r="S183" s="184">
        <f t="shared" si="29"/>
        <v>0.92961363636363625</v>
      </c>
      <c r="T183" s="171">
        <f>S183/R183</f>
        <v>0.14007876712328768</v>
      </c>
    </row>
    <row r="184" spans="3:20" x14ac:dyDescent="0.2">
      <c r="C184" s="213" t="s">
        <v>2086</v>
      </c>
      <c r="D184" s="168">
        <v>9310041901657</v>
      </c>
      <c r="E184" s="222">
        <v>986379</v>
      </c>
      <c r="F184" s="83" t="s">
        <v>2087</v>
      </c>
      <c r="G184" s="218">
        <v>12</v>
      </c>
      <c r="H184" s="159" t="s">
        <v>77</v>
      </c>
      <c r="I184" s="8"/>
      <c r="J184" s="3"/>
      <c r="K184" s="17"/>
      <c r="L184" s="219">
        <v>39.130000000000003</v>
      </c>
      <c r="M184" s="220">
        <f t="shared" si="30"/>
        <v>0</v>
      </c>
      <c r="N184" s="183">
        <f t="shared" si="46"/>
        <v>3.2608333333333337</v>
      </c>
      <c r="O184" s="184">
        <f t="shared" si="47"/>
        <v>0.28369250000000001</v>
      </c>
      <c r="P184" s="184">
        <f t="shared" si="28"/>
        <v>3.5445258333333336</v>
      </c>
      <c r="Q184" s="207">
        <v>4.8</v>
      </c>
      <c r="R184" s="184">
        <f t="shared" si="34"/>
        <v>4.3636363636363633</v>
      </c>
      <c r="S184" s="184">
        <f t="shared" si="29"/>
        <v>0.81911053030302972</v>
      </c>
      <c r="T184" s="171">
        <f t="shared" si="35"/>
        <v>0.18771282986111099</v>
      </c>
    </row>
    <row r="185" spans="3:20" x14ac:dyDescent="0.2">
      <c r="C185" s="221" t="s">
        <v>2088</v>
      </c>
      <c r="D185" s="168">
        <v>9310160820136</v>
      </c>
      <c r="E185" s="222">
        <v>490776</v>
      </c>
      <c r="F185" s="89" t="s">
        <v>2089</v>
      </c>
      <c r="G185" s="106">
        <v>10</v>
      </c>
      <c r="H185" s="159" t="s">
        <v>77</v>
      </c>
      <c r="I185" s="8"/>
      <c r="J185" s="3"/>
      <c r="K185" s="17"/>
      <c r="L185" s="219">
        <v>86.04</v>
      </c>
      <c r="M185" s="220">
        <f t="shared" si="30"/>
        <v>0</v>
      </c>
      <c r="N185" s="183">
        <f t="shared" si="46"/>
        <v>8.604000000000001</v>
      </c>
      <c r="O185" s="184">
        <f t="shared" si="47"/>
        <v>0.74854799999999999</v>
      </c>
      <c r="P185" s="184">
        <f t="shared" si="28"/>
        <v>9.3525480000000005</v>
      </c>
      <c r="Q185" s="207">
        <v>13</v>
      </c>
      <c r="R185" s="184">
        <f t="shared" si="34"/>
        <v>11.818181818181817</v>
      </c>
      <c r="S185" s="184">
        <f t="shared" si="29"/>
        <v>2.465633818181816</v>
      </c>
      <c r="T185" s="171">
        <f t="shared" si="35"/>
        <v>0.2086305538461537</v>
      </c>
    </row>
    <row r="186" spans="3:20" x14ac:dyDescent="0.2">
      <c r="C186" s="221" t="s">
        <v>2090</v>
      </c>
      <c r="D186" s="168">
        <v>9300655603047</v>
      </c>
      <c r="E186" s="229">
        <v>66302</v>
      </c>
      <c r="F186" s="89" t="s">
        <v>1892</v>
      </c>
      <c r="G186" s="106">
        <v>4</v>
      </c>
      <c r="H186" s="159" t="s">
        <v>77</v>
      </c>
      <c r="I186" s="8"/>
      <c r="J186" s="3"/>
      <c r="K186" s="17"/>
      <c r="L186" s="219">
        <v>34.090000000000003</v>
      </c>
      <c r="M186" s="220">
        <f t="shared" si="30"/>
        <v>0</v>
      </c>
      <c r="N186" s="183">
        <f t="shared" si="46"/>
        <v>8.5225000000000009</v>
      </c>
      <c r="O186" s="184">
        <f t="shared" si="47"/>
        <v>0.74145749999999999</v>
      </c>
      <c r="P186" s="184">
        <f t="shared" si="28"/>
        <v>9.2639575000000001</v>
      </c>
      <c r="Q186" s="207">
        <v>12</v>
      </c>
      <c r="R186" s="184">
        <f t="shared" si="34"/>
        <v>10.909090909090908</v>
      </c>
      <c r="S186" s="184">
        <f t="shared" si="29"/>
        <v>1.6451334090909082</v>
      </c>
      <c r="T186" s="171">
        <f t="shared" si="35"/>
        <v>0.15080389583333326</v>
      </c>
    </row>
    <row r="187" spans="3:20" x14ac:dyDescent="0.2">
      <c r="C187" s="221" t="s">
        <v>2091</v>
      </c>
      <c r="D187" s="168">
        <v>9313501031130</v>
      </c>
      <c r="E187" s="229">
        <v>636063</v>
      </c>
      <c r="F187" s="89" t="s">
        <v>2085</v>
      </c>
      <c r="G187" s="106">
        <v>6</v>
      </c>
      <c r="H187" s="159" t="s">
        <v>77</v>
      </c>
      <c r="I187" s="8"/>
      <c r="J187" s="3"/>
      <c r="K187" s="17"/>
      <c r="L187" s="219">
        <v>20.93</v>
      </c>
      <c r="M187" s="220">
        <f t="shared" si="30"/>
        <v>0</v>
      </c>
      <c r="N187" s="183">
        <f t="shared" si="46"/>
        <v>3.4883333333333333</v>
      </c>
      <c r="O187" s="184">
        <f t="shared" si="47"/>
        <v>0.30348499999999995</v>
      </c>
      <c r="P187" s="184">
        <f t="shared" si="28"/>
        <v>3.7918183333333331</v>
      </c>
      <c r="Q187" s="207">
        <v>5</v>
      </c>
      <c r="R187" s="184">
        <f t="shared" si="34"/>
        <v>4.545454545454545</v>
      </c>
      <c r="S187" s="184">
        <f t="shared" si="29"/>
        <v>0.7536362121212119</v>
      </c>
      <c r="T187" s="171">
        <f t="shared" si="35"/>
        <v>0.16579996666666663</v>
      </c>
    </row>
    <row r="188" spans="3:20" x14ac:dyDescent="0.2">
      <c r="C188" s="228" t="s">
        <v>2092</v>
      </c>
      <c r="D188" s="168">
        <v>9300607490015</v>
      </c>
      <c r="E188" s="229">
        <v>387902</v>
      </c>
      <c r="F188" s="89" t="s">
        <v>1928</v>
      </c>
      <c r="G188" s="106">
        <v>6</v>
      </c>
      <c r="H188" s="159" t="s">
        <v>77</v>
      </c>
      <c r="I188" s="8"/>
      <c r="J188" s="3"/>
      <c r="K188" s="17"/>
      <c r="L188" s="219">
        <v>33.85</v>
      </c>
      <c r="M188" s="220">
        <f t="shared" si="30"/>
        <v>0</v>
      </c>
      <c r="N188" s="183">
        <f t="shared" si="46"/>
        <v>5.6416666666666666</v>
      </c>
      <c r="O188" s="184">
        <f t="shared" si="47"/>
        <v>0.49082499999999996</v>
      </c>
      <c r="P188" s="184">
        <f t="shared" si="28"/>
        <v>6.1324916666666667</v>
      </c>
      <c r="Q188" s="207">
        <v>8.4</v>
      </c>
      <c r="R188" s="184">
        <f t="shared" si="34"/>
        <v>7.6363636363636358</v>
      </c>
      <c r="S188" s="184">
        <f t="shared" si="29"/>
        <v>1.5038719696969691</v>
      </c>
      <c r="T188" s="171">
        <f t="shared" si="35"/>
        <v>0.19693561507936502</v>
      </c>
    </row>
    <row r="189" spans="3:20" x14ac:dyDescent="0.2">
      <c r="C189" s="221" t="s">
        <v>2093</v>
      </c>
      <c r="D189" s="168">
        <v>8850006344002</v>
      </c>
      <c r="E189" s="229">
        <v>30429</v>
      </c>
      <c r="F189" s="89" t="s">
        <v>2094</v>
      </c>
      <c r="G189" s="106">
        <v>24</v>
      </c>
      <c r="H189" s="159" t="s">
        <v>77</v>
      </c>
      <c r="I189" s="8"/>
      <c r="J189" s="3"/>
      <c r="K189" s="17"/>
      <c r="L189" s="219">
        <v>43.88</v>
      </c>
      <c r="M189" s="220">
        <f t="shared" si="30"/>
        <v>0</v>
      </c>
      <c r="N189" s="183">
        <f t="shared" si="46"/>
        <v>1.8283333333333334</v>
      </c>
      <c r="O189" s="184">
        <f t="shared" si="47"/>
        <v>0.15906499999999998</v>
      </c>
      <c r="P189" s="184">
        <f t="shared" si="28"/>
        <v>1.9873983333333334</v>
      </c>
      <c r="Q189" s="207">
        <v>2.5</v>
      </c>
      <c r="R189" s="184">
        <f t="shared" si="34"/>
        <v>2.2727272727272725</v>
      </c>
      <c r="S189" s="184">
        <f t="shared" si="29"/>
        <v>0.28532893939393911</v>
      </c>
      <c r="T189" s="171">
        <f t="shared" si="35"/>
        <v>0.12554473333333321</v>
      </c>
    </row>
    <row r="190" spans="3:20" x14ac:dyDescent="0.2">
      <c r="C190" s="221" t="s">
        <v>2095</v>
      </c>
      <c r="D190" s="168">
        <v>8850006344101</v>
      </c>
      <c r="E190" s="229">
        <v>32670</v>
      </c>
      <c r="F190" s="89" t="s">
        <v>2096</v>
      </c>
      <c r="G190" s="106">
        <v>12</v>
      </c>
      <c r="H190" s="159" t="s">
        <v>77</v>
      </c>
      <c r="I190" s="8"/>
      <c r="J190" s="3"/>
      <c r="K190" s="17"/>
      <c r="L190" s="219">
        <v>73.569999999999993</v>
      </c>
      <c r="M190" s="220">
        <f t="shared" si="30"/>
        <v>0</v>
      </c>
      <c r="N190" s="183">
        <f t="shared" si="46"/>
        <v>6.1308333333333325</v>
      </c>
      <c r="O190" s="184">
        <f t="shared" si="47"/>
        <v>0.53338249999999987</v>
      </c>
      <c r="P190" s="184">
        <f t="shared" si="28"/>
        <v>6.6642158333333326</v>
      </c>
      <c r="Q190" s="207">
        <v>9</v>
      </c>
      <c r="R190" s="184">
        <f t="shared" si="34"/>
        <v>8.1818181818181817</v>
      </c>
      <c r="S190" s="184">
        <f t="shared" si="29"/>
        <v>1.5176023484848491</v>
      </c>
      <c r="T190" s="171">
        <f t="shared" si="35"/>
        <v>0.18548473148148156</v>
      </c>
    </row>
    <row r="191" spans="3:20" x14ac:dyDescent="0.2">
      <c r="C191" s="221" t="s">
        <v>2097</v>
      </c>
      <c r="D191" s="168">
        <v>8850006344040</v>
      </c>
      <c r="E191" s="229">
        <v>31145</v>
      </c>
      <c r="F191" s="89" t="s">
        <v>2096</v>
      </c>
      <c r="G191" s="106">
        <v>12</v>
      </c>
      <c r="H191" s="159" t="s">
        <v>77</v>
      </c>
      <c r="I191" s="8"/>
      <c r="J191" s="3"/>
      <c r="K191" s="17"/>
      <c r="L191" s="219">
        <v>48.1</v>
      </c>
      <c r="M191" s="220">
        <f t="shared" si="30"/>
        <v>0</v>
      </c>
      <c r="N191" s="183">
        <f t="shared" si="46"/>
        <v>4.0083333333333337</v>
      </c>
      <c r="O191" s="184">
        <f t="shared" si="47"/>
        <v>0.34872500000000001</v>
      </c>
      <c r="P191" s="184">
        <f t="shared" si="28"/>
        <v>4.3570583333333337</v>
      </c>
      <c r="Q191" s="207">
        <v>5.5</v>
      </c>
      <c r="R191" s="184">
        <f t="shared" si="34"/>
        <v>5</v>
      </c>
      <c r="S191" s="184">
        <f t="shared" si="29"/>
        <v>0.6429416666666663</v>
      </c>
      <c r="T191" s="171">
        <f t="shared" si="35"/>
        <v>0.12858833333333325</v>
      </c>
    </row>
    <row r="192" spans="3:20" x14ac:dyDescent="0.2">
      <c r="C192" s="221" t="s">
        <v>2098</v>
      </c>
      <c r="D192" s="168">
        <v>9300632066025</v>
      </c>
      <c r="E192" s="229">
        <v>440315</v>
      </c>
      <c r="F192" s="89" t="s">
        <v>2099</v>
      </c>
      <c r="G192" s="106">
        <v>12</v>
      </c>
      <c r="H192" s="159" t="s">
        <v>77</v>
      </c>
      <c r="I192" s="8"/>
      <c r="J192" s="3"/>
      <c r="K192" s="17"/>
      <c r="L192" s="219">
        <v>27.48</v>
      </c>
      <c r="M192" s="220">
        <f t="shared" si="30"/>
        <v>0</v>
      </c>
      <c r="N192" s="183">
        <f t="shared" si="46"/>
        <v>2.29</v>
      </c>
      <c r="O192" s="184">
        <f t="shared" si="47"/>
        <v>0.19922999999999999</v>
      </c>
      <c r="P192" s="184">
        <f t="shared" si="28"/>
        <v>2.4892300000000001</v>
      </c>
      <c r="Q192" s="207">
        <v>3.8</v>
      </c>
      <c r="R192" s="184">
        <f t="shared" si="34"/>
        <v>3.4545454545454541</v>
      </c>
      <c r="S192" s="184">
        <f t="shared" si="29"/>
        <v>0.96531545454545409</v>
      </c>
      <c r="T192" s="171">
        <f t="shared" si="35"/>
        <v>0.27943342105263147</v>
      </c>
    </row>
    <row r="193" spans="3:20" x14ac:dyDescent="0.2">
      <c r="C193" s="221" t="s">
        <v>2098</v>
      </c>
      <c r="D193" s="168">
        <v>8850006323373</v>
      </c>
      <c r="E193" s="229">
        <v>3838</v>
      </c>
      <c r="F193" s="89" t="s">
        <v>2100</v>
      </c>
      <c r="G193" s="106">
        <v>12</v>
      </c>
      <c r="H193" s="159" t="s">
        <v>77</v>
      </c>
      <c r="I193" s="8"/>
      <c r="J193" s="3"/>
      <c r="K193" s="17"/>
      <c r="L193" s="219">
        <v>37.75</v>
      </c>
      <c r="M193" s="220">
        <f t="shared" si="30"/>
        <v>0</v>
      </c>
      <c r="N193" s="183">
        <f t="shared" si="46"/>
        <v>3.1458333333333335</v>
      </c>
      <c r="O193" s="184">
        <f t="shared" si="47"/>
        <v>0.27368749999999997</v>
      </c>
      <c r="P193" s="184">
        <f t="shared" si="28"/>
        <v>3.4195208333333333</v>
      </c>
      <c r="Q193" s="207">
        <v>4.5</v>
      </c>
      <c r="R193" s="184">
        <f t="shared" si="34"/>
        <v>4.0909090909090908</v>
      </c>
      <c r="S193" s="184">
        <f t="shared" si="29"/>
        <v>0.67138825757575749</v>
      </c>
      <c r="T193" s="171">
        <f t="shared" si="35"/>
        <v>0.1641171296296296</v>
      </c>
    </row>
    <row r="194" spans="3:20" x14ac:dyDescent="0.2">
      <c r="C194" s="221" t="s">
        <v>2101</v>
      </c>
      <c r="D194" s="168">
        <v>6001067004981</v>
      </c>
      <c r="E194" s="229">
        <v>484589</v>
      </c>
      <c r="F194" s="89" t="s">
        <v>2102</v>
      </c>
      <c r="G194" s="106">
        <v>8</v>
      </c>
      <c r="H194" s="159" t="s">
        <v>77</v>
      </c>
      <c r="I194" s="8"/>
      <c r="J194" s="3"/>
      <c r="K194" s="17"/>
      <c r="L194" s="219">
        <v>18.8</v>
      </c>
      <c r="M194" s="220">
        <f t="shared" si="30"/>
        <v>0</v>
      </c>
      <c r="N194" s="183">
        <f t="shared" si="46"/>
        <v>2.35</v>
      </c>
      <c r="O194" s="184">
        <f t="shared" si="47"/>
        <v>0.20444999999999999</v>
      </c>
      <c r="P194" s="184">
        <f t="shared" si="28"/>
        <v>2.5544500000000001</v>
      </c>
      <c r="Q194" s="207">
        <v>3.5</v>
      </c>
      <c r="R194" s="184">
        <f t="shared" si="34"/>
        <v>3.1818181818181817</v>
      </c>
      <c r="S194" s="184">
        <f t="shared" si="29"/>
        <v>0.62736818181818155</v>
      </c>
      <c r="T194" s="171">
        <f t="shared" si="35"/>
        <v>0.19717285714285707</v>
      </c>
    </row>
    <row r="195" spans="3:20" x14ac:dyDescent="0.2">
      <c r="C195" s="221" t="s">
        <v>2103</v>
      </c>
      <c r="D195" s="168">
        <v>6001067004998</v>
      </c>
      <c r="E195" s="229">
        <v>644197</v>
      </c>
      <c r="F195" s="89" t="s">
        <v>2102</v>
      </c>
      <c r="G195" s="106">
        <v>8</v>
      </c>
      <c r="H195" s="159" t="s">
        <v>77</v>
      </c>
      <c r="I195" s="8"/>
      <c r="J195" s="3"/>
      <c r="K195" s="17"/>
      <c r="L195" s="219">
        <v>18.8</v>
      </c>
      <c r="M195" s="220">
        <f t="shared" si="30"/>
        <v>0</v>
      </c>
      <c r="N195" s="183">
        <f t="shared" si="46"/>
        <v>2.35</v>
      </c>
      <c r="O195" s="184">
        <f t="shared" si="47"/>
        <v>0.20444999999999999</v>
      </c>
      <c r="P195" s="184">
        <f t="shared" si="28"/>
        <v>2.5544500000000001</v>
      </c>
      <c r="Q195" s="207">
        <v>3.5</v>
      </c>
      <c r="R195" s="184">
        <f t="shared" si="34"/>
        <v>3.1818181818181817</v>
      </c>
      <c r="S195" s="184">
        <f t="shared" si="29"/>
        <v>0.62736818181818155</v>
      </c>
      <c r="T195" s="171">
        <f t="shared" si="35"/>
        <v>0.19717285714285707</v>
      </c>
    </row>
    <row r="196" spans="3:20" x14ac:dyDescent="0.2">
      <c r="C196" s="221" t="s">
        <v>2104</v>
      </c>
      <c r="D196" s="168">
        <v>9300632001309</v>
      </c>
      <c r="E196" s="229">
        <v>388660</v>
      </c>
      <c r="F196" s="89" t="s">
        <v>223</v>
      </c>
      <c r="G196" s="106">
        <v>8</v>
      </c>
      <c r="H196" s="159" t="s">
        <v>77</v>
      </c>
      <c r="I196" s="8"/>
      <c r="J196" s="3"/>
      <c r="K196" s="17"/>
      <c r="L196" s="219">
        <v>18.87</v>
      </c>
      <c r="M196" s="220">
        <f t="shared" si="30"/>
        <v>0</v>
      </c>
      <c r="N196" s="183">
        <f t="shared" si="46"/>
        <v>2.3587500000000001</v>
      </c>
      <c r="O196" s="184">
        <f t="shared" si="47"/>
        <v>0.20521124999999998</v>
      </c>
      <c r="P196" s="184">
        <f t="shared" si="28"/>
        <v>2.5639612500000002</v>
      </c>
      <c r="Q196" s="207">
        <v>3.5</v>
      </c>
      <c r="R196" s="184">
        <f t="shared" si="34"/>
        <v>3.1818181818181817</v>
      </c>
      <c r="S196" s="184">
        <f t="shared" si="29"/>
        <v>0.61785693181818147</v>
      </c>
      <c r="T196" s="171">
        <f t="shared" si="35"/>
        <v>0.19418360714285704</v>
      </c>
    </row>
    <row r="197" spans="3:20" x14ac:dyDescent="0.2">
      <c r="C197" s="221" t="s">
        <v>2105</v>
      </c>
      <c r="D197" s="168">
        <v>9314807008567</v>
      </c>
      <c r="E197" s="229">
        <v>70055</v>
      </c>
      <c r="F197" s="89" t="s">
        <v>223</v>
      </c>
      <c r="G197" s="106">
        <v>3</v>
      </c>
      <c r="H197" s="159" t="s">
        <v>77</v>
      </c>
      <c r="I197" s="8"/>
      <c r="J197" s="3"/>
      <c r="K197" s="17"/>
      <c r="L197" s="219">
        <v>39.44</v>
      </c>
      <c r="M197" s="220">
        <f t="shared" si="30"/>
        <v>0</v>
      </c>
      <c r="N197" s="183">
        <f t="shared" si="46"/>
        <v>13.146666666666667</v>
      </c>
      <c r="O197" s="184">
        <f t="shared" si="47"/>
        <v>1.1437599999999999</v>
      </c>
      <c r="P197" s="184">
        <f t="shared" si="28"/>
        <v>14.290426666666667</v>
      </c>
      <c r="Q197" s="207">
        <v>18.5</v>
      </c>
      <c r="R197" s="184">
        <f t="shared" si="34"/>
        <v>16.818181818181817</v>
      </c>
      <c r="S197" s="184">
        <f t="shared" si="29"/>
        <v>2.5277551515151497</v>
      </c>
      <c r="T197" s="171">
        <f t="shared" si="35"/>
        <v>0.15029895495495485</v>
      </c>
    </row>
    <row r="198" spans="3:20" x14ac:dyDescent="0.2">
      <c r="C198" s="221" t="s">
        <v>2106</v>
      </c>
      <c r="D198" s="168">
        <v>9300627503320</v>
      </c>
      <c r="E198" s="229">
        <v>366634</v>
      </c>
      <c r="F198" s="89" t="s">
        <v>1928</v>
      </c>
      <c r="G198" s="106">
        <v>12</v>
      </c>
      <c r="H198" s="159" t="s">
        <v>77</v>
      </c>
      <c r="I198" s="8"/>
      <c r="J198" s="3"/>
      <c r="K198" s="17"/>
      <c r="L198" s="219">
        <v>51.05</v>
      </c>
      <c r="M198" s="220">
        <f t="shared" si="30"/>
        <v>0</v>
      </c>
      <c r="N198" s="183">
        <f t="shared" si="46"/>
        <v>4.2541666666666664</v>
      </c>
      <c r="O198" s="184">
        <f t="shared" si="47"/>
        <v>0.37011249999999996</v>
      </c>
      <c r="P198" s="184">
        <f t="shared" si="28"/>
        <v>4.6242791666666667</v>
      </c>
      <c r="Q198" s="207">
        <v>6.3</v>
      </c>
      <c r="R198" s="184">
        <f t="shared" si="34"/>
        <v>5.7272727272727266</v>
      </c>
      <c r="S198" s="184">
        <f t="shared" si="29"/>
        <v>1.1029935606060599</v>
      </c>
      <c r="T198" s="171">
        <f t="shared" si="35"/>
        <v>0.19258617724867716</v>
      </c>
    </row>
    <row r="199" spans="3:20" x14ac:dyDescent="0.2">
      <c r="C199" s="221" t="s">
        <v>2107</v>
      </c>
      <c r="D199" s="168">
        <v>7702018038183</v>
      </c>
      <c r="E199" s="229">
        <v>55377</v>
      </c>
      <c r="F199" s="89" t="s">
        <v>2108</v>
      </c>
      <c r="G199" s="106">
        <v>6</v>
      </c>
      <c r="H199" s="159" t="s">
        <v>77</v>
      </c>
      <c r="I199" s="8"/>
      <c r="J199" s="3"/>
      <c r="K199" s="17"/>
      <c r="L199" s="219">
        <v>31.33</v>
      </c>
      <c r="M199" s="220">
        <f t="shared" si="30"/>
        <v>0</v>
      </c>
      <c r="N199" s="183">
        <f t="shared" si="46"/>
        <v>5.2216666666666667</v>
      </c>
      <c r="O199" s="184">
        <f t="shared" si="47"/>
        <v>0.45428499999999999</v>
      </c>
      <c r="P199" s="184">
        <f t="shared" si="28"/>
        <v>5.6759516666666663</v>
      </c>
      <c r="Q199" s="207">
        <v>8</v>
      </c>
      <c r="R199" s="184">
        <f t="shared" si="34"/>
        <v>7.2727272727272725</v>
      </c>
      <c r="S199" s="184">
        <f t="shared" si="29"/>
        <v>1.5967756060606062</v>
      </c>
      <c r="T199" s="171">
        <f t="shared" si="35"/>
        <v>0.21955664583333337</v>
      </c>
    </row>
    <row r="200" spans="3:20" x14ac:dyDescent="0.2">
      <c r="C200" s="221" t="s">
        <v>2109</v>
      </c>
      <c r="D200" s="168">
        <v>4902430924689</v>
      </c>
      <c r="E200" s="229">
        <v>903669</v>
      </c>
      <c r="F200" s="89" t="s">
        <v>2110</v>
      </c>
      <c r="G200" s="106">
        <v>6</v>
      </c>
      <c r="H200" s="159" t="s">
        <v>77</v>
      </c>
      <c r="I200" s="8"/>
      <c r="J200" s="3"/>
      <c r="K200" s="17"/>
      <c r="L200" s="219">
        <v>115.28</v>
      </c>
      <c r="M200" s="220">
        <f t="shared" si="30"/>
        <v>0</v>
      </c>
      <c r="N200" s="183">
        <f t="shared" si="46"/>
        <v>19.213333333333335</v>
      </c>
      <c r="O200" s="184">
        <f t="shared" si="47"/>
        <v>1.6715599999999999</v>
      </c>
      <c r="P200" s="184">
        <f t="shared" si="28"/>
        <v>20.884893333333334</v>
      </c>
      <c r="Q200" s="207">
        <v>27.5</v>
      </c>
      <c r="R200" s="184">
        <f t="shared" si="34"/>
        <v>24.999999999999996</v>
      </c>
      <c r="S200" s="184">
        <f t="shared" si="29"/>
        <v>4.1151066666666622</v>
      </c>
      <c r="T200" s="171">
        <f t="shared" si="35"/>
        <v>0.16460426666666653</v>
      </c>
    </row>
    <row r="201" spans="3:20" x14ac:dyDescent="0.2">
      <c r="C201" s="228" t="s">
        <v>2111</v>
      </c>
      <c r="D201" s="168">
        <v>3014260223007</v>
      </c>
      <c r="E201" s="229">
        <v>473164</v>
      </c>
      <c r="F201" s="89" t="s">
        <v>2112</v>
      </c>
      <c r="G201" s="106">
        <v>6</v>
      </c>
      <c r="H201" s="159" t="s">
        <v>77</v>
      </c>
      <c r="I201" s="8"/>
      <c r="J201" s="3"/>
      <c r="K201" s="17"/>
      <c r="L201" s="219">
        <v>33.99</v>
      </c>
      <c r="M201" s="220">
        <f t="shared" si="30"/>
        <v>0</v>
      </c>
      <c r="N201" s="183">
        <f t="shared" si="46"/>
        <v>5.665</v>
      </c>
      <c r="O201" s="184">
        <f t="shared" si="47"/>
        <v>0.49285499999999999</v>
      </c>
      <c r="P201" s="184">
        <f t="shared" si="28"/>
        <v>6.1578549999999996</v>
      </c>
      <c r="Q201" s="207">
        <v>8</v>
      </c>
      <c r="R201" s="184">
        <f t="shared" si="34"/>
        <v>7.2727272727272725</v>
      </c>
      <c r="S201" s="184">
        <f t="shared" si="29"/>
        <v>1.1148722727272729</v>
      </c>
      <c r="T201" s="171">
        <f t="shared" si="35"/>
        <v>0.15329493750000003</v>
      </c>
    </row>
    <row r="202" spans="3:20" x14ac:dyDescent="0.2">
      <c r="C202" s="228" t="s">
        <v>2113</v>
      </c>
      <c r="D202" s="168">
        <v>9300627050183</v>
      </c>
      <c r="E202" s="229">
        <v>360963</v>
      </c>
      <c r="F202" s="89" t="s">
        <v>2114</v>
      </c>
      <c r="G202" s="106">
        <v>6</v>
      </c>
      <c r="H202" s="159" t="s">
        <v>77</v>
      </c>
      <c r="I202" s="8"/>
      <c r="J202" s="3"/>
      <c r="K202" s="17"/>
      <c r="L202" s="219">
        <v>20.399999999999999</v>
      </c>
      <c r="M202" s="220">
        <f t="shared" si="30"/>
        <v>0</v>
      </c>
      <c r="N202" s="183">
        <f t="shared" si="46"/>
        <v>3.4</v>
      </c>
      <c r="O202" s="184">
        <f t="shared" si="47"/>
        <v>0.29579999999999995</v>
      </c>
      <c r="P202" s="184">
        <f t="shared" si="28"/>
        <v>3.6957999999999998</v>
      </c>
      <c r="Q202" s="207">
        <v>5</v>
      </c>
      <c r="R202" s="184">
        <f t="shared" si="34"/>
        <v>4.545454545454545</v>
      </c>
      <c r="S202" s="184">
        <f t="shared" si="29"/>
        <v>0.84965454545454522</v>
      </c>
      <c r="T202" s="171">
        <f t="shared" si="35"/>
        <v>0.18692399999999998</v>
      </c>
    </row>
    <row r="203" spans="3:20" x14ac:dyDescent="0.2">
      <c r="C203" s="228" t="s">
        <v>2115</v>
      </c>
      <c r="D203" s="168">
        <v>4987176038463</v>
      </c>
      <c r="E203" s="229">
        <v>210244</v>
      </c>
      <c r="F203" s="89" t="s">
        <v>2116</v>
      </c>
      <c r="G203" s="106">
        <v>6</v>
      </c>
      <c r="H203" s="159" t="s">
        <v>77</v>
      </c>
      <c r="I203" s="8"/>
      <c r="J203" s="3"/>
      <c r="K203" s="17"/>
      <c r="L203" s="219">
        <v>42.16</v>
      </c>
      <c r="M203" s="220">
        <f t="shared" si="30"/>
        <v>0</v>
      </c>
      <c r="N203" s="183">
        <f t="shared" si="46"/>
        <v>7.0266666666666664</v>
      </c>
      <c r="O203" s="184">
        <f t="shared" si="47"/>
        <v>0.61131999999999997</v>
      </c>
      <c r="P203" s="184">
        <f t="shared" si="28"/>
        <v>7.6379866666666665</v>
      </c>
      <c r="Q203" s="207">
        <v>10</v>
      </c>
      <c r="R203" s="184">
        <f t="shared" si="34"/>
        <v>9.0909090909090899</v>
      </c>
      <c r="S203" s="184">
        <f t="shared" si="29"/>
        <v>1.4529224242424235</v>
      </c>
      <c r="T203" s="171">
        <f t="shared" si="35"/>
        <v>0.15982146666666661</v>
      </c>
    </row>
    <row r="204" spans="3:20" x14ac:dyDescent="0.2">
      <c r="C204" s="228" t="s">
        <v>2117</v>
      </c>
      <c r="D204" s="168">
        <v>4987176038388</v>
      </c>
      <c r="E204" s="229">
        <v>209858</v>
      </c>
      <c r="F204" s="89" t="s">
        <v>2116</v>
      </c>
      <c r="G204" s="106">
        <v>6</v>
      </c>
      <c r="H204" s="159" t="s">
        <v>77</v>
      </c>
      <c r="I204" s="8"/>
      <c r="J204" s="3"/>
      <c r="K204" s="17"/>
      <c r="L204" s="219">
        <v>42.16</v>
      </c>
      <c r="M204" s="220">
        <f t="shared" si="30"/>
        <v>0</v>
      </c>
      <c r="N204" s="183">
        <f t="shared" si="46"/>
        <v>7.0266666666666664</v>
      </c>
      <c r="O204" s="184">
        <f t="shared" si="47"/>
        <v>0.61131999999999997</v>
      </c>
      <c r="P204" s="184">
        <f t="shared" si="28"/>
        <v>7.6379866666666665</v>
      </c>
      <c r="Q204" s="207">
        <v>10</v>
      </c>
      <c r="R204" s="184">
        <f t="shared" si="34"/>
        <v>9.0909090909090899</v>
      </c>
      <c r="S204" s="184">
        <f t="shared" si="29"/>
        <v>1.4529224242424235</v>
      </c>
      <c r="T204" s="171">
        <f t="shared" si="35"/>
        <v>0.15982146666666661</v>
      </c>
    </row>
    <row r="205" spans="3:20" x14ac:dyDescent="0.2">
      <c r="C205" s="228" t="s">
        <v>2118</v>
      </c>
      <c r="D205" s="168">
        <v>4987176038678</v>
      </c>
      <c r="E205" s="229">
        <v>210702</v>
      </c>
      <c r="F205" s="89" t="s">
        <v>1842</v>
      </c>
      <c r="G205" s="106">
        <v>6</v>
      </c>
      <c r="H205" s="159" t="s">
        <v>77</v>
      </c>
      <c r="I205" s="8"/>
      <c r="J205" s="3"/>
      <c r="K205" s="17"/>
      <c r="L205" s="219">
        <v>77.2</v>
      </c>
      <c r="M205" s="220">
        <f t="shared" si="30"/>
        <v>0</v>
      </c>
      <c r="N205" s="183">
        <f t="shared" si="46"/>
        <v>12.866666666666667</v>
      </c>
      <c r="O205" s="184">
        <f t="shared" si="47"/>
        <v>1.1194</v>
      </c>
      <c r="P205" s="184">
        <f t="shared" si="28"/>
        <v>13.986066666666668</v>
      </c>
      <c r="Q205" s="207">
        <v>18</v>
      </c>
      <c r="R205" s="184">
        <f t="shared" si="34"/>
        <v>16.363636363636363</v>
      </c>
      <c r="S205" s="184">
        <f t="shared" si="29"/>
        <v>2.3775696969696956</v>
      </c>
      <c r="T205" s="171">
        <f t="shared" si="35"/>
        <v>0.14529592592592586</v>
      </c>
    </row>
    <row r="206" spans="3:20" x14ac:dyDescent="0.2">
      <c r="C206" s="221" t="s">
        <v>2119</v>
      </c>
      <c r="D206" s="168">
        <v>4902430118798</v>
      </c>
      <c r="E206" s="229">
        <v>499607</v>
      </c>
      <c r="F206" s="89" t="s">
        <v>2120</v>
      </c>
      <c r="G206" s="106">
        <v>6</v>
      </c>
      <c r="H206" s="159" t="s">
        <v>77</v>
      </c>
      <c r="I206" s="8"/>
      <c r="J206" s="3"/>
      <c r="K206" s="17"/>
      <c r="L206" s="219">
        <v>28.55</v>
      </c>
      <c r="M206" s="220">
        <f t="shared" si="30"/>
        <v>0</v>
      </c>
      <c r="N206" s="183">
        <f t="shared" si="46"/>
        <v>4.7583333333333337</v>
      </c>
      <c r="O206" s="184">
        <f t="shared" si="47"/>
        <v>0.41397499999999998</v>
      </c>
      <c r="P206" s="184">
        <f t="shared" si="28"/>
        <v>5.1723083333333335</v>
      </c>
      <c r="Q206" s="207">
        <v>6.8</v>
      </c>
      <c r="R206" s="184">
        <f t="shared" si="34"/>
        <v>6.1818181818181808</v>
      </c>
      <c r="S206" s="184">
        <f t="shared" si="29"/>
        <v>1.0095098484848473</v>
      </c>
      <c r="T206" s="171">
        <f t="shared" si="35"/>
        <v>0.16330306372549003</v>
      </c>
    </row>
    <row r="207" spans="3:20" x14ac:dyDescent="0.2">
      <c r="C207" s="221" t="s">
        <v>2121</v>
      </c>
      <c r="D207" s="168">
        <v>4902430118651</v>
      </c>
      <c r="E207" s="229">
        <v>499437</v>
      </c>
      <c r="F207" s="89" t="s">
        <v>2120</v>
      </c>
      <c r="G207" s="106">
        <v>6</v>
      </c>
      <c r="H207" s="159" t="s">
        <v>77</v>
      </c>
      <c r="I207" s="8"/>
      <c r="J207" s="3"/>
      <c r="K207" s="17"/>
      <c r="L207" s="219">
        <v>28.55</v>
      </c>
      <c r="M207" s="220">
        <f t="shared" si="30"/>
        <v>0</v>
      </c>
      <c r="N207" s="183">
        <f t="shared" si="46"/>
        <v>4.7583333333333337</v>
      </c>
      <c r="O207" s="184">
        <f t="shared" si="47"/>
        <v>0.41397499999999998</v>
      </c>
      <c r="P207" s="184">
        <f t="shared" ref="P207:P270" si="48">N207+O207</f>
        <v>5.1723083333333335</v>
      </c>
      <c r="Q207" s="207">
        <v>6.8</v>
      </c>
      <c r="R207" s="184">
        <f t="shared" si="34"/>
        <v>6.1818181818181808</v>
      </c>
      <c r="S207" s="184">
        <f t="shared" ref="S207:S270" si="49">R207-P207</f>
        <v>1.0095098484848473</v>
      </c>
      <c r="T207" s="171">
        <f t="shared" si="35"/>
        <v>0.16330306372549003</v>
      </c>
    </row>
    <row r="208" spans="3:20" x14ac:dyDescent="0.2">
      <c r="C208" s="228" t="s">
        <v>2122</v>
      </c>
      <c r="D208" s="168">
        <v>9300607130065</v>
      </c>
      <c r="E208" s="229">
        <v>353513</v>
      </c>
      <c r="F208" s="89" t="s">
        <v>2123</v>
      </c>
      <c r="G208" s="106">
        <v>6</v>
      </c>
      <c r="H208" s="159" t="s">
        <v>77</v>
      </c>
      <c r="I208" s="8"/>
      <c r="J208" s="3"/>
      <c r="K208" s="17"/>
      <c r="L208" s="219">
        <v>61.46</v>
      </c>
      <c r="M208" s="220">
        <f t="shared" si="30"/>
        <v>0</v>
      </c>
      <c r="N208" s="183">
        <f t="shared" si="46"/>
        <v>10.243333333333334</v>
      </c>
      <c r="O208" s="184">
        <f t="shared" si="47"/>
        <v>0.89117000000000002</v>
      </c>
      <c r="P208" s="184">
        <f t="shared" si="48"/>
        <v>11.134503333333335</v>
      </c>
      <c r="Q208" s="207">
        <v>15</v>
      </c>
      <c r="R208" s="184">
        <f t="shared" si="34"/>
        <v>13.636363636363635</v>
      </c>
      <c r="S208" s="184">
        <f t="shared" si="49"/>
        <v>2.5018603030303002</v>
      </c>
      <c r="T208" s="171">
        <f t="shared" si="35"/>
        <v>0.18346975555555536</v>
      </c>
    </row>
    <row r="209" spans="3:20" x14ac:dyDescent="0.2">
      <c r="C209" s="221" t="s">
        <v>2124</v>
      </c>
      <c r="D209" s="168">
        <v>9300607210200</v>
      </c>
      <c r="E209" s="229">
        <v>432079</v>
      </c>
      <c r="F209" s="89" t="s">
        <v>2125</v>
      </c>
      <c r="G209" s="106">
        <v>12</v>
      </c>
      <c r="H209" s="159" t="s">
        <v>77</v>
      </c>
      <c r="I209" s="8"/>
      <c r="J209" s="3"/>
      <c r="K209" s="17"/>
      <c r="L209" s="219">
        <v>43.47</v>
      </c>
      <c r="M209" s="220">
        <f t="shared" si="30"/>
        <v>0</v>
      </c>
      <c r="N209" s="183">
        <f t="shared" si="46"/>
        <v>3.6225000000000001</v>
      </c>
      <c r="O209" s="184">
        <f t="shared" si="47"/>
        <v>0.31515749999999998</v>
      </c>
      <c r="P209" s="184">
        <f t="shared" si="48"/>
        <v>3.9376575000000003</v>
      </c>
      <c r="Q209" s="207">
        <v>5</v>
      </c>
      <c r="R209" s="184">
        <f t="shared" si="34"/>
        <v>4.545454545454545</v>
      </c>
      <c r="S209" s="184">
        <f t="shared" si="49"/>
        <v>0.60779704545454472</v>
      </c>
      <c r="T209" s="171">
        <f t="shared" si="35"/>
        <v>0.13371534999999984</v>
      </c>
    </row>
    <row r="210" spans="3:20" x14ac:dyDescent="0.2">
      <c r="C210" s="221" t="s">
        <v>2126</v>
      </c>
      <c r="D210" s="168">
        <v>9300607179125</v>
      </c>
      <c r="E210" s="229">
        <v>436455</v>
      </c>
      <c r="F210" s="89">
        <v>20</v>
      </c>
      <c r="G210" s="106">
        <v>6</v>
      </c>
      <c r="H210" s="159" t="s">
        <v>77</v>
      </c>
      <c r="I210" s="8"/>
      <c r="J210" s="3"/>
      <c r="K210" s="17"/>
      <c r="L210" s="219">
        <v>17.149999999999999</v>
      </c>
      <c r="M210" s="220">
        <f t="shared" ref="M210:M272" si="50">K210*L210</f>
        <v>0</v>
      </c>
      <c r="N210" s="183">
        <f t="shared" si="46"/>
        <v>2.8583333333333329</v>
      </c>
      <c r="O210" s="184">
        <f t="shared" si="47"/>
        <v>0.24867499999999995</v>
      </c>
      <c r="P210" s="184">
        <f t="shared" si="48"/>
        <v>3.1070083333333329</v>
      </c>
      <c r="Q210" s="207">
        <v>4</v>
      </c>
      <c r="R210" s="184">
        <f t="shared" si="34"/>
        <v>3.6363636363636362</v>
      </c>
      <c r="S210" s="184">
        <f t="shared" si="49"/>
        <v>0.52935530303030331</v>
      </c>
      <c r="T210" s="171">
        <f t="shared" si="35"/>
        <v>0.14557270833333341</v>
      </c>
    </row>
    <row r="211" spans="3:20" x14ac:dyDescent="0.2">
      <c r="C211" s="221" t="s">
        <v>2127</v>
      </c>
      <c r="D211" s="168">
        <v>50375264</v>
      </c>
      <c r="E211" s="229">
        <v>465721</v>
      </c>
      <c r="F211" s="89" t="s">
        <v>2128</v>
      </c>
      <c r="G211" s="106">
        <v>18</v>
      </c>
      <c r="H211" s="159" t="s">
        <v>77</v>
      </c>
      <c r="I211" s="8"/>
      <c r="J211" s="3"/>
      <c r="K211" s="17"/>
      <c r="L211" s="219">
        <v>9</v>
      </c>
      <c r="M211" s="220">
        <f t="shared" si="50"/>
        <v>0</v>
      </c>
      <c r="N211" s="183">
        <f t="shared" si="46"/>
        <v>0.5</v>
      </c>
      <c r="O211" s="184">
        <f t="shared" si="47"/>
        <v>4.3499999999999997E-2</v>
      </c>
      <c r="P211" s="184">
        <f t="shared" si="48"/>
        <v>0.54349999999999998</v>
      </c>
      <c r="Q211" s="207">
        <v>0.8</v>
      </c>
      <c r="R211" s="184">
        <f t="shared" si="34"/>
        <v>0.72727272727272729</v>
      </c>
      <c r="S211" s="184">
        <f t="shared" si="49"/>
        <v>0.18377272727272731</v>
      </c>
      <c r="T211" s="171">
        <f t="shared" si="35"/>
        <v>0.25268750000000006</v>
      </c>
    </row>
    <row r="212" spans="3:20" x14ac:dyDescent="0.2">
      <c r="C212" s="221" t="s">
        <v>2129</v>
      </c>
      <c r="D212" s="157"/>
      <c r="E212" s="222">
        <v>806702</v>
      </c>
      <c r="F212" s="98" t="s">
        <v>2130</v>
      </c>
      <c r="G212" s="100">
        <v>12</v>
      </c>
      <c r="H212" s="159" t="s">
        <v>77</v>
      </c>
      <c r="I212" s="8"/>
      <c r="J212" s="3"/>
      <c r="K212" s="17"/>
      <c r="L212" s="219">
        <v>118.27</v>
      </c>
      <c r="M212" s="220">
        <f t="shared" si="50"/>
        <v>0</v>
      </c>
      <c r="N212" s="183">
        <f>L212/G212</f>
        <v>9.855833333333333</v>
      </c>
      <c r="O212" s="184">
        <f t="shared" si="47"/>
        <v>0.85745749999999987</v>
      </c>
      <c r="P212" s="184">
        <f t="shared" si="48"/>
        <v>10.713290833333334</v>
      </c>
      <c r="Q212" s="207">
        <v>14.5</v>
      </c>
      <c r="R212" s="184">
        <f t="shared" si="34"/>
        <v>13.18181818181818</v>
      </c>
      <c r="S212" s="184">
        <f t="shared" si="49"/>
        <v>2.4685273484848462</v>
      </c>
      <c r="T212" s="171">
        <f t="shared" si="35"/>
        <v>0.18726759195402284</v>
      </c>
    </row>
    <row r="213" spans="3:20" x14ac:dyDescent="0.2">
      <c r="C213" s="221" t="s">
        <v>2129</v>
      </c>
      <c r="D213" s="157"/>
      <c r="E213" s="222">
        <v>806663</v>
      </c>
      <c r="F213" s="98" t="s">
        <v>2131</v>
      </c>
      <c r="G213" s="100">
        <v>12</v>
      </c>
      <c r="H213" s="159" t="s">
        <v>77</v>
      </c>
      <c r="I213" s="8"/>
      <c r="J213" s="3"/>
      <c r="K213" s="17"/>
      <c r="L213" s="219">
        <v>118.27</v>
      </c>
      <c r="M213" s="220">
        <f t="shared" si="50"/>
        <v>0</v>
      </c>
      <c r="N213" s="183">
        <f t="shared" si="46"/>
        <v>9.855833333333333</v>
      </c>
      <c r="O213" s="184">
        <f t="shared" si="47"/>
        <v>0.85745749999999987</v>
      </c>
      <c r="P213" s="184">
        <f t="shared" si="48"/>
        <v>10.713290833333334</v>
      </c>
      <c r="Q213" s="207">
        <v>14.5</v>
      </c>
      <c r="R213" s="184">
        <f t="shared" si="34"/>
        <v>13.18181818181818</v>
      </c>
      <c r="S213" s="184">
        <f t="shared" si="49"/>
        <v>2.4685273484848462</v>
      </c>
      <c r="T213" s="171">
        <f t="shared" si="35"/>
        <v>0.18726759195402284</v>
      </c>
    </row>
    <row r="214" spans="3:20" x14ac:dyDescent="0.2">
      <c r="C214" s="221" t="s">
        <v>2132</v>
      </c>
      <c r="D214" s="157"/>
      <c r="E214" s="222">
        <v>425441</v>
      </c>
      <c r="F214" s="98" t="s">
        <v>970</v>
      </c>
      <c r="G214" s="100">
        <v>6</v>
      </c>
      <c r="H214" s="159" t="s">
        <v>77</v>
      </c>
      <c r="I214" s="8"/>
      <c r="J214" s="3"/>
      <c r="K214" s="17"/>
      <c r="L214" s="219">
        <v>67.540000000000006</v>
      </c>
      <c r="M214" s="220">
        <f t="shared" si="50"/>
        <v>0</v>
      </c>
      <c r="N214" s="183">
        <f t="shared" si="46"/>
        <v>11.256666666666668</v>
      </c>
      <c r="O214" s="184">
        <f t="shared" si="47"/>
        <v>0.97933000000000003</v>
      </c>
      <c r="P214" s="184">
        <f t="shared" si="48"/>
        <v>12.235996666666669</v>
      </c>
      <c r="Q214" s="207">
        <v>16.5</v>
      </c>
      <c r="R214" s="184">
        <f t="shared" si="34"/>
        <v>14.999999999999998</v>
      </c>
      <c r="S214" s="184">
        <f t="shared" si="49"/>
        <v>2.7640033333333296</v>
      </c>
      <c r="T214" s="171">
        <f t="shared" si="35"/>
        <v>0.18426688888888867</v>
      </c>
    </row>
    <row r="215" spans="3:20" x14ac:dyDescent="0.2">
      <c r="C215" s="221" t="s">
        <v>2133</v>
      </c>
      <c r="D215" s="168">
        <v>9300607090567</v>
      </c>
      <c r="E215" s="229">
        <v>84570</v>
      </c>
      <c r="F215" s="89" t="s">
        <v>1850</v>
      </c>
      <c r="G215" s="106">
        <v>6</v>
      </c>
      <c r="H215" s="159" t="s">
        <v>77</v>
      </c>
      <c r="I215" s="8"/>
      <c r="J215" s="3"/>
      <c r="K215" s="17"/>
      <c r="L215" s="219">
        <v>24.16</v>
      </c>
      <c r="M215" s="220">
        <f t="shared" si="50"/>
        <v>0</v>
      </c>
      <c r="N215" s="183">
        <f t="shared" si="46"/>
        <v>4.0266666666666664</v>
      </c>
      <c r="O215" s="184">
        <f t="shared" ref="O215:O246" si="51">N215*$O$12</f>
        <v>0.35031999999999996</v>
      </c>
      <c r="P215" s="184">
        <f t="shared" si="48"/>
        <v>4.3769866666666664</v>
      </c>
      <c r="Q215" s="207">
        <v>6</v>
      </c>
      <c r="R215" s="184">
        <f t="shared" si="34"/>
        <v>5.4545454545454541</v>
      </c>
      <c r="S215" s="184">
        <f t="shared" si="49"/>
        <v>1.0775587878787878</v>
      </c>
      <c r="T215" s="171">
        <f t="shared" si="35"/>
        <v>0.19755244444444445</v>
      </c>
    </row>
    <row r="216" spans="3:20" x14ac:dyDescent="0.2">
      <c r="C216" s="221" t="s">
        <v>2134</v>
      </c>
      <c r="D216" s="168">
        <v>9300607090574</v>
      </c>
      <c r="E216" s="229">
        <v>87214</v>
      </c>
      <c r="F216" s="89" t="s">
        <v>1876</v>
      </c>
      <c r="G216" s="106">
        <v>4</v>
      </c>
      <c r="H216" s="159" t="s">
        <v>77</v>
      </c>
      <c r="I216" s="8"/>
      <c r="J216" s="3"/>
      <c r="K216" s="17"/>
      <c r="L216" s="219">
        <v>40.049999999999997</v>
      </c>
      <c r="M216" s="220">
        <f t="shared" si="50"/>
        <v>0</v>
      </c>
      <c r="N216" s="183">
        <f t="shared" si="46"/>
        <v>10.012499999999999</v>
      </c>
      <c r="O216" s="184">
        <f t="shared" si="51"/>
        <v>0.8710874999999999</v>
      </c>
      <c r="P216" s="184">
        <f t="shared" si="48"/>
        <v>10.883587499999999</v>
      </c>
      <c r="Q216" s="207">
        <v>15</v>
      </c>
      <c r="R216" s="184">
        <f t="shared" si="34"/>
        <v>13.636363636363635</v>
      </c>
      <c r="S216" s="184">
        <f t="shared" si="49"/>
        <v>2.7527761363636358</v>
      </c>
      <c r="T216" s="171">
        <f t="shared" si="35"/>
        <v>0.20187024999999997</v>
      </c>
    </row>
    <row r="217" spans="3:20" x14ac:dyDescent="0.2">
      <c r="C217" s="221" t="s">
        <v>2135</v>
      </c>
      <c r="D217" s="168">
        <v>9300607090901</v>
      </c>
      <c r="E217" s="229">
        <v>762987</v>
      </c>
      <c r="F217" s="89" t="s">
        <v>1876</v>
      </c>
      <c r="G217" s="106">
        <v>4</v>
      </c>
      <c r="H217" s="159" t="s">
        <v>77</v>
      </c>
      <c r="I217" s="8"/>
      <c r="J217" s="3"/>
      <c r="K217" s="17"/>
      <c r="L217" s="219">
        <v>30.02</v>
      </c>
      <c r="M217" s="220">
        <f t="shared" si="50"/>
        <v>0</v>
      </c>
      <c r="N217" s="183">
        <f t="shared" si="46"/>
        <v>7.5049999999999999</v>
      </c>
      <c r="O217" s="184">
        <f t="shared" si="51"/>
        <v>0.65293499999999993</v>
      </c>
      <c r="P217" s="184">
        <f t="shared" si="48"/>
        <v>8.1579350000000002</v>
      </c>
      <c r="Q217" s="207">
        <v>11</v>
      </c>
      <c r="R217" s="184">
        <f t="shared" si="34"/>
        <v>10</v>
      </c>
      <c r="S217" s="184">
        <f t="shared" si="49"/>
        <v>1.8420649999999998</v>
      </c>
      <c r="T217" s="171">
        <f t="shared" si="35"/>
        <v>0.1842065</v>
      </c>
    </row>
    <row r="218" spans="3:20" x14ac:dyDescent="0.2">
      <c r="C218" s="221" t="s">
        <v>2136</v>
      </c>
      <c r="D218" s="168">
        <v>9352417000380</v>
      </c>
      <c r="E218" s="229">
        <v>440357</v>
      </c>
      <c r="F218" s="89" t="s">
        <v>2137</v>
      </c>
      <c r="G218" s="106">
        <v>12</v>
      </c>
      <c r="H218" s="159" t="s">
        <v>77</v>
      </c>
      <c r="I218" s="8"/>
      <c r="J218" s="3"/>
      <c r="K218" s="17"/>
      <c r="L218" s="219">
        <v>36.57</v>
      </c>
      <c r="M218" s="220">
        <f t="shared" si="50"/>
        <v>0</v>
      </c>
      <c r="N218" s="183">
        <f t="shared" si="46"/>
        <v>3.0474999999999999</v>
      </c>
      <c r="O218" s="184">
        <f t="shared" si="51"/>
        <v>0.26513249999999999</v>
      </c>
      <c r="P218" s="184">
        <f t="shared" si="48"/>
        <v>3.3126324999999999</v>
      </c>
      <c r="Q218" s="207">
        <v>4.3</v>
      </c>
      <c r="R218" s="184">
        <f t="shared" si="34"/>
        <v>3.9090909090909087</v>
      </c>
      <c r="S218" s="184">
        <f t="shared" si="49"/>
        <v>0.59645840909090886</v>
      </c>
      <c r="T218" s="171">
        <f t="shared" si="35"/>
        <v>0.15258238372093019</v>
      </c>
    </row>
    <row r="219" spans="3:20" x14ac:dyDescent="0.2">
      <c r="C219" s="221" t="s">
        <v>2138</v>
      </c>
      <c r="D219" s="168">
        <v>9300830049707</v>
      </c>
      <c r="E219" s="229">
        <v>237783</v>
      </c>
      <c r="F219" s="89" t="s">
        <v>1822</v>
      </c>
      <c r="G219" s="106">
        <v>6</v>
      </c>
      <c r="H219" s="159" t="s">
        <v>77</v>
      </c>
      <c r="I219" s="8"/>
      <c r="J219" s="3"/>
      <c r="K219" s="17"/>
      <c r="L219" s="219">
        <v>28.32</v>
      </c>
      <c r="M219" s="220">
        <f t="shared" si="50"/>
        <v>0</v>
      </c>
      <c r="N219" s="183">
        <f t="shared" si="46"/>
        <v>4.72</v>
      </c>
      <c r="O219" s="184">
        <f t="shared" si="51"/>
        <v>0.41063999999999995</v>
      </c>
      <c r="P219" s="184">
        <f t="shared" si="48"/>
        <v>5.1306399999999996</v>
      </c>
      <c r="Q219" s="207">
        <v>7</v>
      </c>
      <c r="R219" s="184">
        <f t="shared" si="34"/>
        <v>6.3636363636363633</v>
      </c>
      <c r="S219" s="184">
        <f t="shared" si="49"/>
        <v>1.2329963636363637</v>
      </c>
      <c r="T219" s="171">
        <f t="shared" si="35"/>
        <v>0.19375657142857144</v>
      </c>
    </row>
    <row r="220" spans="3:20" x14ac:dyDescent="0.2">
      <c r="C220" s="221" t="s">
        <v>2139</v>
      </c>
      <c r="D220" s="168">
        <v>9300830000821</v>
      </c>
      <c r="E220" s="229">
        <v>80788</v>
      </c>
      <c r="F220" s="89" t="s">
        <v>1822</v>
      </c>
      <c r="G220" s="106">
        <v>6</v>
      </c>
      <c r="H220" s="159" t="s">
        <v>77</v>
      </c>
      <c r="I220" s="8"/>
      <c r="J220" s="3"/>
      <c r="K220" s="17"/>
      <c r="L220" s="219">
        <v>28.32</v>
      </c>
      <c r="M220" s="220">
        <f t="shared" si="50"/>
        <v>0</v>
      </c>
      <c r="N220" s="183">
        <f t="shared" si="46"/>
        <v>4.72</v>
      </c>
      <c r="O220" s="184">
        <f t="shared" si="51"/>
        <v>0.41063999999999995</v>
      </c>
      <c r="P220" s="184">
        <f t="shared" si="48"/>
        <v>5.1306399999999996</v>
      </c>
      <c r="Q220" s="207">
        <v>7</v>
      </c>
      <c r="R220" s="184">
        <f t="shared" ref="R220:R256" si="52">Q220/$R$10</f>
        <v>6.3636363636363633</v>
      </c>
      <c r="S220" s="184">
        <f t="shared" si="49"/>
        <v>1.2329963636363637</v>
      </c>
      <c r="T220" s="171">
        <f t="shared" ref="T220:T256" si="53">S220/R220</f>
        <v>0.19375657142857144</v>
      </c>
    </row>
    <row r="221" spans="3:20" x14ac:dyDescent="0.2">
      <c r="C221" s="221" t="s">
        <v>2140</v>
      </c>
      <c r="D221" s="168">
        <v>9310263021003</v>
      </c>
      <c r="E221" s="229">
        <v>53621</v>
      </c>
      <c r="F221" s="89" t="s">
        <v>2141</v>
      </c>
      <c r="G221" s="106">
        <v>6</v>
      </c>
      <c r="H221" s="159" t="s">
        <v>77</v>
      </c>
      <c r="I221" s="8"/>
      <c r="J221" s="3"/>
      <c r="K221" s="17"/>
      <c r="L221" s="219">
        <v>25.79</v>
      </c>
      <c r="M221" s="220">
        <f t="shared" si="50"/>
        <v>0</v>
      </c>
      <c r="N221" s="183">
        <f t="shared" si="46"/>
        <v>4.2983333333333329</v>
      </c>
      <c r="O221" s="184">
        <f t="shared" si="51"/>
        <v>0.37395499999999993</v>
      </c>
      <c r="P221" s="184">
        <f t="shared" si="48"/>
        <v>4.6722883333333325</v>
      </c>
      <c r="Q221" s="207">
        <v>6</v>
      </c>
      <c r="R221" s="184">
        <f t="shared" si="52"/>
        <v>5.4545454545454541</v>
      </c>
      <c r="S221" s="184">
        <f t="shared" si="49"/>
        <v>0.78225712121212165</v>
      </c>
      <c r="T221" s="171">
        <f t="shared" si="53"/>
        <v>0.14341380555555563</v>
      </c>
    </row>
    <row r="222" spans="3:20" x14ac:dyDescent="0.2">
      <c r="C222" s="221" t="s">
        <v>2142</v>
      </c>
      <c r="D222" s="168">
        <v>9317039002266</v>
      </c>
      <c r="E222" s="229">
        <v>55576</v>
      </c>
      <c r="F222" s="89" t="s">
        <v>2143</v>
      </c>
      <c r="G222" s="106">
        <v>10</v>
      </c>
      <c r="H222" s="159" t="s">
        <v>77</v>
      </c>
      <c r="I222" s="8"/>
      <c r="J222" s="3"/>
      <c r="K222" s="17"/>
      <c r="L222" s="219">
        <v>74.5</v>
      </c>
      <c r="M222" s="220">
        <f t="shared" si="50"/>
        <v>0</v>
      </c>
      <c r="N222" s="183">
        <f t="shared" si="46"/>
        <v>7.45</v>
      </c>
      <c r="O222" s="184">
        <f t="shared" si="51"/>
        <v>0.64815</v>
      </c>
      <c r="P222" s="184">
        <f t="shared" si="48"/>
        <v>8.0981500000000004</v>
      </c>
      <c r="Q222" s="207">
        <v>11</v>
      </c>
      <c r="R222" s="184">
        <f t="shared" si="52"/>
        <v>10</v>
      </c>
      <c r="S222" s="184">
        <f t="shared" si="49"/>
        <v>1.9018499999999996</v>
      </c>
      <c r="T222" s="171">
        <f t="shared" si="53"/>
        <v>0.19018499999999997</v>
      </c>
    </row>
    <row r="223" spans="3:20" x14ac:dyDescent="0.2">
      <c r="C223" s="221" t="s">
        <v>2144</v>
      </c>
      <c r="D223" s="168">
        <v>4005808222698</v>
      </c>
      <c r="E223" s="229">
        <v>305654</v>
      </c>
      <c r="F223" s="89" t="s">
        <v>1850</v>
      </c>
      <c r="G223" s="106">
        <v>6</v>
      </c>
      <c r="H223" s="159" t="s">
        <v>77</v>
      </c>
      <c r="I223" s="8"/>
      <c r="J223" s="3"/>
      <c r="K223" s="17"/>
      <c r="L223" s="219">
        <v>24.37</v>
      </c>
      <c r="M223" s="220">
        <f t="shared" si="50"/>
        <v>0</v>
      </c>
      <c r="N223" s="183">
        <f t="shared" si="46"/>
        <v>4.0616666666666665</v>
      </c>
      <c r="O223" s="184">
        <f t="shared" si="51"/>
        <v>0.35336499999999998</v>
      </c>
      <c r="P223" s="184">
        <f t="shared" si="48"/>
        <v>4.4150316666666667</v>
      </c>
      <c r="Q223" s="207">
        <v>5.9</v>
      </c>
      <c r="R223" s="184">
        <f t="shared" si="52"/>
        <v>5.3636363636363633</v>
      </c>
      <c r="S223" s="184">
        <f t="shared" si="49"/>
        <v>0.94860469696969663</v>
      </c>
      <c r="T223" s="171">
        <f t="shared" si="53"/>
        <v>0.17685850282485871</v>
      </c>
    </row>
    <row r="224" spans="3:20" x14ac:dyDescent="0.2">
      <c r="C224" s="221" t="s">
        <v>2145</v>
      </c>
      <c r="D224" s="168">
        <v>9300631742913</v>
      </c>
      <c r="E224" s="229">
        <v>401743</v>
      </c>
      <c r="F224" s="89" t="s">
        <v>2146</v>
      </c>
      <c r="G224" s="106">
        <v>12</v>
      </c>
      <c r="H224" s="159" t="s">
        <v>77</v>
      </c>
      <c r="I224" s="8"/>
      <c r="J224" s="3"/>
      <c r="K224" s="17"/>
      <c r="L224" s="219">
        <v>52.32</v>
      </c>
      <c r="M224" s="220">
        <f t="shared" si="50"/>
        <v>0</v>
      </c>
      <c r="N224" s="183">
        <f t="shared" si="46"/>
        <v>4.3600000000000003</v>
      </c>
      <c r="O224" s="184">
        <f t="shared" si="51"/>
        <v>0.37931999999999999</v>
      </c>
      <c r="P224" s="184">
        <f t="shared" si="48"/>
        <v>4.7393200000000002</v>
      </c>
      <c r="Q224" s="207">
        <v>6</v>
      </c>
      <c r="R224" s="184">
        <f t="shared" si="52"/>
        <v>5.4545454545454541</v>
      </c>
      <c r="S224" s="184">
        <f t="shared" si="49"/>
        <v>0.71522545454545394</v>
      </c>
      <c r="T224" s="171">
        <f t="shared" si="53"/>
        <v>0.13112466666666656</v>
      </c>
    </row>
    <row r="225" spans="3:20" x14ac:dyDescent="0.2">
      <c r="C225" s="221" t="s">
        <v>2145</v>
      </c>
      <c r="D225" s="168">
        <v>9300631742920</v>
      </c>
      <c r="E225" s="229">
        <v>401824</v>
      </c>
      <c r="F225" s="89" t="s">
        <v>1870</v>
      </c>
      <c r="G225" s="106">
        <v>12</v>
      </c>
      <c r="H225" s="159" t="s">
        <v>77</v>
      </c>
      <c r="I225" s="8"/>
      <c r="J225" s="3"/>
      <c r="K225" s="17"/>
      <c r="L225" s="219">
        <v>82.28</v>
      </c>
      <c r="M225" s="220">
        <f t="shared" si="50"/>
        <v>0</v>
      </c>
      <c r="N225" s="183">
        <f t="shared" si="46"/>
        <v>6.8566666666666665</v>
      </c>
      <c r="O225" s="184">
        <f t="shared" si="51"/>
        <v>0.59652999999999989</v>
      </c>
      <c r="P225" s="184">
        <f t="shared" si="48"/>
        <v>7.453196666666666</v>
      </c>
      <c r="Q225" s="207">
        <v>9.5</v>
      </c>
      <c r="R225" s="184">
        <f t="shared" si="52"/>
        <v>8.6363636363636349</v>
      </c>
      <c r="S225" s="184">
        <f t="shared" si="49"/>
        <v>1.1831669696969689</v>
      </c>
      <c r="T225" s="171">
        <f t="shared" si="53"/>
        <v>0.13699828070175432</v>
      </c>
    </row>
    <row r="226" spans="3:20" x14ac:dyDescent="0.2">
      <c r="C226" s="221" t="s">
        <v>2147</v>
      </c>
      <c r="D226" s="168">
        <v>93711159</v>
      </c>
      <c r="E226" s="229">
        <v>77293</v>
      </c>
      <c r="F226" s="89" t="s">
        <v>1870</v>
      </c>
      <c r="G226" s="106">
        <v>12</v>
      </c>
      <c r="H226" s="159" t="s">
        <v>77</v>
      </c>
      <c r="I226" s="8"/>
      <c r="J226" s="3"/>
      <c r="K226" s="17"/>
      <c r="L226" s="219">
        <v>66.540000000000006</v>
      </c>
      <c r="M226" s="220">
        <f t="shared" si="50"/>
        <v>0</v>
      </c>
      <c r="N226" s="183">
        <f t="shared" si="46"/>
        <v>5.5450000000000008</v>
      </c>
      <c r="O226" s="184">
        <f t="shared" si="51"/>
        <v>0.48241500000000004</v>
      </c>
      <c r="P226" s="184">
        <f t="shared" si="48"/>
        <v>6.0274150000000013</v>
      </c>
      <c r="Q226" s="207">
        <v>8.5</v>
      </c>
      <c r="R226" s="184">
        <f t="shared" si="52"/>
        <v>7.7272727272727266</v>
      </c>
      <c r="S226" s="184">
        <f t="shared" si="49"/>
        <v>1.6998577272727253</v>
      </c>
      <c r="T226" s="171">
        <f t="shared" si="53"/>
        <v>0.21998158823529387</v>
      </c>
    </row>
    <row r="227" spans="3:20" x14ac:dyDescent="0.2">
      <c r="C227" s="221" t="s">
        <v>2148</v>
      </c>
      <c r="D227" s="168">
        <v>8850006935446</v>
      </c>
      <c r="E227" s="229">
        <v>206766</v>
      </c>
      <c r="F227" s="89" t="s">
        <v>1842</v>
      </c>
      <c r="G227" s="106">
        <v>4</v>
      </c>
      <c r="H227" s="159" t="s">
        <v>77</v>
      </c>
      <c r="I227" s="8"/>
      <c r="J227" s="3"/>
      <c r="K227" s="17"/>
      <c r="L227" s="219">
        <v>16.53</v>
      </c>
      <c r="M227" s="220">
        <f t="shared" si="50"/>
        <v>0</v>
      </c>
      <c r="N227" s="183">
        <f t="shared" si="46"/>
        <v>4.1325000000000003</v>
      </c>
      <c r="O227" s="184">
        <f t="shared" si="51"/>
        <v>0.3595275</v>
      </c>
      <c r="P227" s="184">
        <f t="shared" si="48"/>
        <v>4.4920275000000007</v>
      </c>
      <c r="Q227" s="207">
        <v>6</v>
      </c>
      <c r="R227" s="184">
        <f t="shared" si="52"/>
        <v>5.4545454545454541</v>
      </c>
      <c r="S227" s="184">
        <f t="shared" si="49"/>
        <v>0.96251795454545341</v>
      </c>
      <c r="T227" s="171">
        <f t="shared" si="53"/>
        <v>0.17646162499999982</v>
      </c>
    </row>
    <row r="228" spans="3:20" x14ac:dyDescent="0.2">
      <c r="C228" s="221" t="s">
        <v>2149</v>
      </c>
      <c r="D228" s="168">
        <v>10181000089</v>
      </c>
      <c r="E228" s="229">
        <v>960226</v>
      </c>
      <c r="F228" s="89" t="s">
        <v>2150</v>
      </c>
      <c r="G228" s="106">
        <v>12</v>
      </c>
      <c r="H228" s="159" t="s">
        <v>77</v>
      </c>
      <c r="I228" s="8"/>
      <c r="J228" s="3"/>
      <c r="K228" s="17"/>
      <c r="L228" s="219">
        <v>32.270000000000003</v>
      </c>
      <c r="M228" s="220">
        <f t="shared" si="50"/>
        <v>0</v>
      </c>
      <c r="N228" s="183">
        <f t="shared" si="46"/>
        <v>2.6891666666666669</v>
      </c>
      <c r="O228" s="184">
        <f t="shared" si="51"/>
        <v>0.23395750000000001</v>
      </c>
      <c r="P228" s="184">
        <f t="shared" si="48"/>
        <v>2.9231241666666667</v>
      </c>
      <c r="Q228" s="207">
        <v>4.0999999999999996</v>
      </c>
      <c r="R228" s="184">
        <f t="shared" si="52"/>
        <v>3.7272727272727266</v>
      </c>
      <c r="S228" s="184">
        <f t="shared" si="49"/>
        <v>0.80414856060605988</v>
      </c>
      <c r="T228" s="171">
        <f t="shared" si="53"/>
        <v>0.21574717479674782</v>
      </c>
    </row>
    <row r="229" spans="3:20" x14ac:dyDescent="0.2">
      <c r="C229" s="221" t="s">
        <v>2151</v>
      </c>
      <c r="D229" s="168">
        <v>8850006534014</v>
      </c>
      <c r="E229" s="229">
        <v>345662</v>
      </c>
      <c r="F229" s="89" t="s">
        <v>2152</v>
      </c>
      <c r="G229" s="106">
        <v>6</v>
      </c>
      <c r="H229" s="159" t="s">
        <v>77</v>
      </c>
      <c r="I229" s="8"/>
      <c r="J229" s="3"/>
      <c r="K229" s="17"/>
      <c r="L229" s="219">
        <v>9.49</v>
      </c>
      <c r="M229" s="220">
        <f t="shared" si="50"/>
        <v>0</v>
      </c>
      <c r="N229" s="183">
        <f t="shared" si="46"/>
        <v>1.5816666666666668</v>
      </c>
      <c r="O229" s="184">
        <f t="shared" si="51"/>
        <v>0.13760500000000001</v>
      </c>
      <c r="P229" s="184">
        <f t="shared" si="48"/>
        <v>1.7192716666666668</v>
      </c>
      <c r="Q229" s="207">
        <v>2.2999999999999998</v>
      </c>
      <c r="R229" s="184">
        <f t="shared" si="52"/>
        <v>2.0909090909090904</v>
      </c>
      <c r="S229" s="184">
        <f t="shared" si="49"/>
        <v>0.37163742424242363</v>
      </c>
      <c r="T229" s="171">
        <f t="shared" si="53"/>
        <v>0.17773963768115916</v>
      </c>
    </row>
    <row r="230" spans="3:20" x14ac:dyDescent="0.2">
      <c r="C230" s="221" t="s">
        <v>2153</v>
      </c>
      <c r="D230" s="168">
        <v>8850006493519</v>
      </c>
      <c r="E230" s="229">
        <v>340808</v>
      </c>
      <c r="F230" s="89" t="s">
        <v>1876</v>
      </c>
      <c r="G230" s="106">
        <v>6</v>
      </c>
      <c r="H230" s="159" t="s">
        <v>77</v>
      </c>
      <c r="I230" s="8"/>
      <c r="J230" s="3"/>
      <c r="K230" s="17"/>
      <c r="L230" s="219">
        <v>24.97</v>
      </c>
      <c r="M230" s="220">
        <f t="shared" si="50"/>
        <v>0</v>
      </c>
      <c r="N230" s="183">
        <f t="shared" si="46"/>
        <v>4.1616666666666662</v>
      </c>
      <c r="O230" s="184">
        <f t="shared" si="51"/>
        <v>0.36206499999999991</v>
      </c>
      <c r="P230" s="184">
        <f t="shared" si="48"/>
        <v>4.5237316666666665</v>
      </c>
      <c r="Q230" s="207">
        <v>6</v>
      </c>
      <c r="R230" s="184">
        <f t="shared" si="52"/>
        <v>5.4545454545454541</v>
      </c>
      <c r="S230" s="184">
        <f t="shared" si="49"/>
        <v>0.93081378787878766</v>
      </c>
      <c r="T230" s="171">
        <f t="shared" si="53"/>
        <v>0.17064919444444443</v>
      </c>
    </row>
    <row r="231" spans="3:20" x14ac:dyDescent="0.2">
      <c r="C231" s="221" t="s">
        <v>2154</v>
      </c>
      <c r="D231" s="168">
        <v>9300673838940</v>
      </c>
      <c r="E231" s="229">
        <v>338547</v>
      </c>
      <c r="F231" s="89" t="s">
        <v>1900</v>
      </c>
      <c r="G231" s="106">
        <v>24</v>
      </c>
      <c r="H231" s="159" t="s">
        <v>77</v>
      </c>
      <c r="I231" s="8"/>
      <c r="J231" s="3"/>
      <c r="K231" s="17"/>
      <c r="L231" s="219">
        <v>63.39</v>
      </c>
      <c r="M231" s="220">
        <f t="shared" si="50"/>
        <v>0</v>
      </c>
      <c r="N231" s="183">
        <f t="shared" si="46"/>
        <v>2.6412499999999999</v>
      </c>
      <c r="O231" s="184">
        <f t="shared" si="51"/>
        <v>0.22978874999999999</v>
      </c>
      <c r="P231" s="184">
        <f t="shared" si="48"/>
        <v>2.8710387499999999</v>
      </c>
      <c r="Q231" s="207">
        <v>3.7</v>
      </c>
      <c r="R231" s="184">
        <f t="shared" si="52"/>
        <v>3.3636363636363633</v>
      </c>
      <c r="S231" s="184">
        <f t="shared" si="49"/>
        <v>0.49259761363636345</v>
      </c>
      <c r="T231" s="171">
        <f t="shared" si="53"/>
        <v>0.14644793918918914</v>
      </c>
    </row>
    <row r="232" spans="3:20" x14ac:dyDescent="0.2">
      <c r="C232" s="221" t="s">
        <v>2155</v>
      </c>
      <c r="D232" s="168">
        <v>9300673815811</v>
      </c>
      <c r="E232" s="229">
        <v>937728</v>
      </c>
      <c r="F232" s="89" t="s">
        <v>1932</v>
      </c>
      <c r="G232" s="106">
        <v>12</v>
      </c>
      <c r="H232" s="159" t="s">
        <v>77</v>
      </c>
      <c r="I232" s="8"/>
      <c r="J232" s="3"/>
      <c r="K232" s="17"/>
      <c r="L232" s="219">
        <v>31.9</v>
      </c>
      <c r="M232" s="220">
        <f t="shared" si="50"/>
        <v>0</v>
      </c>
      <c r="N232" s="183">
        <f t="shared" si="46"/>
        <v>2.6583333333333332</v>
      </c>
      <c r="O232" s="184">
        <f t="shared" si="51"/>
        <v>0.23127499999999998</v>
      </c>
      <c r="P232" s="184">
        <f t="shared" si="48"/>
        <v>2.8896083333333333</v>
      </c>
      <c r="Q232" s="207">
        <v>3.9</v>
      </c>
      <c r="R232" s="184">
        <f t="shared" si="52"/>
        <v>3.545454545454545</v>
      </c>
      <c r="S232" s="184">
        <f t="shared" si="49"/>
        <v>0.65584621212121164</v>
      </c>
      <c r="T232" s="171">
        <f t="shared" si="53"/>
        <v>0.18498226495726486</v>
      </c>
    </row>
    <row r="233" spans="3:20" x14ac:dyDescent="0.2">
      <c r="C233" s="221" t="s">
        <v>2156</v>
      </c>
      <c r="D233" s="168">
        <v>9300673840134</v>
      </c>
      <c r="E233" s="229">
        <v>937736</v>
      </c>
      <c r="F233" s="89" t="s">
        <v>2157</v>
      </c>
      <c r="G233" s="106">
        <v>24</v>
      </c>
      <c r="H233" s="159" t="s">
        <v>77</v>
      </c>
      <c r="I233" s="8"/>
      <c r="J233" s="3"/>
      <c r="K233" s="17"/>
      <c r="L233" s="219">
        <v>109.76</v>
      </c>
      <c r="M233" s="220">
        <f t="shared" si="50"/>
        <v>0</v>
      </c>
      <c r="N233" s="183">
        <f t="shared" si="46"/>
        <v>4.5733333333333333</v>
      </c>
      <c r="O233" s="184">
        <f t="shared" si="51"/>
        <v>0.39787999999999996</v>
      </c>
      <c r="P233" s="184">
        <f t="shared" si="48"/>
        <v>4.971213333333333</v>
      </c>
      <c r="Q233" s="207">
        <v>6.5</v>
      </c>
      <c r="R233" s="184">
        <f t="shared" si="52"/>
        <v>5.9090909090909083</v>
      </c>
      <c r="S233" s="184">
        <f t="shared" si="49"/>
        <v>0.93787757575757524</v>
      </c>
      <c r="T233" s="171">
        <f t="shared" si="53"/>
        <v>0.15871774358974353</v>
      </c>
    </row>
    <row r="234" spans="3:20" x14ac:dyDescent="0.2">
      <c r="C234" s="221" t="s">
        <v>2158</v>
      </c>
      <c r="D234" s="168">
        <v>9300673884329</v>
      </c>
      <c r="E234" s="229">
        <v>421206</v>
      </c>
      <c r="F234" s="89" t="s">
        <v>1907</v>
      </c>
      <c r="G234" s="106">
        <v>6</v>
      </c>
      <c r="H234" s="159" t="s">
        <v>77</v>
      </c>
      <c r="I234" s="8"/>
      <c r="J234" s="3"/>
      <c r="K234" s="17"/>
      <c r="L234" s="219">
        <v>55.09</v>
      </c>
      <c r="M234" s="220">
        <f t="shared" si="50"/>
        <v>0</v>
      </c>
      <c r="N234" s="183">
        <f t="shared" si="46"/>
        <v>9.1816666666666666</v>
      </c>
      <c r="O234" s="184">
        <f t="shared" si="51"/>
        <v>0.79880499999999999</v>
      </c>
      <c r="P234" s="184">
        <f t="shared" si="48"/>
        <v>9.9804716666666664</v>
      </c>
      <c r="Q234" s="207">
        <v>13.5</v>
      </c>
      <c r="R234" s="184">
        <f t="shared" si="52"/>
        <v>12.272727272727272</v>
      </c>
      <c r="S234" s="184">
        <f t="shared" si="49"/>
        <v>2.2922556060606052</v>
      </c>
      <c r="T234" s="171">
        <f t="shared" si="53"/>
        <v>0.18677638271604932</v>
      </c>
    </row>
    <row r="235" spans="3:20" x14ac:dyDescent="0.2">
      <c r="C235" s="221" t="s">
        <v>2159</v>
      </c>
      <c r="D235" s="168">
        <v>9403099004590</v>
      </c>
      <c r="E235" s="229">
        <v>734044</v>
      </c>
      <c r="F235" s="89" t="s">
        <v>1907</v>
      </c>
      <c r="G235" s="106">
        <v>24</v>
      </c>
      <c r="H235" s="159" t="s">
        <v>77</v>
      </c>
      <c r="I235" s="8"/>
      <c r="J235" s="3"/>
      <c r="K235" s="17"/>
      <c r="L235" s="219">
        <v>85.14</v>
      </c>
      <c r="M235" s="220">
        <f t="shared" si="50"/>
        <v>0</v>
      </c>
      <c r="N235" s="183">
        <f t="shared" si="46"/>
        <v>3.5474999999999999</v>
      </c>
      <c r="O235" s="184">
        <f t="shared" si="51"/>
        <v>0.30863249999999998</v>
      </c>
      <c r="P235" s="184">
        <f t="shared" si="48"/>
        <v>3.8561324999999997</v>
      </c>
      <c r="Q235" s="207">
        <v>5.3</v>
      </c>
      <c r="R235" s="184">
        <f t="shared" si="52"/>
        <v>4.8181818181818175</v>
      </c>
      <c r="S235" s="184">
        <f t="shared" si="49"/>
        <v>0.96204931818181771</v>
      </c>
      <c r="T235" s="171">
        <f t="shared" si="53"/>
        <v>0.19967061320754712</v>
      </c>
    </row>
    <row r="236" spans="3:20" x14ac:dyDescent="0.2">
      <c r="C236" s="221" t="s">
        <v>2160</v>
      </c>
      <c r="D236" s="157"/>
      <c r="E236" s="222">
        <v>242026</v>
      </c>
      <c r="F236" s="98">
        <v>36</v>
      </c>
      <c r="G236" s="100">
        <v>24</v>
      </c>
      <c r="H236" s="159" t="s">
        <v>77</v>
      </c>
      <c r="I236" s="8"/>
      <c r="J236" s="3"/>
      <c r="K236" s="17"/>
      <c r="L236" s="219">
        <v>51.1</v>
      </c>
      <c r="M236" s="220">
        <f t="shared" si="50"/>
        <v>0</v>
      </c>
      <c r="N236" s="183">
        <f t="shared" si="46"/>
        <v>2.1291666666666669</v>
      </c>
      <c r="O236" s="184">
        <f t="shared" si="51"/>
        <v>0.1852375</v>
      </c>
      <c r="P236" s="184">
        <f t="shared" si="48"/>
        <v>2.3144041666666668</v>
      </c>
      <c r="Q236" s="207">
        <v>3</v>
      </c>
      <c r="R236" s="184">
        <f t="shared" ref="R236" si="54">Q236/$R$10</f>
        <v>2.7272727272727271</v>
      </c>
      <c r="S236" s="184">
        <f t="shared" si="49"/>
        <v>0.41286856060606025</v>
      </c>
      <c r="T236" s="171">
        <f t="shared" ref="T236" si="55">S236/R236</f>
        <v>0.15138513888888877</v>
      </c>
    </row>
    <row r="237" spans="3:20" x14ac:dyDescent="0.2">
      <c r="C237" s="221" t="s">
        <v>2161</v>
      </c>
      <c r="D237" s="168">
        <v>9310676126104</v>
      </c>
      <c r="E237" s="222">
        <v>247704</v>
      </c>
      <c r="F237" s="98" t="s">
        <v>223</v>
      </c>
      <c r="G237" s="100">
        <v>4</v>
      </c>
      <c r="H237" s="159" t="s">
        <v>77</v>
      </c>
      <c r="I237" s="8"/>
      <c r="J237" s="3"/>
      <c r="K237" s="17"/>
      <c r="L237" s="219">
        <v>12.85</v>
      </c>
      <c r="M237" s="220">
        <f t="shared" si="50"/>
        <v>0</v>
      </c>
      <c r="N237" s="183">
        <f t="shared" si="46"/>
        <v>3.2124999999999999</v>
      </c>
      <c r="O237" s="184">
        <f t="shared" si="51"/>
        <v>0.2794875</v>
      </c>
      <c r="P237" s="184">
        <f t="shared" si="48"/>
        <v>3.4919875</v>
      </c>
      <c r="Q237" s="207">
        <v>5</v>
      </c>
      <c r="R237" s="184">
        <f t="shared" si="52"/>
        <v>4.545454545454545</v>
      </c>
      <c r="S237" s="184">
        <f t="shared" si="49"/>
        <v>1.0534670454545449</v>
      </c>
      <c r="T237" s="171">
        <f t="shared" si="53"/>
        <v>0.23176274999999991</v>
      </c>
    </row>
    <row r="238" spans="3:20" x14ac:dyDescent="0.2">
      <c r="C238" s="221" t="s">
        <v>2162</v>
      </c>
      <c r="D238" s="168">
        <v>9310676128306</v>
      </c>
      <c r="E238" s="222">
        <v>248085</v>
      </c>
      <c r="F238" s="98" t="s">
        <v>223</v>
      </c>
      <c r="G238" s="100">
        <v>6</v>
      </c>
      <c r="H238" s="159" t="s">
        <v>77</v>
      </c>
      <c r="I238" s="8"/>
      <c r="J238" s="3"/>
      <c r="K238" s="17"/>
      <c r="L238" s="219">
        <v>5.31</v>
      </c>
      <c r="M238" s="220">
        <f t="shared" si="50"/>
        <v>0</v>
      </c>
      <c r="N238" s="183">
        <f t="shared" si="46"/>
        <v>0.8849999999999999</v>
      </c>
      <c r="O238" s="184">
        <f t="shared" si="51"/>
        <v>7.699499999999998E-2</v>
      </c>
      <c r="P238" s="184">
        <f t="shared" si="48"/>
        <v>0.96199499999999993</v>
      </c>
      <c r="Q238" s="207">
        <v>1.3</v>
      </c>
      <c r="R238" s="184">
        <f t="shared" si="52"/>
        <v>1.1818181818181817</v>
      </c>
      <c r="S238" s="184">
        <f t="shared" si="49"/>
        <v>0.21982318181818172</v>
      </c>
      <c r="T238" s="171">
        <f t="shared" si="53"/>
        <v>0.18600423076923073</v>
      </c>
    </row>
    <row r="239" spans="3:20" x14ac:dyDescent="0.2">
      <c r="C239" s="221" t="s">
        <v>2163</v>
      </c>
      <c r="D239" s="168">
        <v>9310676128078</v>
      </c>
      <c r="E239" s="222">
        <v>248035</v>
      </c>
      <c r="F239" s="98" t="s">
        <v>223</v>
      </c>
      <c r="G239" s="100">
        <v>6</v>
      </c>
      <c r="H239" s="159" t="s">
        <v>77</v>
      </c>
      <c r="I239" s="8"/>
      <c r="J239" s="3"/>
      <c r="K239" s="17"/>
      <c r="L239" s="219">
        <v>18.52</v>
      </c>
      <c r="M239" s="220">
        <f t="shared" si="50"/>
        <v>0</v>
      </c>
      <c r="N239" s="183">
        <f t="shared" si="46"/>
        <v>3.0866666666666664</v>
      </c>
      <c r="O239" s="184">
        <f t="shared" si="51"/>
        <v>0.26853999999999995</v>
      </c>
      <c r="P239" s="184">
        <f t="shared" si="48"/>
        <v>3.3552066666666662</v>
      </c>
      <c r="Q239" s="207">
        <v>4.3</v>
      </c>
      <c r="R239" s="184">
        <f t="shared" si="52"/>
        <v>3.9090909090909087</v>
      </c>
      <c r="S239" s="184">
        <f t="shared" si="49"/>
        <v>0.5538842424242425</v>
      </c>
      <c r="T239" s="171">
        <f t="shared" si="53"/>
        <v>0.1416913178294574</v>
      </c>
    </row>
    <row r="240" spans="3:20" x14ac:dyDescent="0.2">
      <c r="C240" s="221" t="s">
        <v>2164</v>
      </c>
      <c r="D240" s="168">
        <v>9310676128122</v>
      </c>
      <c r="E240" s="222">
        <v>248580</v>
      </c>
      <c r="F240" s="98" t="s">
        <v>223</v>
      </c>
      <c r="G240" s="100">
        <v>6</v>
      </c>
      <c r="H240" s="159" t="s">
        <v>77</v>
      </c>
      <c r="I240" s="8"/>
      <c r="J240" s="3"/>
      <c r="K240" s="17"/>
      <c r="L240" s="219">
        <v>12</v>
      </c>
      <c r="M240" s="220">
        <f t="shared" si="50"/>
        <v>0</v>
      </c>
      <c r="N240" s="183">
        <f t="shared" si="46"/>
        <v>2</v>
      </c>
      <c r="O240" s="184">
        <f t="shared" si="51"/>
        <v>0.17399999999999999</v>
      </c>
      <c r="P240" s="184">
        <f t="shared" si="48"/>
        <v>2.1739999999999999</v>
      </c>
      <c r="Q240" s="207">
        <v>3</v>
      </c>
      <c r="R240" s="184">
        <f t="shared" si="52"/>
        <v>2.7272727272727271</v>
      </c>
      <c r="S240" s="184">
        <f t="shared" si="49"/>
        <v>0.55327272727272714</v>
      </c>
      <c r="T240" s="171">
        <f t="shared" si="53"/>
        <v>0.20286666666666664</v>
      </c>
    </row>
    <row r="241" spans="3:20" x14ac:dyDescent="0.2">
      <c r="C241" s="221" t="s">
        <v>2165</v>
      </c>
      <c r="D241" s="168">
        <v>9300830040629</v>
      </c>
      <c r="E241" s="222">
        <v>880484</v>
      </c>
      <c r="F241" s="98" t="s">
        <v>1876</v>
      </c>
      <c r="G241" s="100">
        <v>3</v>
      </c>
      <c r="H241" s="159" t="s">
        <v>77</v>
      </c>
      <c r="I241" s="8"/>
      <c r="J241" s="3"/>
      <c r="K241" s="17"/>
      <c r="L241" s="219">
        <v>10.58</v>
      </c>
      <c r="M241" s="220">
        <f t="shared" si="50"/>
        <v>0</v>
      </c>
      <c r="N241" s="183">
        <f t="shared" si="46"/>
        <v>3.5266666666666668</v>
      </c>
      <c r="O241" s="184">
        <f t="shared" si="51"/>
        <v>0.30681999999999998</v>
      </c>
      <c r="P241" s="184">
        <f t="shared" si="48"/>
        <v>3.8334866666666669</v>
      </c>
      <c r="Q241" s="207">
        <v>5.0999999999999996</v>
      </c>
      <c r="R241" s="184">
        <f t="shared" si="52"/>
        <v>4.6363636363636358</v>
      </c>
      <c r="S241" s="184">
        <f t="shared" si="49"/>
        <v>0.80287696969696887</v>
      </c>
      <c r="T241" s="171">
        <f t="shared" si="53"/>
        <v>0.17316954248365998</v>
      </c>
    </row>
    <row r="242" spans="3:20" x14ac:dyDescent="0.2">
      <c r="C242" s="221" t="s">
        <v>2166</v>
      </c>
      <c r="D242" s="168">
        <v>9300830040636</v>
      </c>
      <c r="E242" s="222">
        <v>883555</v>
      </c>
      <c r="F242" s="98" t="s">
        <v>1876</v>
      </c>
      <c r="G242" s="100">
        <v>3</v>
      </c>
      <c r="H242" s="159" t="s">
        <v>77</v>
      </c>
      <c r="I242" s="8"/>
      <c r="J242" s="3"/>
      <c r="K242" s="17"/>
      <c r="L242" s="219">
        <v>10.58</v>
      </c>
      <c r="M242" s="220">
        <f t="shared" si="50"/>
        <v>0</v>
      </c>
      <c r="N242" s="183">
        <f t="shared" si="46"/>
        <v>3.5266666666666668</v>
      </c>
      <c r="O242" s="184">
        <f t="shared" si="51"/>
        <v>0.30681999999999998</v>
      </c>
      <c r="P242" s="184">
        <f t="shared" si="48"/>
        <v>3.8334866666666669</v>
      </c>
      <c r="Q242" s="207">
        <v>5.0999999999999996</v>
      </c>
      <c r="R242" s="184">
        <f t="shared" si="52"/>
        <v>4.6363636363636358</v>
      </c>
      <c r="S242" s="184">
        <f t="shared" si="49"/>
        <v>0.80287696969696887</v>
      </c>
      <c r="T242" s="171">
        <f t="shared" si="53"/>
        <v>0.17316954248365998</v>
      </c>
    </row>
    <row r="243" spans="3:20" x14ac:dyDescent="0.2">
      <c r="C243" s="221" t="s">
        <v>2167</v>
      </c>
      <c r="D243" s="168">
        <v>9300830056460</v>
      </c>
      <c r="E243" s="222">
        <v>719219</v>
      </c>
      <c r="F243" s="98" t="s">
        <v>2168</v>
      </c>
      <c r="G243" s="100">
        <v>6</v>
      </c>
      <c r="H243" s="159" t="s">
        <v>77</v>
      </c>
      <c r="I243" s="8"/>
      <c r="J243" s="3"/>
      <c r="K243" s="17"/>
      <c r="L243" s="219">
        <v>38.29</v>
      </c>
      <c r="M243" s="220">
        <f t="shared" si="50"/>
        <v>0</v>
      </c>
      <c r="N243" s="183">
        <f t="shared" si="46"/>
        <v>6.3816666666666668</v>
      </c>
      <c r="O243" s="184">
        <f t="shared" si="51"/>
        <v>0.55520499999999995</v>
      </c>
      <c r="P243" s="184">
        <f t="shared" si="48"/>
        <v>6.9368716666666668</v>
      </c>
      <c r="Q243" s="207">
        <v>10</v>
      </c>
      <c r="R243" s="184">
        <f t="shared" si="52"/>
        <v>9.0909090909090899</v>
      </c>
      <c r="S243" s="184">
        <f t="shared" si="49"/>
        <v>2.1540374242424232</v>
      </c>
      <c r="T243" s="171">
        <f t="shared" si="53"/>
        <v>0.23694411666666657</v>
      </c>
    </row>
    <row r="244" spans="3:20" x14ac:dyDescent="0.2">
      <c r="C244" s="221" t="s">
        <v>2169</v>
      </c>
      <c r="D244" s="168">
        <v>9300830056453</v>
      </c>
      <c r="E244" s="222">
        <v>719235</v>
      </c>
      <c r="F244" s="98" t="s">
        <v>2168</v>
      </c>
      <c r="G244" s="100">
        <v>6</v>
      </c>
      <c r="H244" s="159" t="s">
        <v>77</v>
      </c>
      <c r="I244" s="8"/>
      <c r="J244" s="3"/>
      <c r="K244" s="17"/>
      <c r="L244" s="219">
        <v>38.29</v>
      </c>
      <c r="M244" s="220">
        <f t="shared" si="50"/>
        <v>0</v>
      </c>
      <c r="N244" s="183">
        <f t="shared" si="46"/>
        <v>6.3816666666666668</v>
      </c>
      <c r="O244" s="184">
        <f t="shared" si="51"/>
        <v>0.55520499999999995</v>
      </c>
      <c r="P244" s="184">
        <f t="shared" si="48"/>
        <v>6.9368716666666668</v>
      </c>
      <c r="Q244" s="207">
        <v>10</v>
      </c>
      <c r="R244" s="184">
        <f t="shared" si="52"/>
        <v>9.0909090909090899</v>
      </c>
      <c r="S244" s="184">
        <f t="shared" si="49"/>
        <v>2.1540374242424232</v>
      </c>
      <c r="T244" s="171">
        <f t="shared" si="53"/>
        <v>0.23694411666666657</v>
      </c>
    </row>
    <row r="245" spans="3:20" x14ac:dyDescent="0.2">
      <c r="C245" s="221" t="s">
        <v>2170</v>
      </c>
      <c r="D245" s="168">
        <v>4800888189240</v>
      </c>
      <c r="E245" s="222">
        <v>325997</v>
      </c>
      <c r="F245" s="98" t="s">
        <v>2171</v>
      </c>
      <c r="G245" s="100">
        <v>6</v>
      </c>
      <c r="H245" s="159" t="s">
        <v>77</v>
      </c>
      <c r="I245" s="8"/>
      <c r="J245" s="3"/>
      <c r="K245" s="17"/>
      <c r="L245" s="219">
        <v>19.940000000000001</v>
      </c>
      <c r="M245" s="220">
        <f t="shared" si="50"/>
        <v>0</v>
      </c>
      <c r="N245" s="183">
        <f t="shared" si="46"/>
        <v>3.3233333333333337</v>
      </c>
      <c r="O245" s="184">
        <f t="shared" si="51"/>
        <v>0.28913</v>
      </c>
      <c r="P245" s="184">
        <f t="shared" si="48"/>
        <v>3.6124633333333338</v>
      </c>
      <c r="Q245" s="207">
        <v>4.7</v>
      </c>
      <c r="R245" s="184">
        <f t="shared" si="52"/>
        <v>4.2727272727272725</v>
      </c>
      <c r="S245" s="184">
        <f t="shared" si="49"/>
        <v>0.66026393939393868</v>
      </c>
      <c r="T245" s="171">
        <f t="shared" si="53"/>
        <v>0.15452985815602821</v>
      </c>
    </row>
    <row r="246" spans="3:20" x14ac:dyDescent="0.2">
      <c r="C246" s="221" t="s">
        <v>2172</v>
      </c>
      <c r="D246" s="168">
        <v>9300711023901</v>
      </c>
      <c r="E246" s="222">
        <v>376354</v>
      </c>
      <c r="F246" s="98" t="s">
        <v>2173</v>
      </c>
      <c r="G246" s="100">
        <v>6</v>
      </c>
      <c r="H246" s="159" t="s">
        <v>77</v>
      </c>
      <c r="I246" s="8"/>
      <c r="J246" s="3"/>
      <c r="K246" s="17"/>
      <c r="L246" s="219">
        <v>19.920000000000002</v>
      </c>
      <c r="M246" s="220">
        <f t="shared" si="50"/>
        <v>0</v>
      </c>
      <c r="N246" s="183">
        <f t="shared" si="46"/>
        <v>3.3200000000000003</v>
      </c>
      <c r="O246" s="184">
        <f t="shared" si="51"/>
        <v>0.28883999999999999</v>
      </c>
      <c r="P246" s="184">
        <f t="shared" si="48"/>
        <v>3.6088400000000003</v>
      </c>
      <c r="Q246" s="207">
        <v>4.7</v>
      </c>
      <c r="R246" s="184">
        <f t="shared" si="52"/>
        <v>4.2727272727272725</v>
      </c>
      <c r="S246" s="184">
        <f t="shared" si="49"/>
        <v>0.66388727272727222</v>
      </c>
      <c r="T246" s="171">
        <f t="shared" si="53"/>
        <v>0.15537787234042541</v>
      </c>
    </row>
    <row r="247" spans="3:20" x14ac:dyDescent="0.2">
      <c r="C247" s="221" t="s">
        <v>2174</v>
      </c>
      <c r="D247" s="157"/>
      <c r="E247" s="222">
        <v>762995</v>
      </c>
      <c r="F247" s="98" t="s">
        <v>223</v>
      </c>
      <c r="G247" s="100">
        <v>6</v>
      </c>
      <c r="H247" s="159" t="s">
        <v>77</v>
      </c>
      <c r="I247" s="8"/>
      <c r="J247" s="3"/>
      <c r="K247" s="17"/>
      <c r="L247" s="219">
        <v>74.400000000000006</v>
      </c>
      <c r="M247" s="220">
        <f t="shared" si="50"/>
        <v>0</v>
      </c>
      <c r="N247" s="183">
        <f t="shared" si="46"/>
        <v>12.4</v>
      </c>
      <c r="O247" s="184">
        <f t="shared" ref="O247:O256" si="56">N247*$O$12</f>
        <v>1.0788</v>
      </c>
      <c r="P247" s="184">
        <f t="shared" si="48"/>
        <v>13.4788</v>
      </c>
      <c r="Q247" s="207">
        <v>18</v>
      </c>
      <c r="R247" s="184">
        <f t="shared" si="52"/>
        <v>16.363636363636363</v>
      </c>
      <c r="S247" s="184">
        <f t="shared" si="49"/>
        <v>2.8848363636363636</v>
      </c>
      <c r="T247" s="171">
        <f t="shared" si="53"/>
        <v>0.17629555555555557</v>
      </c>
    </row>
    <row r="248" spans="3:20" x14ac:dyDescent="0.2">
      <c r="C248" s="221" t="s">
        <v>2175</v>
      </c>
      <c r="D248" s="157"/>
      <c r="E248" s="222">
        <v>210951</v>
      </c>
      <c r="F248" s="98" t="s">
        <v>223</v>
      </c>
      <c r="G248" s="100">
        <v>6</v>
      </c>
      <c r="H248" s="159" t="s">
        <v>77</v>
      </c>
      <c r="I248" s="8"/>
      <c r="J248" s="3"/>
      <c r="K248" s="17"/>
      <c r="L248" s="219">
        <v>74.400000000000006</v>
      </c>
      <c r="M248" s="220">
        <f t="shared" si="50"/>
        <v>0</v>
      </c>
      <c r="N248" s="183">
        <f t="shared" si="46"/>
        <v>12.4</v>
      </c>
      <c r="O248" s="184">
        <f t="shared" si="56"/>
        <v>1.0788</v>
      </c>
      <c r="P248" s="184">
        <f t="shared" si="48"/>
        <v>13.4788</v>
      </c>
      <c r="Q248" s="207">
        <v>18</v>
      </c>
      <c r="R248" s="184">
        <f t="shared" si="52"/>
        <v>16.363636363636363</v>
      </c>
      <c r="S248" s="184">
        <f t="shared" si="49"/>
        <v>2.8848363636363636</v>
      </c>
      <c r="T248" s="171">
        <f t="shared" si="53"/>
        <v>0.17629555555555557</v>
      </c>
    </row>
    <row r="249" spans="3:20" x14ac:dyDescent="0.2">
      <c r="C249" s="228" t="s">
        <v>2176</v>
      </c>
      <c r="D249" s="168">
        <v>9310004151785</v>
      </c>
      <c r="E249" s="229">
        <v>982804</v>
      </c>
      <c r="F249" s="89" t="s">
        <v>2177</v>
      </c>
      <c r="G249" s="106">
        <v>24</v>
      </c>
      <c r="H249" s="159" t="s">
        <v>77</v>
      </c>
      <c r="I249" s="8"/>
      <c r="J249" s="3"/>
      <c r="K249" s="17"/>
      <c r="L249" s="219">
        <v>60.52</v>
      </c>
      <c r="M249" s="220">
        <f t="shared" si="50"/>
        <v>0</v>
      </c>
      <c r="N249" s="183">
        <f t="shared" si="46"/>
        <v>2.5216666666666669</v>
      </c>
      <c r="O249" s="184">
        <f t="shared" si="56"/>
        <v>0.219385</v>
      </c>
      <c r="P249" s="184">
        <f t="shared" si="48"/>
        <v>2.7410516666666669</v>
      </c>
      <c r="Q249" s="207">
        <v>3.9</v>
      </c>
      <c r="R249" s="184">
        <f t="shared" si="52"/>
        <v>3.545454545454545</v>
      </c>
      <c r="S249" s="184">
        <f t="shared" si="49"/>
        <v>0.80440287878787808</v>
      </c>
      <c r="T249" s="171">
        <f t="shared" si="53"/>
        <v>0.22688286324786308</v>
      </c>
    </row>
    <row r="250" spans="3:20" x14ac:dyDescent="0.2">
      <c r="C250" s="221" t="s">
        <v>2178</v>
      </c>
      <c r="D250" s="168">
        <v>9331134927736</v>
      </c>
      <c r="E250" s="229">
        <v>305549</v>
      </c>
      <c r="F250" s="89" t="s">
        <v>2179</v>
      </c>
      <c r="G250" s="106">
        <v>6</v>
      </c>
      <c r="H250" s="159" t="s">
        <v>77</v>
      </c>
      <c r="I250" s="8"/>
      <c r="J250" s="3"/>
      <c r="K250" s="17"/>
      <c r="L250" s="219">
        <v>43.13</v>
      </c>
      <c r="M250" s="220">
        <f t="shared" si="50"/>
        <v>0</v>
      </c>
      <c r="N250" s="183">
        <f t="shared" ref="N250:N251" si="57">L250/G250</f>
        <v>7.1883333333333335</v>
      </c>
      <c r="O250" s="184">
        <f t="shared" si="56"/>
        <v>0.62538499999999997</v>
      </c>
      <c r="P250" s="184">
        <f t="shared" si="48"/>
        <v>7.8137183333333331</v>
      </c>
      <c r="Q250" s="207">
        <v>10</v>
      </c>
      <c r="R250" s="184">
        <f t="shared" si="52"/>
        <v>9.0909090909090899</v>
      </c>
      <c r="S250" s="184">
        <f t="shared" si="49"/>
        <v>1.2771907575757568</v>
      </c>
      <c r="T250" s="171">
        <f t="shared" si="53"/>
        <v>0.14049098333333326</v>
      </c>
    </row>
    <row r="251" spans="3:20" x14ac:dyDescent="0.2">
      <c r="C251" s="228" t="s">
        <v>2180</v>
      </c>
      <c r="D251" s="168">
        <v>9300711074378</v>
      </c>
      <c r="E251" s="229">
        <v>15474</v>
      </c>
      <c r="F251" s="89" t="s">
        <v>2087</v>
      </c>
      <c r="G251" s="106">
        <v>12</v>
      </c>
      <c r="H251" s="159" t="s">
        <v>77</v>
      </c>
      <c r="I251" s="8"/>
      <c r="J251" s="3"/>
      <c r="K251" s="17"/>
      <c r="L251" s="219">
        <v>54.1</v>
      </c>
      <c r="M251" s="220">
        <f t="shared" si="50"/>
        <v>0</v>
      </c>
      <c r="N251" s="183">
        <f t="shared" si="57"/>
        <v>4.5083333333333337</v>
      </c>
      <c r="O251" s="184">
        <f t="shared" si="56"/>
        <v>0.39222499999999999</v>
      </c>
      <c r="P251" s="184">
        <f t="shared" si="48"/>
        <v>4.9005583333333336</v>
      </c>
      <c r="Q251" s="207">
        <v>6.3</v>
      </c>
      <c r="R251" s="184">
        <f t="shared" si="52"/>
        <v>5.7272727272727266</v>
      </c>
      <c r="S251" s="184">
        <f t="shared" si="49"/>
        <v>0.82671439393939306</v>
      </c>
      <c r="T251" s="171">
        <f t="shared" si="53"/>
        <v>0.14434695767195754</v>
      </c>
    </row>
    <row r="252" spans="3:20" x14ac:dyDescent="0.2">
      <c r="C252" s="221" t="s">
        <v>2181</v>
      </c>
      <c r="D252" s="168">
        <v>9329414000019</v>
      </c>
      <c r="E252" s="229">
        <v>612491</v>
      </c>
      <c r="F252" s="89" t="s">
        <v>1920</v>
      </c>
      <c r="G252" s="106">
        <v>8</v>
      </c>
      <c r="H252" s="159" t="s">
        <v>77</v>
      </c>
      <c r="I252" s="8"/>
      <c r="J252" s="3"/>
      <c r="K252" s="17"/>
      <c r="L252" s="219">
        <v>20.76</v>
      </c>
      <c r="M252" s="220">
        <f t="shared" si="50"/>
        <v>0</v>
      </c>
      <c r="N252" s="183">
        <f t="shared" ref="N252:N276" si="58">L252/G252</f>
        <v>2.5950000000000002</v>
      </c>
      <c r="O252" s="184">
        <f t="shared" si="56"/>
        <v>0.22576499999999999</v>
      </c>
      <c r="P252" s="184">
        <f t="shared" si="48"/>
        <v>2.8207650000000002</v>
      </c>
      <c r="Q252" s="207">
        <v>3.7</v>
      </c>
      <c r="R252" s="184">
        <f t="shared" si="52"/>
        <v>3.3636363636363633</v>
      </c>
      <c r="S252" s="184">
        <f t="shared" si="49"/>
        <v>0.54287136363636312</v>
      </c>
      <c r="T252" s="171">
        <f t="shared" si="53"/>
        <v>0.16139418918918905</v>
      </c>
    </row>
    <row r="253" spans="3:20" x14ac:dyDescent="0.2">
      <c r="C253" s="221" t="s">
        <v>2182</v>
      </c>
      <c r="D253" s="168">
        <v>8851932285438</v>
      </c>
      <c r="E253" s="229">
        <v>362287</v>
      </c>
      <c r="F253" s="89" t="s">
        <v>1922</v>
      </c>
      <c r="G253" s="106">
        <v>6</v>
      </c>
      <c r="H253" s="159" t="s">
        <v>77</v>
      </c>
      <c r="I253" s="8"/>
      <c r="J253" s="3"/>
      <c r="K253" s="17"/>
      <c r="L253" s="219">
        <v>26.29</v>
      </c>
      <c r="M253" s="220">
        <f t="shared" si="50"/>
        <v>0</v>
      </c>
      <c r="N253" s="183">
        <f t="shared" si="58"/>
        <v>4.3816666666666668</v>
      </c>
      <c r="O253" s="184">
        <f t="shared" si="56"/>
        <v>0.38120499999999996</v>
      </c>
      <c r="P253" s="184">
        <f t="shared" si="48"/>
        <v>4.7628716666666664</v>
      </c>
      <c r="Q253" s="207">
        <v>6</v>
      </c>
      <c r="R253" s="184">
        <f t="shared" si="52"/>
        <v>5.4545454545454541</v>
      </c>
      <c r="S253" s="184">
        <f t="shared" si="49"/>
        <v>0.69167378787878775</v>
      </c>
      <c r="T253" s="171">
        <f t="shared" si="53"/>
        <v>0.12680686111111109</v>
      </c>
    </row>
    <row r="254" spans="3:20" x14ac:dyDescent="0.2">
      <c r="C254" s="221" t="s">
        <v>2183</v>
      </c>
      <c r="D254" s="168">
        <v>9300618530045</v>
      </c>
      <c r="E254" s="229">
        <v>380604</v>
      </c>
      <c r="F254" s="89" t="s">
        <v>223</v>
      </c>
      <c r="G254" s="106">
        <v>12</v>
      </c>
      <c r="H254" s="159" t="s">
        <v>77</v>
      </c>
      <c r="I254" s="8"/>
      <c r="J254" s="3"/>
      <c r="K254" s="17"/>
      <c r="L254" s="219">
        <v>84.51</v>
      </c>
      <c r="M254" s="220">
        <f t="shared" si="50"/>
        <v>0</v>
      </c>
      <c r="N254" s="183">
        <f t="shared" si="58"/>
        <v>7.0425000000000004</v>
      </c>
      <c r="O254" s="184">
        <f t="shared" si="56"/>
        <v>0.61269750000000001</v>
      </c>
      <c r="P254" s="184">
        <f t="shared" si="48"/>
        <v>7.6551975000000008</v>
      </c>
      <c r="Q254" s="207">
        <v>9.8000000000000007</v>
      </c>
      <c r="R254" s="184">
        <f t="shared" si="52"/>
        <v>8.9090909090909083</v>
      </c>
      <c r="S254" s="184">
        <f t="shared" si="49"/>
        <v>1.2538934090909075</v>
      </c>
      <c r="T254" s="171">
        <f t="shared" si="53"/>
        <v>0.14074313775510189</v>
      </c>
    </row>
    <row r="255" spans="3:20" x14ac:dyDescent="0.2">
      <c r="C255" s="221" t="s">
        <v>2184</v>
      </c>
      <c r="D255" s="168">
        <v>9300618581344</v>
      </c>
      <c r="E255" s="229">
        <v>629927</v>
      </c>
      <c r="F255" s="89" t="s">
        <v>2185</v>
      </c>
      <c r="G255" s="106">
        <v>6</v>
      </c>
      <c r="H255" s="159" t="s">
        <v>77</v>
      </c>
      <c r="I255" s="8"/>
      <c r="J255" s="3"/>
      <c r="K255" s="17"/>
      <c r="L255" s="219">
        <v>74.510000000000005</v>
      </c>
      <c r="M255" s="220">
        <f t="shared" si="50"/>
        <v>0</v>
      </c>
      <c r="N255" s="183">
        <f t="shared" si="58"/>
        <v>12.418333333333335</v>
      </c>
      <c r="O255" s="184">
        <f t="shared" si="56"/>
        <v>1.080395</v>
      </c>
      <c r="P255" s="184">
        <f t="shared" si="48"/>
        <v>13.498728333333334</v>
      </c>
      <c r="Q255" s="207">
        <v>17.5</v>
      </c>
      <c r="R255" s="184">
        <f t="shared" si="52"/>
        <v>15.909090909090908</v>
      </c>
      <c r="S255" s="184">
        <f t="shared" si="49"/>
        <v>2.4103625757575742</v>
      </c>
      <c r="T255" s="171">
        <f t="shared" si="53"/>
        <v>0.15150850476190467</v>
      </c>
    </row>
    <row r="256" spans="3:20" ht="15.75" customHeight="1" thickBot="1" x14ac:dyDescent="0.25">
      <c r="C256" s="230" t="s">
        <v>2186</v>
      </c>
      <c r="D256" s="168">
        <v>9300673819727</v>
      </c>
      <c r="E256" s="242">
        <v>698861</v>
      </c>
      <c r="F256" s="233" t="s">
        <v>2187</v>
      </c>
      <c r="G256" s="165">
        <v>6</v>
      </c>
      <c r="H256" s="234" t="s">
        <v>77</v>
      </c>
      <c r="I256" s="11"/>
      <c r="J256" s="5"/>
      <c r="K256" s="18"/>
      <c r="L256" s="235">
        <v>74.739999999999995</v>
      </c>
      <c r="M256" s="247">
        <f t="shared" si="50"/>
        <v>0</v>
      </c>
      <c r="N256" s="183">
        <f t="shared" si="58"/>
        <v>12.456666666666665</v>
      </c>
      <c r="O256" s="184">
        <f t="shared" si="56"/>
        <v>1.0837299999999999</v>
      </c>
      <c r="P256" s="184">
        <f t="shared" si="48"/>
        <v>13.540396666666664</v>
      </c>
      <c r="Q256" s="266">
        <v>18</v>
      </c>
      <c r="R256" s="162">
        <f t="shared" si="52"/>
        <v>16.363636363636363</v>
      </c>
      <c r="S256" s="184">
        <f t="shared" si="49"/>
        <v>2.8232396969696989</v>
      </c>
      <c r="T256" s="163">
        <f t="shared" si="53"/>
        <v>0.17253131481481493</v>
      </c>
    </row>
    <row r="257" spans="2:20" ht="15.75" customHeight="1" thickBot="1" x14ac:dyDescent="0.25">
      <c r="C257" s="724"/>
      <c r="D257" s="725"/>
      <c r="E257" s="725"/>
      <c r="F257" s="726"/>
      <c r="G257" s="726"/>
      <c r="H257" s="726"/>
      <c r="I257" s="726"/>
      <c r="J257" s="726"/>
      <c r="K257" s="726"/>
      <c r="L257" s="726"/>
      <c r="M257" s="240">
        <f>SUM(M183:M256)</f>
        <v>0</v>
      </c>
      <c r="N257" s="183"/>
      <c r="O257" s="184"/>
      <c r="P257" s="184"/>
      <c r="Q257" s="207"/>
      <c r="R257" s="184"/>
      <c r="S257" s="184">
        <f t="shared" si="49"/>
        <v>0</v>
      </c>
      <c r="T257" s="171"/>
    </row>
    <row r="258" spans="2:20" ht="27" customHeight="1" thickBot="1" x14ac:dyDescent="0.25">
      <c r="C258" s="231" t="s">
        <v>2188</v>
      </c>
      <c r="D258" s="145" t="s">
        <v>1746</v>
      </c>
      <c r="E258" s="146" t="s">
        <v>65</v>
      </c>
      <c r="F258" s="146" t="s">
        <v>66</v>
      </c>
      <c r="G258" s="146" t="s">
        <v>1747</v>
      </c>
      <c r="H258" s="146" t="s">
        <v>1748</v>
      </c>
      <c r="I258" s="76" t="s">
        <v>1749</v>
      </c>
      <c r="J258" s="76" t="s">
        <v>1750</v>
      </c>
      <c r="K258" s="76" t="s">
        <v>1751</v>
      </c>
      <c r="L258" s="77" t="s">
        <v>1752</v>
      </c>
      <c r="M258" s="212" t="s">
        <v>25</v>
      </c>
      <c r="N258" s="426"/>
      <c r="O258" s="427"/>
      <c r="P258" s="427"/>
      <c r="Q258" s="427"/>
      <c r="R258" s="248"/>
      <c r="S258" s="248"/>
      <c r="T258" s="249"/>
    </row>
    <row r="259" spans="2:20" ht="15.75" customHeight="1" x14ac:dyDescent="0.2">
      <c r="C259" s="230" t="s">
        <v>2189</v>
      </c>
      <c r="D259" s="157"/>
      <c r="E259" s="232">
        <v>615981</v>
      </c>
      <c r="F259" s="243" t="s">
        <v>223</v>
      </c>
      <c r="G259" s="250">
        <v>10</v>
      </c>
      <c r="H259" s="234" t="s">
        <v>77</v>
      </c>
      <c r="I259" s="11"/>
      <c r="J259" s="5"/>
      <c r="K259" s="18"/>
      <c r="L259" s="235">
        <v>53.48</v>
      </c>
      <c r="M259" s="220">
        <f t="shared" si="50"/>
        <v>0</v>
      </c>
      <c r="N259" s="183">
        <f>L259/G259</f>
        <v>5.3479999999999999</v>
      </c>
      <c r="O259" s="184">
        <f>N259*$O$12</f>
        <v>0.46527599999999997</v>
      </c>
      <c r="P259" s="184">
        <f t="shared" si="48"/>
        <v>5.8132760000000001</v>
      </c>
      <c r="Q259" s="266">
        <v>18.5</v>
      </c>
      <c r="R259" s="162">
        <f t="shared" ref="R259:R262" si="59">Q259/$R$10</f>
        <v>16.818181818181817</v>
      </c>
      <c r="S259" s="184">
        <f t="shared" si="49"/>
        <v>11.004905818181816</v>
      </c>
      <c r="T259" s="163">
        <f t="shared" ref="T259:T262" si="60">S259/R259</f>
        <v>0.65434575135135131</v>
      </c>
    </row>
    <row r="260" spans="2:20" ht="15.75" customHeight="1" x14ac:dyDescent="0.2">
      <c r="C260" s="230" t="s">
        <v>2190</v>
      </c>
      <c r="D260" s="157"/>
      <c r="E260" s="232">
        <v>615923</v>
      </c>
      <c r="F260" s="243" t="s">
        <v>223</v>
      </c>
      <c r="G260" s="250">
        <v>10</v>
      </c>
      <c r="H260" s="234" t="s">
        <v>77</v>
      </c>
      <c r="I260" s="11"/>
      <c r="J260" s="5"/>
      <c r="K260" s="18"/>
      <c r="L260" s="235">
        <v>128.24</v>
      </c>
      <c r="M260" s="160">
        <f t="shared" ref="M260:M262" si="61">K260*L260</f>
        <v>0</v>
      </c>
      <c r="N260" s="183">
        <f t="shared" ref="N260:N262" si="62">L260/G260</f>
        <v>12.824000000000002</v>
      </c>
      <c r="O260" s="184">
        <f>N260*$O$12</f>
        <v>1.115688</v>
      </c>
      <c r="P260" s="184">
        <f t="shared" si="48"/>
        <v>13.939688000000002</v>
      </c>
      <c r="Q260" s="266">
        <v>28</v>
      </c>
      <c r="R260" s="162">
        <f t="shared" si="59"/>
        <v>25.454545454545453</v>
      </c>
      <c r="S260" s="184">
        <f t="shared" si="49"/>
        <v>11.514857454545451</v>
      </c>
      <c r="T260" s="163">
        <f t="shared" si="60"/>
        <v>0.45236939999999987</v>
      </c>
    </row>
    <row r="261" spans="2:20" ht="15.75" customHeight="1" x14ac:dyDescent="0.2">
      <c r="C261" s="230" t="s">
        <v>2191</v>
      </c>
      <c r="D261" s="566"/>
      <c r="E261" s="232">
        <v>719536</v>
      </c>
      <c r="F261" s="243" t="s">
        <v>223</v>
      </c>
      <c r="G261" s="250">
        <v>10</v>
      </c>
      <c r="H261" s="234" t="s">
        <v>77</v>
      </c>
      <c r="I261" s="11"/>
      <c r="J261" s="5"/>
      <c r="K261" s="18"/>
      <c r="L261" s="235">
        <v>96.47</v>
      </c>
      <c r="M261" s="247">
        <f t="shared" si="61"/>
        <v>0</v>
      </c>
      <c r="N261" s="161">
        <f t="shared" si="62"/>
        <v>9.6470000000000002</v>
      </c>
      <c r="O261" s="162">
        <f>N261*$O$12</f>
        <v>0.83928899999999995</v>
      </c>
      <c r="P261" s="162">
        <f t="shared" si="48"/>
        <v>10.486288999999999</v>
      </c>
      <c r="Q261" s="266">
        <v>14</v>
      </c>
      <c r="R261" s="162">
        <f t="shared" si="59"/>
        <v>12.727272727272727</v>
      </c>
      <c r="S261" s="162">
        <f t="shared" si="49"/>
        <v>2.2409837272727273</v>
      </c>
      <c r="T261" s="163">
        <f t="shared" si="60"/>
        <v>0.17607729285714288</v>
      </c>
    </row>
    <row r="262" spans="2:20" s="568" customFormat="1" ht="15.75" customHeight="1" x14ac:dyDescent="0.2">
      <c r="B262" s="120"/>
      <c r="C262" s="284" t="s">
        <v>2192</v>
      </c>
      <c r="D262" s="157"/>
      <c r="E262" s="222">
        <v>616076</v>
      </c>
      <c r="F262" s="101" t="s">
        <v>223</v>
      </c>
      <c r="G262" s="100">
        <v>4</v>
      </c>
      <c r="H262" s="159" t="s">
        <v>77</v>
      </c>
      <c r="I262" s="8"/>
      <c r="J262" s="3"/>
      <c r="K262" s="17"/>
      <c r="L262" s="569">
        <v>47.96</v>
      </c>
      <c r="M262" s="570">
        <f t="shared" si="61"/>
        <v>0</v>
      </c>
      <c r="N262" s="184">
        <f t="shared" si="62"/>
        <v>11.99</v>
      </c>
      <c r="O262" s="184">
        <f>N262*$O$12</f>
        <v>1.0431299999999999</v>
      </c>
      <c r="P262" s="184">
        <f t="shared" si="48"/>
        <v>13.03313</v>
      </c>
      <c r="Q262" s="207">
        <v>17.5</v>
      </c>
      <c r="R262" s="184">
        <f t="shared" si="59"/>
        <v>15.909090909090908</v>
      </c>
      <c r="S262" s="184">
        <f t="shared" si="49"/>
        <v>2.8759609090909084</v>
      </c>
      <c r="T262" s="171">
        <f t="shared" si="60"/>
        <v>0.18077468571428568</v>
      </c>
    </row>
    <row r="263" spans="2:20" ht="15.75" customHeight="1" x14ac:dyDescent="0.2">
      <c r="C263" s="571"/>
      <c r="D263" s="244"/>
      <c r="E263" s="238"/>
      <c r="F263" s="572"/>
      <c r="G263" s="314"/>
      <c r="H263" s="239"/>
      <c r="I263" s="9"/>
      <c r="J263" s="2"/>
      <c r="K263" s="16"/>
      <c r="L263" s="569"/>
      <c r="M263" s="573"/>
      <c r="N263" s="574"/>
      <c r="O263" s="419"/>
      <c r="P263" s="419"/>
      <c r="Q263" s="431"/>
      <c r="R263" s="419"/>
      <c r="S263" s="419"/>
      <c r="T263" s="421"/>
    </row>
    <row r="264" spans="2:20" x14ac:dyDescent="0.2">
      <c r="C264" s="213" t="s">
        <v>2193</v>
      </c>
      <c r="D264" s="237"/>
      <c r="E264" s="251">
        <v>55974</v>
      </c>
      <c r="F264" s="233" t="s">
        <v>2194</v>
      </c>
      <c r="G264" s="165">
        <v>12</v>
      </c>
      <c r="H264" s="239" t="s">
        <v>77</v>
      </c>
      <c r="I264" s="21"/>
      <c r="J264" s="2"/>
      <c r="K264" s="16"/>
      <c r="L264" s="569">
        <v>51.14</v>
      </c>
      <c r="M264" s="220">
        <f t="shared" si="50"/>
        <v>0</v>
      </c>
      <c r="N264" s="418">
        <f t="shared" si="58"/>
        <v>4.2616666666666667</v>
      </c>
      <c r="O264" s="419">
        <f>N264*$O$12</f>
        <v>0.37076499999999996</v>
      </c>
      <c r="P264" s="419">
        <f t="shared" si="48"/>
        <v>4.6324316666666663</v>
      </c>
      <c r="Q264" s="431">
        <v>6.2</v>
      </c>
      <c r="R264" s="567">
        <v>6.2</v>
      </c>
      <c r="S264" s="419">
        <f t="shared" si="49"/>
        <v>1.5675683333333339</v>
      </c>
      <c r="T264" s="421">
        <f>S264/R264</f>
        <v>0.25283360215053774</v>
      </c>
    </row>
    <row r="265" spans="2:20" x14ac:dyDescent="0.2">
      <c r="C265" s="221" t="s">
        <v>2195</v>
      </c>
      <c r="D265" s="168"/>
      <c r="E265" s="229">
        <v>56417</v>
      </c>
      <c r="F265" s="233" t="s">
        <v>2194</v>
      </c>
      <c r="G265" s="165">
        <v>12</v>
      </c>
      <c r="H265" s="234" t="s">
        <v>77</v>
      </c>
      <c r="I265" s="14"/>
      <c r="J265" s="5"/>
      <c r="K265" s="18"/>
      <c r="L265" s="569">
        <v>59.05</v>
      </c>
      <c r="M265" s="160">
        <f t="shared" si="50"/>
        <v>0</v>
      </c>
      <c r="N265" s="183">
        <f t="shared" si="58"/>
        <v>4.9208333333333334</v>
      </c>
      <c r="O265" s="184">
        <f>N265*$O$12</f>
        <v>0.42811249999999995</v>
      </c>
      <c r="P265" s="184">
        <f t="shared" si="48"/>
        <v>5.3489458333333335</v>
      </c>
      <c r="Q265" s="266">
        <v>5</v>
      </c>
      <c r="R265" s="254">
        <v>5</v>
      </c>
      <c r="S265" s="184">
        <f t="shared" si="49"/>
        <v>-0.34894583333333351</v>
      </c>
      <c r="T265" s="163">
        <f>S265/R265</f>
        <v>-6.9789166666666708E-2</v>
      </c>
    </row>
    <row r="266" spans="2:20" x14ac:dyDescent="0.2">
      <c r="C266" s="221" t="s">
        <v>2196</v>
      </c>
      <c r="D266" s="168"/>
      <c r="E266" s="229">
        <v>361448</v>
      </c>
      <c r="F266" s="89" t="s">
        <v>2197</v>
      </c>
      <c r="G266" s="106">
        <v>6</v>
      </c>
      <c r="H266" s="234" t="s">
        <v>77</v>
      </c>
      <c r="I266" s="15"/>
      <c r="J266" s="3"/>
      <c r="K266" s="17"/>
      <c r="L266" s="569">
        <v>33.35</v>
      </c>
      <c r="M266" s="160">
        <f t="shared" si="50"/>
        <v>0</v>
      </c>
      <c r="N266" s="183">
        <f t="shared" si="58"/>
        <v>5.5583333333333336</v>
      </c>
      <c r="O266" s="184">
        <f>N266*$O$12</f>
        <v>0.48357499999999998</v>
      </c>
      <c r="P266" s="184">
        <f t="shared" si="48"/>
        <v>6.0419083333333337</v>
      </c>
      <c r="Q266" s="207">
        <v>5.8</v>
      </c>
      <c r="R266" s="255">
        <v>5.8</v>
      </c>
      <c r="S266" s="184">
        <f t="shared" si="49"/>
        <v>-0.24190833333333384</v>
      </c>
      <c r="T266" s="163">
        <f t="shared" ref="T266:T276" si="63">S266/R266</f>
        <v>-4.1708333333333424E-2</v>
      </c>
    </row>
    <row r="267" spans="2:20" x14ac:dyDescent="0.2">
      <c r="C267" s="221" t="s">
        <v>2198</v>
      </c>
      <c r="D267" s="168"/>
      <c r="E267" s="229">
        <v>360361</v>
      </c>
      <c r="F267" s="89" t="s">
        <v>2199</v>
      </c>
      <c r="G267" s="106">
        <v>6</v>
      </c>
      <c r="H267" s="234" t="s">
        <v>77</v>
      </c>
      <c r="I267" s="15"/>
      <c r="J267" s="3"/>
      <c r="K267" s="17"/>
      <c r="L267" s="569">
        <v>33.35</v>
      </c>
      <c r="M267" s="160">
        <f t="shared" si="50"/>
        <v>0</v>
      </c>
      <c r="N267" s="183">
        <f t="shared" si="58"/>
        <v>5.5583333333333336</v>
      </c>
      <c r="O267" s="184">
        <f>N267*$O$12</f>
        <v>0.48357499999999998</v>
      </c>
      <c r="P267" s="184">
        <f t="shared" si="48"/>
        <v>6.0419083333333337</v>
      </c>
      <c r="Q267" s="207">
        <v>5.8</v>
      </c>
      <c r="R267" s="255">
        <v>5.8</v>
      </c>
      <c r="S267" s="184">
        <f t="shared" si="49"/>
        <v>-0.24190833333333384</v>
      </c>
      <c r="T267" s="163">
        <f t="shared" si="63"/>
        <v>-4.1708333333333424E-2</v>
      </c>
    </row>
    <row r="268" spans="2:20" x14ac:dyDescent="0.2">
      <c r="C268" s="221"/>
      <c r="D268" s="168"/>
      <c r="E268" s="229"/>
      <c r="F268" s="89"/>
      <c r="G268" s="89"/>
      <c r="H268" s="89"/>
      <c r="I268" s="15"/>
      <c r="J268" s="3"/>
      <c r="K268" s="17"/>
      <c r="L268" s="253"/>
      <c r="M268" s="160">
        <f t="shared" si="50"/>
        <v>0</v>
      </c>
      <c r="N268" s="183"/>
      <c r="O268" s="184"/>
      <c r="P268" s="184"/>
      <c r="Q268" s="207"/>
      <c r="R268" s="255"/>
      <c r="S268" s="184"/>
      <c r="T268" s="163"/>
    </row>
    <row r="269" spans="2:20" x14ac:dyDescent="0.2">
      <c r="C269" s="618" t="s">
        <v>2200</v>
      </c>
      <c r="D269" s="168"/>
      <c r="E269" s="229"/>
      <c r="F269" s="89"/>
      <c r="G269" s="106"/>
      <c r="H269" s="234"/>
      <c r="I269" s="15"/>
      <c r="J269" s="3"/>
      <c r="K269" s="17"/>
      <c r="L269" s="253"/>
      <c r="M269" s="160">
        <f t="shared" si="50"/>
        <v>0</v>
      </c>
      <c r="N269" s="183"/>
      <c r="O269" s="184"/>
      <c r="P269" s="184"/>
      <c r="Q269" s="207"/>
      <c r="R269" s="255"/>
      <c r="S269" s="184"/>
      <c r="T269" s="163"/>
    </row>
    <row r="270" spans="2:20" x14ac:dyDescent="0.2">
      <c r="C270" s="63" t="s">
        <v>2201</v>
      </c>
      <c r="D270" s="168"/>
      <c r="E270" s="619">
        <v>13919</v>
      </c>
      <c r="F270" s="89" t="s">
        <v>2202</v>
      </c>
      <c r="G270" s="106">
        <v>24</v>
      </c>
      <c r="H270" s="234"/>
      <c r="I270" s="15"/>
      <c r="J270" s="3"/>
      <c r="K270" s="17"/>
      <c r="L270" s="253">
        <v>51.48</v>
      </c>
      <c r="M270" s="160">
        <f t="shared" si="50"/>
        <v>0</v>
      </c>
      <c r="N270" s="183">
        <f t="shared" si="58"/>
        <v>2.145</v>
      </c>
      <c r="O270" s="184">
        <f t="shared" ref="O270:O276" si="64">N270*$O$12</f>
        <v>0.18661499999999998</v>
      </c>
      <c r="P270" s="184">
        <f t="shared" si="48"/>
        <v>2.3316150000000002</v>
      </c>
      <c r="Q270" s="207">
        <v>5.8</v>
      </c>
      <c r="R270" s="255">
        <v>5.8</v>
      </c>
      <c r="S270" s="184">
        <f t="shared" si="49"/>
        <v>3.4683849999999996</v>
      </c>
      <c r="T270" s="163">
        <f t="shared" si="63"/>
        <v>0.59799741379310345</v>
      </c>
    </row>
    <row r="271" spans="2:20" x14ac:dyDescent="0.2">
      <c r="C271" s="63" t="s">
        <v>2203</v>
      </c>
      <c r="D271" s="168"/>
      <c r="E271" s="619">
        <v>386841</v>
      </c>
      <c r="F271" s="89" t="s">
        <v>2202</v>
      </c>
      <c r="G271" s="106">
        <v>24</v>
      </c>
      <c r="H271" s="234"/>
      <c r="I271" s="15"/>
      <c r="J271" s="3"/>
      <c r="K271" s="17"/>
      <c r="L271" s="253">
        <v>51.48</v>
      </c>
      <c r="M271" s="160">
        <f t="shared" si="50"/>
        <v>0</v>
      </c>
      <c r="N271" s="183">
        <f t="shared" si="58"/>
        <v>2.145</v>
      </c>
      <c r="O271" s="184">
        <f t="shared" si="64"/>
        <v>0.18661499999999998</v>
      </c>
      <c r="P271" s="184">
        <f t="shared" ref="P271:P276" si="65">N271+O271</f>
        <v>2.3316150000000002</v>
      </c>
      <c r="Q271" s="207">
        <v>5.8</v>
      </c>
      <c r="R271" s="255">
        <v>5.8</v>
      </c>
      <c r="S271" s="184">
        <f t="shared" ref="S271:S275" si="66">R271-P271</f>
        <v>3.4683849999999996</v>
      </c>
      <c r="T271" s="163">
        <f t="shared" si="63"/>
        <v>0.59799741379310345</v>
      </c>
    </row>
    <row r="272" spans="2:20" x14ac:dyDescent="0.2">
      <c r="C272" s="63" t="s">
        <v>2201</v>
      </c>
      <c r="D272" s="168"/>
      <c r="E272" s="619">
        <v>33566</v>
      </c>
      <c r="F272" s="89" t="s">
        <v>2204</v>
      </c>
      <c r="G272" s="106">
        <v>12</v>
      </c>
      <c r="H272" s="234"/>
      <c r="I272" s="15"/>
      <c r="J272" s="3"/>
      <c r="K272" s="17"/>
      <c r="L272" s="253">
        <v>29.19</v>
      </c>
      <c r="M272" s="160">
        <f t="shared" si="50"/>
        <v>0</v>
      </c>
      <c r="N272" s="183">
        <f t="shared" si="58"/>
        <v>2.4325000000000001</v>
      </c>
      <c r="O272" s="184">
        <f t="shared" si="64"/>
        <v>0.2116275</v>
      </c>
      <c r="P272" s="184">
        <f t="shared" si="65"/>
        <v>2.6441275000000002</v>
      </c>
      <c r="Q272" s="207">
        <v>5.8</v>
      </c>
      <c r="R272" s="255">
        <v>5.8</v>
      </c>
      <c r="S272" s="184">
        <f t="shared" si="66"/>
        <v>3.1558724999999996</v>
      </c>
      <c r="T272" s="163">
        <f t="shared" si="63"/>
        <v>0.54411594827586207</v>
      </c>
    </row>
    <row r="273" spans="3:20" x14ac:dyDescent="0.2">
      <c r="C273" s="618"/>
      <c r="D273" s="168"/>
      <c r="E273" s="619"/>
      <c r="F273" s="89"/>
      <c r="G273" s="106"/>
      <c r="H273" s="234"/>
      <c r="I273" s="15"/>
      <c r="J273" s="3"/>
      <c r="K273" s="17"/>
      <c r="L273" s="253"/>
      <c r="M273" s="160"/>
      <c r="N273" s="183"/>
      <c r="O273" s="184"/>
      <c r="P273" s="184"/>
      <c r="Q273" s="207"/>
      <c r="R273" s="255"/>
      <c r="S273" s="184"/>
      <c r="T273" s="163"/>
    </row>
    <row r="274" spans="3:20" x14ac:dyDescent="0.2">
      <c r="C274" s="63" t="s">
        <v>2205</v>
      </c>
      <c r="D274" s="168"/>
      <c r="E274" s="619">
        <v>996484</v>
      </c>
      <c r="F274" s="89" t="s">
        <v>2206</v>
      </c>
      <c r="G274" s="106">
        <v>8</v>
      </c>
      <c r="H274" s="234"/>
      <c r="I274" s="15"/>
      <c r="J274" s="3"/>
      <c r="K274" s="17"/>
      <c r="L274" s="253">
        <v>8.4499999999999993</v>
      </c>
      <c r="M274" s="160"/>
      <c r="N274" s="183">
        <f t="shared" si="58"/>
        <v>1.0562499999999999</v>
      </c>
      <c r="O274" s="184">
        <f t="shared" si="64"/>
        <v>9.1893749999999982E-2</v>
      </c>
      <c r="P274" s="184">
        <f t="shared" si="65"/>
        <v>1.1481437499999998</v>
      </c>
      <c r="Q274" s="207">
        <v>5.8</v>
      </c>
      <c r="R274" s="255">
        <v>5.8</v>
      </c>
      <c r="S274" s="184">
        <f t="shared" si="66"/>
        <v>4.6518562499999998</v>
      </c>
      <c r="T274" s="163">
        <f t="shared" si="63"/>
        <v>0.80204418103448272</v>
      </c>
    </row>
    <row r="275" spans="3:20" x14ac:dyDescent="0.2">
      <c r="C275" s="63" t="s">
        <v>2207</v>
      </c>
      <c r="D275" s="168"/>
      <c r="E275" s="619">
        <v>472634</v>
      </c>
      <c r="F275" s="89" t="s">
        <v>2208</v>
      </c>
      <c r="G275" s="106">
        <v>24</v>
      </c>
      <c r="H275" s="234"/>
      <c r="I275" s="15"/>
      <c r="J275" s="3"/>
      <c r="K275" s="17"/>
      <c r="L275" s="253">
        <v>14.37</v>
      </c>
      <c r="M275" s="160"/>
      <c r="N275" s="183">
        <f t="shared" si="58"/>
        <v>0.59875</v>
      </c>
      <c r="O275" s="184">
        <f t="shared" si="64"/>
        <v>5.2091249999999999E-2</v>
      </c>
      <c r="P275" s="184">
        <f t="shared" si="65"/>
        <v>0.65084125000000004</v>
      </c>
      <c r="Q275" s="207">
        <v>5.8</v>
      </c>
      <c r="R275" s="255">
        <v>5.8</v>
      </c>
      <c r="S275" s="184">
        <f t="shared" si="66"/>
        <v>5.1491587499999998</v>
      </c>
      <c r="T275" s="163">
        <f t="shared" si="63"/>
        <v>0.88778599137931036</v>
      </c>
    </row>
    <row r="276" spans="3:20" x14ac:dyDescent="0.2">
      <c r="C276" s="63" t="s">
        <v>2209</v>
      </c>
      <c r="D276" s="168"/>
      <c r="E276" s="619">
        <v>414945</v>
      </c>
      <c r="F276" s="89" t="s">
        <v>2210</v>
      </c>
      <c r="G276" s="106">
        <v>24</v>
      </c>
      <c r="H276" s="234"/>
      <c r="I276" s="15"/>
      <c r="J276" s="3"/>
      <c r="K276" s="17"/>
      <c r="L276" s="253">
        <v>45.6</v>
      </c>
      <c r="M276" s="160"/>
      <c r="N276" s="183">
        <f t="shared" si="58"/>
        <v>1.9000000000000001</v>
      </c>
      <c r="O276" s="184">
        <f t="shared" si="64"/>
        <v>0.1653</v>
      </c>
      <c r="P276" s="184">
        <f t="shared" si="65"/>
        <v>2.0653000000000001</v>
      </c>
      <c r="Q276" s="207">
        <v>5.8</v>
      </c>
      <c r="R276" s="255">
        <v>5.8</v>
      </c>
      <c r="S276" s="184"/>
      <c r="T276" s="163">
        <f t="shared" si="63"/>
        <v>0</v>
      </c>
    </row>
    <row r="277" spans="3:20" ht="17" thickBot="1" x14ac:dyDescent="0.25">
      <c r="C277" s="230"/>
      <c r="D277" s="256"/>
      <c r="E277" s="619"/>
      <c r="F277" s="233"/>
      <c r="G277" s="165"/>
      <c r="H277" s="234"/>
      <c r="I277" s="14"/>
      <c r="J277" s="5"/>
      <c r="K277" s="18"/>
      <c r="L277" s="253"/>
      <c r="M277" s="172"/>
      <c r="N277" s="173"/>
      <c r="O277" s="174"/>
      <c r="P277" s="174"/>
      <c r="Q277" s="267"/>
      <c r="R277" s="257"/>
      <c r="S277" s="174"/>
      <c r="T277" s="258"/>
    </row>
    <row r="278" spans="3:20" ht="17" thickBot="1" x14ac:dyDescent="0.25">
      <c r="C278" s="693"/>
      <c r="D278" s="728"/>
      <c r="E278" s="728"/>
      <c r="F278" s="694"/>
      <c r="G278" s="694"/>
      <c r="H278" s="694"/>
      <c r="I278" s="694"/>
      <c r="J278" s="694"/>
      <c r="K278" s="694"/>
      <c r="L278" s="694"/>
      <c r="M278" s="259">
        <f>SUM(M259:M277)</f>
        <v>0</v>
      </c>
    </row>
  </sheetData>
  <mergeCells count="20">
    <mergeCell ref="F6:G6"/>
    <mergeCell ref="F7:G7"/>
    <mergeCell ref="F8:G8"/>
    <mergeCell ref="C257:L257"/>
    <mergeCell ref="C278:L278"/>
    <mergeCell ref="C181:L181"/>
    <mergeCell ref="C6:E6"/>
    <mergeCell ref="C7:E7"/>
    <mergeCell ref="C8:E8"/>
    <mergeCell ref="J2:K2"/>
    <mergeCell ref="J3:K3"/>
    <mergeCell ref="J4:K4"/>
    <mergeCell ref="J5:K5"/>
    <mergeCell ref="C3:E3"/>
    <mergeCell ref="C4:E4"/>
    <mergeCell ref="C5:E5"/>
    <mergeCell ref="F4:G4"/>
    <mergeCell ref="F5:G5"/>
    <mergeCell ref="C2:G2"/>
    <mergeCell ref="F3:G3"/>
  </mergeCells>
  <phoneticPr fontId="23" type="noConversion"/>
  <hyperlinks>
    <hyperlink ref="J4" r:id="rId1" xr:uid="{39E054C5-8D32-46C7-8913-9DE4DF23F28D}"/>
  </hyperlinks>
  <pageMargins left="0.23622047244094491" right="0.23622047244094491" top="0.74803149606299213" bottom="0.74803149606299213" header="0.31496062992125984" footer="0.31496062992125984"/>
  <pageSetup paperSize="9" scale="48" fitToHeight="6"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3F57E-04CF-4E4A-B4E4-FE6C6C44A8C9}">
  <sheetPr>
    <tabColor rgb="FFFFFF00"/>
    <pageSetUpPr fitToPage="1"/>
  </sheetPr>
  <dimension ref="C1:T96"/>
  <sheetViews>
    <sheetView zoomScale="136" zoomScaleNormal="80" workbookViewId="0">
      <selection activeCell="L94" sqref="L94:L95"/>
    </sheetView>
  </sheetViews>
  <sheetFormatPr baseColWidth="10" defaultColWidth="11" defaultRowHeight="16" x14ac:dyDescent="0.2"/>
  <cols>
    <col min="1" max="2" width="5.6640625" style="120" customWidth="1"/>
    <col min="3" max="3" width="36.6640625" style="120" bestFit="1" customWidth="1"/>
    <col min="4" max="4" width="17.5" style="120" bestFit="1" customWidth="1"/>
    <col min="5" max="5" width="9.5" style="120" customWidth="1"/>
    <col min="6" max="6" width="11.83203125" style="120" customWidth="1"/>
    <col min="7" max="7" width="15.6640625" style="120" customWidth="1"/>
    <col min="8" max="8" width="15.1640625" style="120" bestFit="1" customWidth="1"/>
    <col min="9" max="10" width="15.6640625" style="129" customWidth="1"/>
    <col min="11" max="11" width="15.6640625" style="130" customWidth="1"/>
    <col min="12" max="16" width="15.6640625" style="120" customWidth="1"/>
    <col min="17" max="17" width="15.6640625" style="131" customWidth="1"/>
    <col min="18" max="20" width="15.6640625" style="120" customWidth="1"/>
    <col min="21" max="21" width="17.5" style="120" customWidth="1"/>
    <col min="22" max="16384" width="11" style="120"/>
  </cols>
  <sheetData>
    <row r="1" spans="3:20" ht="17" thickBot="1" x14ac:dyDescent="0.25"/>
    <row r="2" spans="3:20" ht="15.5" customHeight="1" x14ac:dyDescent="0.2">
      <c r="C2" s="630" t="s">
        <v>2211</v>
      </c>
      <c r="D2" s="669"/>
      <c r="E2" s="669"/>
      <c r="F2" s="729"/>
      <c r="G2" s="132"/>
      <c r="I2" s="699" t="s">
        <v>61</v>
      </c>
      <c r="J2" s="699"/>
      <c r="K2" s="131"/>
      <c r="Q2" s="120"/>
    </row>
    <row r="3" spans="3:20" x14ac:dyDescent="0.2">
      <c r="C3" s="97" t="s">
        <v>62</v>
      </c>
      <c r="D3" s="133"/>
      <c r="E3" s="667" t="s">
        <v>1745</v>
      </c>
      <c r="F3" s="707"/>
      <c r="G3" s="134"/>
      <c r="I3" s="720" t="str">
        <f>COVER!C9</f>
        <v>ian.shotam@programmed.com.au</v>
      </c>
      <c r="J3" s="721"/>
      <c r="K3" s="131"/>
      <c r="Q3" s="120"/>
    </row>
    <row r="4" spans="3:20" x14ac:dyDescent="0.2">
      <c r="C4" s="97" t="str">
        <f>COVER!B12</f>
        <v>SITE</v>
      </c>
      <c r="D4" s="133"/>
      <c r="E4" s="732" t="str">
        <f>COVER!C12</f>
        <v>GOLDEN GROVE</v>
      </c>
      <c r="F4" s="733"/>
      <c r="G4" s="134"/>
      <c r="I4" s="736" t="s">
        <v>2212</v>
      </c>
      <c r="J4" s="737"/>
      <c r="K4" s="131"/>
      <c r="Q4" s="120"/>
    </row>
    <row r="5" spans="3:20" x14ac:dyDescent="0.2">
      <c r="C5" s="97" t="str">
        <f>COVER!B13</f>
        <v>MANAGERS NAME</v>
      </c>
      <c r="D5" s="133"/>
      <c r="E5" s="732" t="str">
        <f>COVER!C13</f>
        <v>Ian Shotam</v>
      </c>
      <c r="F5" s="733"/>
      <c r="G5" s="134"/>
      <c r="I5" s="736" t="s">
        <v>58</v>
      </c>
      <c r="J5" s="737"/>
      <c r="K5" s="131"/>
      <c r="Q5" s="120"/>
    </row>
    <row r="6" spans="3:20" x14ac:dyDescent="0.2">
      <c r="C6" s="97" t="str">
        <f>COVER!B14</f>
        <v>DATE - ORDER PLACED</v>
      </c>
      <c r="D6" s="133"/>
      <c r="E6" s="734">
        <f>COVER!C14</f>
        <v>45082</v>
      </c>
      <c r="F6" s="735"/>
      <c r="G6" s="135"/>
      <c r="I6" s="727" t="s">
        <v>59</v>
      </c>
      <c r="J6" s="717"/>
      <c r="K6" s="131"/>
      <c r="Q6" s="120"/>
    </row>
    <row r="7" spans="3:20" ht="34.5" customHeight="1" x14ac:dyDescent="0.2">
      <c r="C7" s="544" t="str">
        <f>COVER!B15</f>
        <v>DATE - DELIVERY PERTH - FREIGHT LINES, 12-26 RIVERSDALE RD, WELSHPOOL WA 6100</v>
      </c>
      <c r="D7" s="133"/>
      <c r="E7" s="734">
        <f>COVER!C15</f>
        <v>45085</v>
      </c>
      <c r="F7" s="735"/>
      <c r="G7" s="135"/>
      <c r="I7" s="727" t="s">
        <v>2213</v>
      </c>
      <c r="J7" s="717"/>
      <c r="K7" s="131"/>
      <c r="Q7" s="120"/>
    </row>
    <row r="8" spans="3:20" ht="17" thickBot="1" x14ac:dyDescent="0.25">
      <c r="C8" s="136" t="str">
        <f>COVER!B16</f>
        <v>DATE - ESTIMATED ARRIVAL SITE</v>
      </c>
      <c r="D8" s="137"/>
      <c r="E8" s="730">
        <f>COVER!C16</f>
        <v>45086</v>
      </c>
      <c r="F8" s="731"/>
      <c r="G8" s="135"/>
      <c r="I8" s="120"/>
      <c r="J8" s="120"/>
      <c r="K8" s="131"/>
      <c r="Q8" s="120"/>
    </row>
    <row r="9" spans="3:20" ht="17" thickBot="1" x14ac:dyDescent="0.25"/>
    <row r="10" spans="3:20" ht="30" customHeight="1" thickBot="1" x14ac:dyDescent="0.25">
      <c r="C10" s="138" t="s">
        <v>39</v>
      </c>
      <c r="D10" s="139"/>
      <c r="E10" s="140"/>
      <c r="F10" s="140"/>
      <c r="G10" s="140"/>
      <c r="H10" s="140"/>
      <c r="I10" s="141"/>
      <c r="J10" s="141"/>
      <c r="K10" s="141"/>
      <c r="L10" s="142"/>
      <c r="M10" s="143"/>
      <c r="R10" s="129">
        <v>1.1000000000000001</v>
      </c>
    </row>
    <row r="11" spans="3:20" ht="31" thickBot="1" x14ac:dyDescent="0.25">
      <c r="C11" s="144" t="s">
        <v>2214</v>
      </c>
      <c r="D11" s="145" t="s">
        <v>2215</v>
      </c>
      <c r="E11" s="146" t="s">
        <v>65</v>
      </c>
      <c r="F11" s="146" t="s">
        <v>66</v>
      </c>
      <c r="G11" s="146" t="s">
        <v>2216</v>
      </c>
      <c r="H11" s="146" t="s">
        <v>1748</v>
      </c>
      <c r="I11" s="76" t="s">
        <v>1749</v>
      </c>
      <c r="J11" s="76" t="s">
        <v>1750</v>
      </c>
      <c r="K11" s="76" t="s">
        <v>1751</v>
      </c>
      <c r="L11" s="147" t="s">
        <v>2217</v>
      </c>
      <c r="M11" s="148" t="s">
        <v>25</v>
      </c>
      <c r="N11" s="738" t="s">
        <v>1753</v>
      </c>
      <c r="O11" s="739"/>
      <c r="P11" s="740"/>
      <c r="Q11" s="150" t="s">
        <v>1754</v>
      </c>
      <c r="R11" s="151" t="s">
        <v>1755</v>
      </c>
      <c r="S11" s="152" t="s">
        <v>1756</v>
      </c>
      <c r="T11" s="153" t="s">
        <v>1757</v>
      </c>
    </row>
    <row r="12" spans="3:20" x14ac:dyDescent="0.2">
      <c r="C12" s="404"/>
      <c r="D12" s="405"/>
      <c r="E12" s="406"/>
      <c r="F12" s="407"/>
      <c r="G12" s="406"/>
      <c r="H12" s="406"/>
      <c r="I12" s="408"/>
      <c r="J12" s="408"/>
      <c r="K12" s="408"/>
      <c r="L12" s="409"/>
      <c r="M12" s="410"/>
      <c r="N12" s="414"/>
      <c r="O12" s="416">
        <v>8.6999999999999994E-2</v>
      </c>
      <c r="P12" s="416"/>
      <c r="Q12" s="411"/>
      <c r="R12" s="408"/>
      <c r="S12" s="412"/>
      <c r="T12" s="413"/>
    </row>
    <row r="13" spans="3:20" x14ac:dyDescent="0.2">
      <c r="C13" s="400" t="s">
        <v>2218</v>
      </c>
      <c r="D13" s="401">
        <v>9334944003416</v>
      </c>
      <c r="E13" s="245">
        <v>6870</v>
      </c>
      <c r="F13" s="402" t="s">
        <v>2219</v>
      </c>
      <c r="G13" s="314">
        <v>30</v>
      </c>
      <c r="H13" s="239" t="s">
        <v>77</v>
      </c>
      <c r="I13" s="9"/>
      <c r="J13" s="2"/>
      <c r="K13" s="16"/>
      <c r="L13" s="403">
        <v>41.9</v>
      </c>
      <c r="M13" s="220">
        <f t="shared" ref="M13:M31" si="0">K13*L13</f>
        <v>0</v>
      </c>
      <c r="N13" s="415">
        <f>SUM(L13/G13)</f>
        <v>1.3966666666666667</v>
      </c>
      <c r="O13" s="417">
        <f>N13*$O$12</f>
        <v>0.12150999999999999</v>
      </c>
      <c r="P13" s="417">
        <f>N13+O13</f>
        <v>1.5181766666666667</v>
      </c>
      <c r="Q13" s="205">
        <v>3.5</v>
      </c>
      <c r="R13" s="154">
        <f>Q13/$R$10</f>
        <v>3.1818181818181817</v>
      </c>
      <c r="S13" s="417">
        <f>R13-P13</f>
        <v>1.6636415151515149</v>
      </c>
      <c r="T13" s="155">
        <f t="shared" ref="T13:T31" si="1">S13/R13</f>
        <v>0.52285876190476188</v>
      </c>
    </row>
    <row r="14" spans="3:20" x14ac:dyDescent="0.2">
      <c r="C14" s="156" t="s">
        <v>2220</v>
      </c>
      <c r="D14" s="397">
        <v>9350709000186</v>
      </c>
      <c r="E14" s="101">
        <v>7457</v>
      </c>
      <c r="F14" s="158" t="s">
        <v>2219</v>
      </c>
      <c r="G14" s="100">
        <v>16</v>
      </c>
      <c r="H14" s="159" t="s">
        <v>77</v>
      </c>
      <c r="I14" s="8"/>
      <c r="J14" s="3"/>
      <c r="K14" s="17"/>
      <c r="L14" s="200">
        <v>43.34</v>
      </c>
      <c r="M14" s="160">
        <f t="shared" si="0"/>
        <v>0</v>
      </c>
      <c r="N14" s="183">
        <f>SUM(L14/G14)</f>
        <v>2.7087500000000002</v>
      </c>
      <c r="O14" s="184">
        <f>N14*$O$12</f>
        <v>0.23566124999999999</v>
      </c>
      <c r="P14" s="184">
        <f>N14+O14</f>
        <v>2.9444112500000004</v>
      </c>
      <c r="Q14" s="206">
        <v>4</v>
      </c>
      <c r="R14" s="162">
        <f>Q14/$R$10</f>
        <v>3.6363636363636362</v>
      </c>
      <c r="S14" s="184">
        <f t="shared" ref="S14:S28" si="2">R14-P14</f>
        <v>0.69195238636363587</v>
      </c>
      <c r="T14" s="163">
        <f t="shared" si="1"/>
        <v>0.19028690624999986</v>
      </c>
    </row>
    <row r="15" spans="3:20" x14ac:dyDescent="0.2">
      <c r="C15" s="156" t="s">
        <v>2221</v>
      </c>
      <c r="D15" s="397">
        <v>9320000109918</v>
      </c>
      <c r="E15" s="101">
        <v>17562</v>
      </c>
      <c r="F15" s="158" t="s">
        <v>2219</v>
      </c>
      <c r="G15" s="100">
        <v>30</v>
      </c>
      <c r="H15" s="159" t="s">
        <v>77</v>
      </c>
      <c r="I15" s="8"/>
      <c r="J15" s="3"/>
      <c r="K15" s="17"/>
      <c r="L15" s="200">
        <v>49.55</v>
      </c>
      <c r="M15" s="160">
        <f t="shared" si="0"/>
        <v>0</v>
      </c>
      <c r="N15" s="161">
        <f t="shared" ref="N15:N31" si="3">L15/G15</f>
        <v>1.6516666666666666</v>
      </c>
      <c r="O15" s="184">
        <f t="shared" ref="O15:O80" si="4">N15*$O$12</f>
        <v>0.14369499999999999</v>
      </c>
      <c r="P15" s="184">
        <f t="shared" ref="P15:P80" si="5">N15+O15</f>
        <v>1.7953616666666665</v>
      </c>
      <c r="Q15" s="206">
        <v>3.5</v>
      </c>
      <c r="R15" s="162">
        <f t="shared" ref="R15:R17" si="6">Q15/$R$10</f>
        <v>3.1818181818181817</v>
      </c>
      <c r="S15" s="184">
        <f t="shared" si="2"/>
        <v>1.3864565151515151</v>
      </c>
      <c r="T15" s="163">
        <f t="shared" si="1"/>
        <v>0.43574347619047621</v>
      </c>
    </row>
    <row r="16" spans="3:20" x14ac:dyDescent="0.2">
      <c r="C16" s="164" t="s">
        <v>2222</v>
      </c>
      <c r="D16" s="398">
        <v>9320000503907</v>
      </c>
      <c r="E16" s="101">
        <v>6908</v>
      </c>
      <c r="F16" s="158" t="s">
        <v>2219</v>
      </c>
      <c r="G16" s="250">
        <v>24</v>
      </c>
      <c r="H16" s="159" t="s">
        <v>77</v>
      </c>
      <c r="I16" s="11"/>
      <c r="J16" s="3"/>
      <c r="K16" s="18"/>
      <c r="L16" s="200">
        <v>31.78</v>
      </c>
      <c r="M16" s="160">
        <f t="shared" si="0"/>
        <v>0</v>
      </c>
      <c r="N16" s="161">
        <f t="shared" si="3"/>
        <v>1.3241666666666667</v>
      </c>
      <c r="O16" s="184">
        <f t="shared" si="4"/>
        <v>0.1152025</v>
      </c>
      <c r="P16" s="184">
        <f t="shared" si="5"/>
        <v>1.4393691666666668</v>
      </c>
      <c r="Q16" s="206">
        <v>2.5</v>
      </c>
      <c r="R16" s="162">
        <f t="shared" si="6"/>
        <v>2.2727272727272725</v>
      </c>
      <c r="S16" s="184">
        <f t="shared" si="2"/>
        <v>0.83335810606060567</v>
      </c>
      <c r="T16" s="163">
        <f t="shared" si="1"/>
        <v>0.36667756666666651</v>
      </c>
    </row>
    <row r="17" spans="3:20" x14ac:dyDescent="0.2">
      <c r="C17" s="164" t="s">
        <v>2223</v>
      </c>
      <c r="D17" s="398">
        <v>9351932000080</v>
      </c>
      <c r="E17" s="117">
        <v>6230</v>
      </c>
      <c r="F17" s="158" t="s">
        <v>2219</v>
      </c>
      <c r="G17" s="250">
        <v>24</v>
      </c>
      <c r="H17" s="159" t="s">
        <v>77</v>
      </c>
      <c r="I17" s="11"/>
      <c r="J17" s="3"/>
      <c r="K17" s="18"/>
      <c r="L17" s="200">
        <v>67.099999999999994</v>
      </c>
      <c r="M17" s="160">
        <f t="shared" si="0"/>
        <v>0</v>
      </c>
      <c r="N17" s="161">
        <f t="shared" si="3"/>
        <v>2.7958333333333329</v>
      </c>
      <c r="O17" s="184">
        <f t="shared" si="4"/>
        <v>0.24323749999999994</v>
      </c>
      <c r="P17" s="184">
        <f t="shared" si="5"/>
        <v>3.0390708333333327</v>
      </c>
      <c r="Q17" s="206">
        <v>4.5</v>
      </c>
      <c r="R17" s="162">
        <f t="shared" si="6"/>
        <v>4.0909090909090908</v>
      </c>
      <c r="S17" s="184">
        <f t="shared" si="2"/>
        <v>1.0518382575757581</v>
      </c>
      <c r="T17" s="163">
        <f t="shared" si="1"/>
        <v>0.25711601851851867</v>
      </c>
    </row>
    <row r="18" spans="3:20" x14ac:dyDescent="0.2">
      <c r="C18" s="164" t="s">
        <v>2224</v>
      </c>
      <c r="D18" s="398">
        <v>9310441002008</v>
      </c>
      <c r="E18" s="117">
        <v>2115</v>
      </c>
      <c r="F18" s="158" t="s">
        <v>2219</v>
      </c>
      <c r="G18" s="250">
        <v>24</v>
      </c>
      <c r="H18" s="159" t="s">
        <v>77</v>
      </c>
      <c r="I18" s="11"/>
      <c r="J18" s="3"/>
      <c r="K18" s="18"/>
      <c r="L18" s="200">
        <v>46.26</v>
      </c>
      <c r="M18" s="160">
        <f t="shared" ref="M18" si="7">K18*L18</f>
        <v>0</v>
      </c>
      <c r="N18" s="161">
        <f t="shared" ref="N18" si="8">L18/G18</f>
        <v>1.9275</v>
      </c>
      <c r="O18" s="184">
        <f t="shared" si="4"/>
        <v>0.16769249999999999</v>
      </c>
      <c r="P18" s="184">
        <f t="shared" si="5"/>
        <v>2.0951925</v>
      </c>
      <c r="Q18" s="206">
        <v>3.5</v>
      </c>
      <c r="R18" s="162">
        <f t="shared" ref="R18" si="9">Q18/$R$10</f>
        <v>3.1818181818181817</v>
      </c>
      <c r="S18" s="184">
        <f t="shared" si="2"/>
        <v>1.0866256818181816</v>
      </c>
      <c r="T18" s="163">
        <f t="shared" ref="T18" si="10">S18/R18</f>
        <v>0.34151092857142851</v>
      </c>
    </row>
    <row r="19" spans="3:20" x14ac:dyDescent="0.2">
      <c r="C19" s="164" t="s">
        <v>2225</v>
      </c>
      <c r="D19" s="398">
        <v>9336707001264</v>
      </c>
      <c r="E19" s="117">
        <v>8068</v>
      </c>
      <c r="F19" s="158" t="s">
        <v>2219</v>
      </c>
      <c r="G19" s="250">
        <v>16</v>
      </c>
      <c r="H19" s="159" t="s">
        <v>77</v>
      </c>
      <c r="I19" s="11"/>
      <c r="J19" s="3"/>
      <c r="K19" s="18"/>
      <c r="L19" s="200">
        <v>43.29</v>
      </c>
      <c r="M19" s="160">
        <f t="shared" ref="M19:M24" si="11">K19*L19</f>
        <v>0</v>
      </c>
      <c r="N19" s="161">
        <f t="shared" ref="N19:N24" si="12">L19/G19</f>
        <v>2.7056249999999999</v>
      </c>
      <c r="O19" s="184">
        <f t="shared" si="4"/>
        <v>0.23538937499999998</v>
      </c>
      <c r="P19" s="184">
        <f t="shared" si="5"/>
        <v>2.941014375</v>
      </c>
      <c r="Q19" s="206">
        <v>4</v>
      </c>
      <c r="R19" s="162">
        <f t="shared" ref="R19:R24" si="13">Q19/$R$10</f>
        <v>3.6363636363636362</v>
      </c>
      <c r="S19" s="184">
        <f t="shared" si="2"/>
        <v>0.69534926136363628</v>
      </c>
      <c r="T19" s="163">
        <f t="shared" ref="T19:T24" si="14">S19/R19</f>
        <v>0.19122104687499999</v>
      </c>
    </row>
    <row r="20" spans="3:20" x14ac:dyDescent="0.2">
      <c r="C20" s="164" t="s">
        <v>2226</v>
      </c>
      <c r="D20" s="398">
        <v>9334944004413</v>
      </c>
      <c r="E20" s="117">
        <v>6912</v>
      </c>
      <c r="F20" s="158" t="s">
        <v>2219</v>
      </c>
      <c r="G20" s="250">
        <v>24</v>
      </c>
      <c r="H20" s="159" t="s">
        <v>77</v>
      </c>
      <c r="I20" s="11"/>
      <c r="J20" s="3"/>
      <c r="K20" s="18"/>
      <c r="L20" s="200">
        <v>51.98</v>
      </c>
      <c r="M20" s="160">
        <f t="shared" si="11"/>
        <v>0</v>
      </c>
      <c r="N20" s="161">
        <f t="shared" si="12"/>
        <v>2.1658333333333331</v>
      </c>
      <c r="O20" s="184">
        <f t="shared" si="4"/>
        <v>0.18842749999999997</v>
      </c>
      <c r="P20" s="184">
        <f t="shared" si="5"/>
        <v>2.354260833333333</v>
      </c>
      <c r="Q20" s="206">
        <v>5.5</v>
      </c>
      <c r="R20" s="162">
        <f t="shared" si="13"/>
        <v>5</v>
      </c>
      <c r="S20" s="184">
        <f t="shared" si="2"/>
        <v>2.645739166666667</v>
      </c>
      <c r="T20" s="163">
        <f t="shared" si="14"/>
        <v>0.52914783333333337</v>
      </c>
    </row>
    <row r="21" spans="3:20" x14ac:dyDescent="0.2">
      <c r="C21" s="164" t="s">
        <v>2227</v>
      </c>
      <c r="D21" s="398">
        <v>9334944002518</v>
      </c>
      <c r="E21" s="117">
        <v>6691</v>
      </c>
      <c r="F21" s="158" t="s">
        <v>2219</v>
      </c>
      <c r="G21" s="250">
        <v>24</v>
      </c>
      <c r="H21" s="159" t="s">
        <v>77</v>
      </c>
      <c r="I21" s="11"/>
      <c r="J21" s="3"/>
      <c r="K21" s="18"/>
      <c r="L21" s="200">
        <v>54.54</v>
      </c>
      <c r="M21" s="160">
        <f t="shared" si="11"/>
        <v>0</v>
      </c>
      <c r="N21" s="161">
        <f t="shared" si="12"/>
        <v>2.2725</v>
      </c>
      <c r="O21" s="184">
        <f t="shared" si="4"/>
        <v>0.19770749999999998</v>
      </c>
      <c r="P21" s="184">
        <f t="shared" si="5"/>
        <v>2.4702074999999999</v>
      </c>
      <c r="Q21" s="206">
        <v>4</v>
      </c>
      <c r="R21" s="162">
        <f t="shared" si="13"/>
        <v>3.6363636363636362</v>
      </c>
      <c r="S21" s="184">
        <f t="shared" si="2"/>
        <v>1.1661561363636364</v>
      </c>
      <c r="T21" s="163">
        <f t="shared" si="14"/>
        <v>0.3206929375</v>
      </c>
    </row>
    <row r="22" spans="3:20" x14ac:dyDescent="0.2">
      <c r="C22" s="164" t="s">
        <v>2228</v>
      </c>
      <c r="D22" s="397">
        <v>9334944000316</v>
      </c>
      <c r="E22" s="101">
        <v>7538</v>
      </c>
      <c r="F22" s="158" t="s">
        <v>2219</v>
      </c>
      <c r="G22" s="250">
        <v>24</v>
      </c>
      <c r="H22" s="159" t="s">
        <v>77</v>
      </c>
      <c r="I22" s="11"/>
      <c r="J22" s="3"/>
      <c r="K22" s="18"/>
      <c r="L22" s="200">
        <v>41.24</v>
      </c>
      <c r="M22" s="160">
        <f t="shared" si="11"/>
        <v>0</v>
      </c>
      <c r="N22" s="161">
        <f t="shared" si="12"/>
        <v>1.7183333333333335</v>
      </c>
      <c r="O22" s="184">
        <f t="shared" si="4"/>
        <v>0.14949500000000002</v>
      </c>
      <c r="P22" s="184">
        <f t="shared" si="5"/>
        <v>1.8678283333333334</v>
      </c>
      <c r="Q22" s="206">
        <v>2.5</v>
      </c>
      <c r="R22" s="162">
        <f t="shared" si="13"/>
        <v>2.2727272727272725</v>
      </c>
      <c r="S22" s="184">
        <f t="shared" si="2"/>
        <v>0.40489893939393906</v>
      </c>
      <c r="T22" s="163">
        <f t="shared" si="14"/>
        <v>0.1781555333333332</v>
      </c>
    </row>
    <row r="23" spans="3:20" x14ac:dyDescent="0.2">
      <c r="C23" s="164" t="s">
        <v>2229</v>
      </c>
      <c r="D23" s="397">
        <v>9320000500432</v>
      </c>
      <c r="E23" s="101">
        <v>5835</v>
      </c>
      <c r="F23" s="158" t="s">
        <v>2219</v>
      </c>
      <c r="G23" s="250">
        <v>30</v>
      </c>
      <c r="H23" s="159" t="s">
        <v>77</v>
      </c>
      <c r="I23" s="11"/>
      <c r="J23" s="3"/>
      <c r="K23" s="18"/>
      <c r="L23" s="200">
        <v>53.72</v>
      </c>
      <c r="M23" s="160">
        <f t="shared" si="11"/>
        <v>0</v>
      </c>
      <c r="N23" s="161">
        <f t="shared" si="12"/>
        <v>1.7906666666666666</v>
      </c>
      <c r="O23" s="184">
        <f t="shared" si="4"/>
        <v>0.15578799999999998</v>
      </c>
      <c r="P23" s="184">
        <f t="shared" si="5"/>
        <v>1.9464546666666667</v>
      </c>
      <c r="Q23" s="206">
        <v>3.5</v>
      </c>
      <c r="R23" s="162">
        <f t="shared" si="13"/>
        <v>3.1818181818181817</v>
      </c>
      <c r="S23" s="184">
        <f t="shared" si="2"/>
        <v>1.235363515151515</v>
      </c>
      <c r="T23" s="163">
        <f t="shared" si="14"/>
        <v>0.38825710476190473</v>
      </c>
    </row>
    <row r="24" spans="3:20" x14ac:dyDescent="0.2">
      <c r="C24" s="164" t="s">
        <v>2230</v>
      </c>
      <c r="D24" s="397">
        <v>9313419522539</v>
      </c>
      <c r="E24" s="101">
        <v>6483</v>
      </c>
      <c r="F24" s="158" t="s">
        <v>2219</v>
      </c>
      <c r="G24" s="250">
        <v>30</v>
      </c>
      <c r="H24" s="159" t="s">
        <v>77</v>
      </c>
      <c r="I24" s="11"/>
      <c r="J24" s="3"/>
      <c r="K24" s="18"/>
      <c r="L24" s="200">
        <v>53.85</v>
      </c>
      <c r="M24" s="160">
        <f t="shared" si="11"/>
        <v>0</v>
      </c>
      <c r="N24" s="161">
        <f t="shared" si="12"/>
        <v>1.7950000000000002</v>
      </c>
      <c r="O24" s="184">
        <f t="shared" si="4"/>
        <v>0.156165</v>
      </c>
      <c r="P24" s="184">
        <f t="shared" si="5"/>
        <v>1.951165</v>
      </c>
      <c r="Q24" s="206">
        <v>3.5</v>
      </c>
      <c r="R24" s="162">
        <f t="shared" si="13"/>
        <v>3.1818181818181817</v>
      </c>
      <c r="S24" s="184">
        <f t="shared" si="2"/>
        <v>1.2306531818181816</v>
      </c>
      <c r="T24" s="163">
        <f t="shared" si="14"/>
        <v>0.38677671428571425</v>
      </c>
    </row>
    <row r="25" spans="3:20" x14ac:dyDescent="0.2">
      <c r="C25" s="164" t="s">
        <v>2231</v>
      </c>
      <c r="D25" s="398">
        <v>9310876053859</v>
      </c>
      <c r="E25" s="117">
        <v>6218</v>
      </c>
      <c r="F25" s="158" t="s">
        <v>2219</v>
      </c>
      <c r="G25" s="250">
        <v>30</v>
      </c>
      <c r="H25" s="159" t="s">
        <v>77</v>
      </c>
      <c r="I25" s="11"/>
      <c r="J25" s="3"/>
      <c r="K25" s="18"/>
      <c r="L25" s="200">
        <v>54.66</v>
      </c>
      <c r="M25" s="160">
        <f t="shared" ref="M25:M27" si="15">K25*L25</f>
        <v>0</v>
      </c>
      <c r="N25" s="161">
        <f t="shared" ref="N25:N27" si="16">L25/G25</f>
        <v>1.8219999999999998</v>
      </c>
      <c r="O25" s="184">
        <f t="shared" si="4"/>
        <v>0.15851399999999999</v>
      </c>
      <c r="P25" s="184">
        <f t="shared" si="5"/>
        <v>1.9805139999999999</v>
      </c>
      <c r="Q25" s="206">
        <v>3.5</v>
      </c>
      <c r="R25" s="162">
        <f t="shared" ref="R25:R27" si="17">Q25/$R$10</f>
        <v>3.1818181818181817</v>
      </c>
      <c r="S25" s="184">
        <f t="shared" si="2"/>
        <v>1.2013041818181818</v>
      </c>
      <c r="T25" s="163">
        <f t="shared" ref="T25:T27" si="18">S25/R25</f>
        <v>0.37755274285714285</v>
      </c>
    </row>
    <row r="26" spans="3:20" x14ac:dyDescent="0.2">
      <c r="C26" s="164" t="s">
        <v>2232</v>
      </c>
      <c r="D26" s="397">
        <v>9346852000067</v>
      </c>
      <c r="E26" s="101">
        <v>12540</v>
      </c>
      <c r="F26" s="158" t="s">
        <v>2219</v>
      </c>
      <c r="G26" s="250">
        <v>16</v>
      </c>
      <c r="H26" s="159" t="s">
        <v>77</v>
      </c>
      <c r="I26" s="11"/>
      <c r="J26" s="3"/>
      <c r="K26" s="18"/>
      <c r="L26" s="200">
        <v>46.65</v>
      </c>
      <c r="M26" s="160">
        <f t="shared" ref="M26" si="19">K26*L26</f>
        <v>0</v>
      </c>
      <c r="N26" s="161">
        <f t="shared" ref="N26" si="20">L26/G26</f>
        <v>2.9156249999999999</v>
      </c>
      <c r="O26" s="184">
        <f t="shared" si="4"/>
        <v>0.25365937499999996</v>
      </c>
      <c r="P26" s="184">
        <f t="shared" si="5"/>
        <v>3.1692843749999997</v>
      </c>
      <c r="Q26" s="206">
        <v>4.5</v>
      </c>
      <c r="R26" s="162">
        <f t="shared" ref="R26" si="21">Q26/$R$10</f>
        <v>4.0909090909090908</v>
      </c>
      <c r="S26" s="184">
        <f t="shared" si="2"/>
        <v>0.92162471590909112</v>
      </c>
      <c r="T26" s="163">
        <f t="shared" ref="T26" si="22">S26/R26</f>
        <v>0.22528604166666671</v>
      </c>
    </row>
    <row r="27" spans="3:20" x14ac:dyDescent="0.2">
      <c r="C27" s="164" t="s">
        <v>2233</v>
      </c>
      <c r="D27" s="397">
        <v>9349342003654</v>
      </c>
      <c r="E27" s="101">
        <v>7163</v>
      </c>
      <c r="F27" s="158" t="s">
        <v>2219</v>
      </c>
      <c r="G27" s="250">
        <v>16</v>
      </c>
      <c r="H27" s="159" t="s">
        <v>77</v>
      </c>
      <c r="I27" s="11"/>
      <c r="J27" s="3"/>
      <c r="K27" s="18"/>
      <c r="L27" s="200">
        <v>36.03</v>
      </c>
      <c r="M27" s="160">
        <f t="shared" si="15"/>
        <v>0</v>
      </c>
      <c r="N27" s="161">
        <f t="shared" si="16"/>
        <v>2.2518750000000001</v>
      </c>
      <c r="O27" s="184">
        <f t="shared" si="4"/>
        <v>0.19591312499999999</v>
      </c>
      <c r="P27" s="184">
        <f t="shared" si="5"/>
        <v>2.4477881250000002</v>
      </c>
      <c r="Q27" s="206">
        <v>4</v>
      </c>
      <c r="R27" s="162">
        <f t="shared" si="17"/>
        <v>3.6363636363636362</v>
      </c>
      <c r="S27" s="184">
        <f t="shared" si="2"/>
        <v>1.188575511363636</v>
      </c>
      <c r="T27" s="163">
        <f t="shared" si="18"/>
        <v>0.32685826562499992</v>
      </c>
    </row>
    <row r="28" spans="3:20" ht="17" thickBot="1" x14ac:dyDescent="0.25">
      <c r="C28" s="164" t="s">
        <v>2234</v>
      </c>
      <c r="D28" s="398">
        <v>9310876020066</v>
      </c>
      <c r="E28" s="117">
        <v>208</v>
      </c>
      <c r="F28" s="158" t="s">
        <v>2219</v>
      </c>
      <c r="G28" s="250">
        <v>30</v>
      </c>
      <c r="H28" s="159" t="s">
        <v>77</v>
      </c>
      <c r="I28" s="11"/>
      <c r="J28" s="3"/>
      <c r="K28" s="18"/>
      <c r="L28" s="200">
        <v>50.28</v>
      </c>
      <c r="M28" s="160">
        <f t="shared" ref="M28" si="23">K28*L28</f>
        <v>0</v>
      </c>
      <c r="N28" s="161">
        <f t="shared" ref="N28" si="24">L28/G28</f>
        <v>1.6759999999999999</v>
      </c>
      <c r="O28" s="184">
        <f t="shared" si="4"/>
        <v>0.145812</v>
      </c>
      <c r="P28" s="184">
        <f t="shared" si="5"/>
        <v>1.821812</v>
      </c>
      <c r="Q28" s="206">
        <v>3.5</v>
      </c>
      <c r="R28" s="162">
        <f t="shared" ref="R28" si="25">Q28/$R$10</f>
        <v>3.1818181818181817</v>
      </c>
      <c r="S28" s="184">
        <f t="shared" si="2"/>
        <v>1.3600061818181817</v>
      </c>
      <c r="T28" s="163">
        <f t="shared" ref="T28" si="26">S28/R28</f>
        <v>0.42743051428571427</v>
      </c>
    </row>
    <row r="29" spans="3:20" ht="17" thickBot="1" x14ac:dyDescent="0.25">
      <c r="C29" s="724"/>
      <c r="D29" s="725"/>
      <c r="E29" s="725"/>
      <c r="F29" s="726"/>
      <c r="G29" s="726"/>
      <c r="H29" s="726"/>
      <c r="I29" s="726"/>
      <c r="J29" s="726"/>
      <c r="K29" s="726"/>
      <c r="L29" s="726"/>
      <c r="M29" s="169">
        <f>SUM(M13:M28)</f>
        <v>0</v>
      </c>
      <c r="N29" s="170"/>
      <c r="O29" s="184"/>
      <c r="P29" s="184"/>
      <c r="Q29" s="207"/>
      <c r="R29" s="162"/>
      <c r="S29" s="184"/>
      <c r="T29" s="171"/>
    </row>
    <row r="30" spans="3:20" ht="31" thickBot="1" x14ac:dyDescent="0.25">
      <c r="C30" s="144" t="s">
        <v>2235</v>
      </c>
      <c r="D30" s="145" t="s">
        <v>2215</v>
      </c>
      <c r="E30" s="146" t="s">
        <v>65</v>
      </c>
      <c r="F30" s="146" t="s">
        <v>66</v>
      </c>
      <c r="G30" s="146" t="s">
        <v>2216</v>
      </c>
      <c r="H30" s="146" t="s">
        <v>1748</v>
      </c>
      <c r="I30" s="76" t="s">
        <v>1749</v>
      </c>
      <c r="J30" s="76" t="s">
        <v>1750</v>
      </c>
      <c r="K30" s="76" t="s">
        <v>1751</v>
      </c>
      <c r="L30" s="147" t="s">
        <v>2217</v>
      </c>
      <c r="M30" s="172"/>
      <c r="N30" s="173"/>
      <c r="O30" s="162"/>
      <c r="P30" s="162"/>
      <c r="Q30" s="208"/>
      <c r="R30" s="162"/>
      <c r="S30" s="162"/>
      <c r="T30" s="163"/>
    </row>
    <row r="31" spans="3:20" x14ac:dyDescent="0.2">
      <c r="C31" s="175" t="s">
        <v>2236</v>
      </c>
      <c r="D31" s="398">
        <v>9311124400128</v>
      </c>
      <c r="E31" s="101">
        <v>42550024</v>
      </c>
      <c r="F31" s="176" t="s">
        <v>2237</v>
      </c>
      <c r="G31" s="399">
        <v>24</v>
      </c>
      <c r="H31" s="177" t="s">
        <v>77</v>
      </c>
      <c r="I31" s="30"/>
      <c r="J31" s="13"/>
      <c r="K31" s="12"/>
      <c r="L31" s="201">
        <v>91.13</v>
      </c>
      <c r="M31" s="178">
        <f t="shared" si="0"/>
        <v>0</v>
      </c>
      <c r="N31" s="179">
        <f t="shared" si="3"/>
        <v>3.7970833333333331</v>
      </c>
      <c r="O31" s="180">
        <f t="shared" si="4"/>
        <v>0.33034624999999995</v>
      </c>
      <c r="P31" s="180">
        <f t="shared" si="5"/>
        <v>4.127429583333333</v>
      </c>
      <c r="Q31" s="209">
        <v>5.5</v>
      </c>
      <c r="R31" s="180">
        <f t="shared" ref="R31:R87" si="27">Q31/$R$10</f>
        <v>5</v>
      </c>
      <c r="S31" s="180">
        <f t="shared" ref="S31:S87" si="28">R31-P31</f>
        <v>0.87257041666666701</v>
      </c>
      <c r="T31" s="181">
        <f t="shared" si="1"/>
        <v>0.1745140833333334</v>
      </c>
    </row>
    <row r="32" spans="3:20" x14ac:dyDescent="0.2">
      <c r="C32" s="175" t="s">
        <v>2238</v>
      </c>
      <c r="D32" s="398">
        <v>9322033001818</v>
      </c>
      <c r="E32" s="101">
        <v>8428</v>
      </c>
      <c r="F32" s="176" t="s">
        <v>2219</v>
      </c>
      <c r="G32" s="100">
        <v>24</v>
      </c>
      <c r="H32" s="159" t="s">
        <v>77</v>
      </c>
      <c r="I32" s="8"/>
      <c r="J32" s="3"/>
      <c r="K32" s="17"/>
      <c r="L32" s="202">
        <v>97.26</v>
      </c>
      <c r="M32" s="182">
        <f t="shared" ref="M32:M36" si="29">K32*L32</f>
        <v>0</v>
      </c>
      <c r="N32" s="183">
        <f t="shared" ref="N32:N36" si="30">L32/G32</f>
        <v>4.0525000000000002</v>
      </c>
      <c r="O32" s="184">
        <f t="shared" si="4"/>
        <v>0.35256749999999998</v>
      </c>
      <c r="P32" s="184">
        <f t="shared" si="5"/>
        <v>4.4050675000000004</v>
      </c>
      <c r="Q32" s="210">
        <v>6</v>
      </c>
      <c r="R32" s="162">
        <f t="shared" si="27"/>
        <v>5.4545454545454541</v>
      </c>
      <c r="S32" s="184">
        <f t="shared" si="28"/>
        <v>1.0494779545454538</v>
      </c>
      <c r="T32" s="171">
        <f t="shared" ref="T32:T36" si="31">S32/R32</f>
        <v>0.19240429166666653</v>
      </c>
    </row>
    <row r="33" spans="3:20" x14ac:dyDescent="0.2">
      <c r="C33" s="175" t="s">
        <v>2239</v>
      </c>
      <c r="D33" s="398">
        <v>9322033004312</v>
      </c>
      <c r="E33" s="101">
        <v>8345</v>
      </c>
      <c r="F33" s="176" t="s">
        <v>2219</v>
      </c>
      <c r="G33" s="100">
        <v>24</v>
      </c>
      <c r="H33" s="159" t="s">
        <v>77</v>
      </c>
      <c r="I33" s="8"/>
      <c r="J33" s="3"/>
      <c r="K33" s="17"/>
      <c r="L33" s="202">
        <v>97.26</v>
      </c>
      <c r="M33" s="182">
        <f t="shared" si="29"/>
        <v>0</v>
      </c>
      <c r="N33" s="183">
        <f t="shared" si="30"/>
        <v>4.0525000000000002</v>
      </c>
      <c r="O33" s="184">
        <f t="shared" si="4"/>
        <v>0.35256749999999998</v>
      </c>
      <c r="P33" s="184">
        <f t="shared" si="5"/>
        <v>4.4050675000000004</v>
      </c>
      <c r="Q33" s="210">
        <v>6</v>
      </c>
      <c r="R33" s="162">
        <f t="shared" si="27"/>
        <v>5.4545454545454541</v>
      </c>
      <c r="S33" s="184">
        <f t="shared" si="28"/>
        <v>1.0494779545454538</v>
      </c>
      <c r="T33" s="171">
        <f t="shared" si="31"/>
        <v>0.19240429166666653</v>
      </c>
    </row>
    <row r="34" spans="3:20" x14ac:dyDescent="0.2">
      <c r="C34" s="175" t="s">
        <v>2240</v>
      </c>
      <c r="D34" s="398">
        <v>9322033004840</v>
      </c>
      <c r="E34" s="101">
        <v>8340</v>
      </c>
      <c r="F34" s="176" t="s">
        <v>2219</v>
      </c>
      <c r="G34" s="100">
        <v>24</v>
      </c>
      <c r="H34" s="159" t="s">
        <v>77</v>
      </c>
      <c r="I34" s="8"/>
      <c r="J34" s="3"/>
      <c r="K34" s="17"/>
      <c r="L34" s="202">
        <v>97.26</v>
      </c>
      <c r="M34" s="182">
        <f t="shared" si="29"/>
        <v>0</v>
      </c>
      <c r="N34" s="183">
        <f t="shared" si="30"/>
        <v>4.0525000000000002</v>
      </c>
      <c r="O34" s="184">
        <f t="shared" si="4"/>
        <v>0.35256749999999998</v>
      </c>
      <c r="P34" s="184">
        <f t="shared" si="5"/>
        <v>4.4050675000000004</v>
      </c>
      <c r="Q34" s="210">
        <v>6</v>
      </c>
      <c r="R34" s="162">
        <f t="shared" si="27"/>
        <v>5.4545454545454541</v>
      </c>
      <c r="S34" s="184">
        <f t="shared" si="28"/>
        <v>1.0494779545454538</v>
      </c>
      <c r="T34" s="171">
        <f t="shared" si="31"/>
        <v>0.19240429166666653</v>
      </c>
    </row>
    <row r="35" spans="3:20" x14ac:dyDescent="0.2">
      <c r="C35" s="175" t="s">
        <v>2241</v>
      </c>
      <c r="D35" s="398">
        <v>9322033008480</v>
      </c>
      <c r="E35" s="101">
        <v>8446</v>
      </c>
      <c r="F35" s="176" t="s">
        <v>2219</v>
      </c>
      <c r="G35" s="100">
        <v>24</v>
      </c>
      <c r="H35" s="159" t="s">
        <v>77</v>
      </c>
      <c r="I35" s="8"/>
      <c r="J35" s="3"/>
      <c r="K35" s="17"/>
      <c r="L35" s="202">
        <v>97.26</v>
      </c>
      <c r="M35" s="182">
        <f t="shared" ref="M35" si="32">K35*L35</f>
        <v>0</v>
      </c>
      <c r="N35" s="183">
        <f t="shared" ref="N35" si="33">L35/G35</f>
        <v>4.0525000000000002</v>
      </c>
      <c r="O35" s="184">
        <f t="shared" si="4"/>
        <v>0.35256749999999998</v>
      </c>
      <c r="P35" s="184">
        <f t="shared" si="5"/>
        <v>4.4050675000000004</v>
      </c>
      <c r="Q35" s="210">
        <v>6</v>
      </c>
      <c r="R35" s="162">
        <f t="shared" si="27"/>
        <v>5.4545454545454541</v>
      </c>
      <c r="S35" s="184">
        <f t="shared" si="28"/>
        <v>1.0494779545454538</v>
      </c>
      <c r="T35" s="171">
        <f t="shared" ref="T35" si="34">S35/R35</f>
        <v>0.19240429166666653</v>
      </c>
    </row>
    <row r="36" spans="3:20" x14ac:dyDescent="0.2">
      <c r="C36" s="175" t="s">
        <v>2242</v>
      </c>
      <c r="D36" s="398">
        <v>9322033005625</v>
      </c>
      <c r="E36" s="101">
        <v>8451</v>
      </c>
      <c r="F36" s="176" t="s">
        <v>2219</v>
      </c>
      <c r="G36" s="100">
        <v>24</v>
      </c>
      <c r="H36" s="159" t="s">
        <v>77</v>
      </c>
      <c r="I36" s="8"/>
      <c r="J36" s="3"/>
      <c r="K36" s="17"/>
      <c r="L36" s="202">
        <v>97.26</v>
      </c>
      <c r="M36" s="182">
        <f t="shared" si="29"/>
        <v>0</v>
      </c>
      <c r="N36" s="183">
        <f t="shared" si="30"/>
        <v>4.0525000000000002</v>
      </c>
      <c r="O36" s="184">
        <f t="shared" si="4"/>
        <v>0.35256749999999998</v>
      </c>
      <c r="P36" s="184">
        <f t="shared" si="5"/>
        <v>4.4050675000000004</v>
      </c>
      <c r="Q36" s="210">
        <v>6</v>
      </c>
      <c r="R36" s="162">
        <f t="shared" si="27"/>
        <v>5.4545454545454541</v>
      </c>
      <c r="S36" s="184">
        <f t="shared" si="28"/>
        <v>1.0494779545454538</v>
      </c>
      <c r="T36" s="171">
        <f t="shared" si="31"/>
        <v>0.19240429166666653</v>
      </c>
    </row>
    <row r="37" spans="3:20" x14ac:dyDescent="0.2">
      <c r="C37" s="187" t="s">
        <v>2243</v>
      </c>
      <c r="D37" s="397">
        <v>9311866005919</v>
      </c>
      <c r="E37" s="101">
        <v>2976</v>
      </c>
      <c r="F37" s="158" t="s">
        <v>2219</v>
      </c>
      <c r="G37" s="100">
        <v>24</v>
      </c>
      <c r="H37" s="159" t="s">
        <v>77</v>
      </c>
      <c r="I37" s="8"/>
      <c r="J37" s="3"/>
      <c r="K37" s="17"/>
      <c r="L37" s="202">
        <v>80.239999999999995</v>
      </c>
      <c r="M37" s="188">
        <f t="shared" ref="M37:M46" si="35">K37*L37</f>
        <v>0</v>
      </c>
      <c r="N37" s="183">
        <f>L37/G37</f>
        <v>3.3433333333333333</v>
      </c>
      <c r="O37" s="184">
        <f t="shared" si="4"/>
        <v>0.29086999999999996</v>
      </c>
      <c r="P37" s="184">
        <f t="shared" si="5"/>
        <v>3.6342033333333332</v>
      </c>
      <c r="Q37" s="210">
        <v>5</v>
      </c>
      <c r="R37" s="162">
        <f t="shared" si="27"/>
        <v>4.545454545454545</v>
      </c>
      <c r="S37" s="184">
        <f t="shared" si="28"/>
        <v>0.91125121212121174</v>
      </c>
      <c r="T37" s="171">
        <f>S37/R37</f>
        <v>0.2004752666666666</v>
      </c>
    </row>
    <row r="38" spans="3:20" x14ac:dyDescent="0.2">
      <c r="C38" s="187" t="s">
        <v>2244</v>
      </c>
      <c r="D38" s="397">
        <v>9316417001105</v>
      </c>
      <c r="E38" s="101">
        <v>2723</v>
      </c>
      <c r="F38" s="158" t="s">
        <v>2219</v>
      </c>
      <c r="G38" s="100">
        <v>24</v>
      </c>
      <c r="H38" s="159" t="s">
        <v>77</v>
      </c>
      <c r="I38" s="8"/>
      <c r="J38" s="3"/>
      <c r="K38" s="17"/>
      <c r="L38" s="202">
        <v>72.510000000000005</v>
      </c>
      <c r="M38" s="188">
        <f t="shared" si="35"/>
        <v>0</v>
      </c>
      <c r="N38" s="183">
        <f t="shared" ref="N38:N46" si="36">L38/G38</f>
        <v>3.0212500000000002</v>
      </c>
      <c r="O38" s="184">
        <f t="shared" si="4"/>
        <v>0.26284875000000002</v>
      </c>
      <c r="P38" s="184">
        <f t="shared" si="5"/>
        <v>3.2840987500000001</v>
      </c>
      <c r="Q38" s="210">
        <v>5</v>
      </c>
      <c r="R38" s="162">
        <f t="shared" si="27"/>
        <v>4.545454545454545</v>
      </c>
      <c r="S38" s="184">
        <f t="shared" si="28"/>
        <v>1.2613557954545449</v>
      </c>
      <c r="T38" s="171">
        <f t="shared" ref="T38" si="37">S38/R38</f>
        <v>0.27749827499999991</v>
      </c>
    </row>
    <row r="39" spans="3:20" ht="15.75" customHeight="1" x14ac:dyDescent="0.2">
      <c r="C39" s="187" t="s">
        <v>2245</v>
      </c>
      <c r="D39" s="580"/>
      <c r="E39" s="101">
        <v>4624</v>
      </c>
      <c r="F39" s="158" t="s">
        <v>2237</v>
      </c>
      <c r="G39" s="100">
        <v>24</v>
      </c>
      <c r="H39" s="159" t="s">
        <v>77</v>
      </c>
      <c r="I39" s="8"/>
      <c r="J39" s="3"/>
      <c r="K39" s="17"/>
      <c r="L39" s="202">
        <v>42.12</v>
      </c>
      <c r="M39" s="188">
        <f t="shared" ref="M39" si="38">K39*L39</f>
        <v>0</v>
      </c>
      <c r="N39" s="183">
        <f t="shared" ref="N39" si="39">L39/G39</f>
        <v>1.7549999999999999</v>
      </c>
      <c r="O39" s="184">
        <f t="shared" ref="O39" si="40">N39*$O$12</f>
        <v>0.15268499999999999</v>
      </c>
      <c r="P39" s="184">
        <f t="shared" ref="P39" si="41">N39+O39</f>
        <v>1.9076849999999999</v>
      </c>
      <c r="Q39" s="210">
        <v>6</v>
      </c>
      <c r="R39" s="162">
        <f t="shared" ref="R39" si="42">Q39/$R$10</f>
        <v>5.4545454545454541</v>
      </c>
      <c r="S39" s="184">
        <f t="shared" ref="S39" si="43">R39-P39</f>
        <v>3.5468604545454543</v>
      </c>
      <c r="T39" s="171">
        <f t="shared" ref="T39" si="44">S39/R39</f>
        <v>0.65025774999999997</v>
      </c>
    </row>
    <row r="40" spans="3:20" ht="15.75" customHeight="1" x14ac:dyDescent="0.2">
      <c r="C40" s="187" t="s">
        <v>2246</v>
      </c>
      <c r="D40" s="397">
        <v>9310733205544</v>
      </c>
      <c r="E40" s="101">
        <v>2843</v>
      </c>
      <c r="F40" s="158" t="s">
        <v>2219</v>
      </c>
      <c r="G40" s="100">
        <v>24</v>
      </c>
      <c r="H40" s="159" t="s">
        <v>77</v>
      </c>
      <c r="I40" s="8"/>
      <c r="J40" s="3"/>
      <c r="K40" s="17"/>
      <c r="L40" s="202">
        <v>101.29</v>
      </c>
      <c r="M40" s="188">
        <f t="shared" si="35"/>
        <v>0</v>
      </c>
      <c r="N40" s="183">
        <f t="shared" si="36"/>
        <v>4.2204166666666669</v>
      </c>
      <c r="O40" s="184">
        <f t="shared" si="4"/>
        <v>0.36717624999999998</v>
      </c>
      <c r="P40" s="184">
        <f t="shared" si="5"/>
        <v>4.5875929166666669</v>
      </c>
      <c r="Q40" s="210">
        <v>6</v>
      </c>
      <c r="R40" s="162">
        <f t="shared" si="27"/>
        <v>5.4545454545454541</v>
      </c>
      <c r="S40" s="184">
        <f t="shared" si="28"/>
        <v>0.86695253787878723</v>
      </c>
      <c r="T40" s="171">
        <f t="shared" ref="T40:T46" si="45">S40/R40</f>
        <v>0.158941298611111</v>
      </c>
    </row>
    <row r="41" spans="3:20" x14ac:dyDescent="0.2">
      <c r="C41" s="187" t="s">
        <v>2247</v>
      </c>
      <c r="D41" s="397">
        <v>9316417000177</v>
      </c>
      <c r="E41" s="101">
        <v>2975</v>
      </c>
      <c r="F41" s="158" t="s">
        <v>2219</v>
      </c>
      <c r="G41" s="100">
        <v>24</v>
      </c>
      <c r="H41" s="159" t="s">
        <v>77</v>
      </c>
      <c r="I41" s="8"/>
      <c r="J41" s="3"/>
      <c r="K41" s="17"/>
      <c r="L41" s="202">
        <v>72.34</v>
      </c>
      <c r="M41" s="188">
        <f t="shared" si="35"/>
        <v>0</v>
      </c>
      <c r="N41" s="183">
        <f t="shared" si="36"/>
        <v>3.0141666666666667</v>
      </c>
      <c r="O41" s="184">
        <f t="shared" si="4"/>
        <v>0.26223249999999998</v>
      </c>
      <c r="P41" s="184">
        <f t="shared" si="5"/>
        <v>3.2763991666666668</v>
      </c>
      <c r="Q41" s="210">
        <v>5</v>
      </c>
      <c r="R41" s="162">
        <f t="shared" si="27"/>
        <v>4.545454545454545</v>
      </c>
      <c r="S41" s="184">
        <f t="shared" si="28"/>
        <v>1.2690553787878782</v>
      </c>
      <c r="T41" s="171">
        <f t="shared" si="45"/>
        <v>0.27919218333333323</v>
      </c>
    </row>
    <row r="42" spans="3:20" x14ac:dyDescent="0.2">
      <c r="C42" s="187" t="s">
        <v>2248</v>
      </c>
      <c r="D42" s="397">
        <v>9310495074426</v>
      </c>
      <c r="E42" s="101">
        <v>2967</v>
      </c>
      <c r="F42" s="158" t="s">
        <v>2219</v>
      </c>
      <c r="G42" s="100">
        <v>24</v>
      </c>
      <c r="H42" s="159" t="s">
        <v>77</v>
      </c>
      <c r="I42" s="8"/>
      <c r="J42" s="3"/>
      <c r="K42" s="17"/>
      <c r="L42" s="202">
        <v>80.239999999999995</v>
      </c>
      <c r="M42" s="188">
        <f t="shared" si="35"/>
        <v>0</v>
      </c>
      <c r="N42" s="183">
        <f>L42/G42</f>
        <v>3.3433333333333333</v>
      </c>
      <c r="O42" s="184">
        <f t="shared" si="4"/>
        <v>0.29086999999999996</v>
      </c>
      <c r="P42" s="184">
        <f t="shared" si="5"/>
        <v>3.6342033333333332</v>
      </c>
      <c r="Q42" s="210">
        <v>4.2</v>
      </c>
      <c r="R42" s="162">
        <f t="shared" si="27"/>
        <v>3.8181818181818179</v>
      </c>
      <c r="S42" s="184">
        <f t="shared" si="28"/>
        <v>0.18397848484848467</v>
      </c>
      <c r="T42" s="171">
        <f t="shared" si="45"/>
        <v>4.8184841269841225E-2</v>
      </c>
    </row>
    <row r="43" spans="3:20" x14ac:dyDescent="0.2">
      <c r="C43" s="187" t="s">
        <v>2249</v>
      </c>
      <c r="D43" s="397">
        <v>9338846000313</v>
      </c>
      <c r="E43" s="101">
        <v>5580</v>
      </c>
      <c r="F43" s="185" t="s">
        <v>2219</v>
      </c>
      <c r="G43" s="100">
        <v>24</v>
      </c>
      <c r="H43" s="159" t="s">
        <v>77</v>
      </c>
      <c r="I43" s="8"/>
      <c r="J43" s="3"/>
      <c r="K43" s="17"/>
      <c r="L43" s="202">
        <v>80.92</v>
      </c>
      <c r="M43" s="188">
        <f t="shared" si="35"/>
        <v>0</v>
      </c>
      <c r="N43" s="183">
        <f t="shared" si="36"/>
        <v>3.3716666666666666</v>
      </c>
      <c r="O43" s="184">
        <f t="shared" si="4"/>
        <v>0.29333499999999996</v>
      </c>
      <c r="P43" s="184">
        <f t="shared" si="5"/>
        <v>3.6650016666666665</v>
      </c>
      <c r="Q43" s="210">
        <v>5.5</v>
      </c>
      <c r="R43" s="162">
        <f t="shared" si="27"/>
        <v>5</v>
      </c>
      <c r="S43" s="184">
        <f t="shared" si="28"/>
        <v>1.3349983333333335</v>
      </c>
      <c r="T43" s="171">
        <f t="shared" si="45"/>
        <v>0.26699966666666669</v>
      </c>
    </row>
    <row r="44" spans="3:20" x14ac:dyDescent="0.2">
      <c r="C44" s="187" t="s">
        <v>2250</v>
      </c>
      <c r="D44" s="397">
        <v>9311789000428</v>
      </c>
      <c r="E44" s="101">
        <v>3474</v>
      </c>
      <c r="F44" s="158" t="s">
        <v>2237</v>
      </c>
      <c r="G44" s="100">
        <v>12</v>
      </c>
      <c r="H44" s="159" t="s">
        <v>77</v>
      </c>
      <c r="I44" s="8"/>
      <c r="J44" s="3"/>
      <c r="K44" s="17"/>
      <c r="L44" s="202">
        <v>33.630000000000003</v>
      </c>
      <c r="M44" s="188">
        <f t="shared" si="35"/>
        <v>0</v>
      </c>
      <c r="N44" s="183">
        <f t="shared" si="36"/>
        <v>2.8025000000000002</v>
      </c>
      <c r="O44" s="184">
        <f t="shared" si="4"/>
        <v>0.24381749999999999</v>
      </c>
      <c r="P44" s="184">
        <f t="shared" si="5"/>
        <v>3.0463175000000002</v>
      </c>
      <c r="Q44" s="210">
        <v>5.5</v>
      </c>
      <c r="R44" s="162">
        <f t="shared" si="27"/>
        <v>5</v>
      </c>
      <c r="S44" s="184">
        <f t="shared" si="28"/>
        <v>1.9536824999999998</v>
      </c>
      <c r="T44" s="171">
        <f>S44/R44</f>
        <v>0.39073649999999993</v>
      </c>
    </row>
    <row r="45" spans="3:20" x14ac:dyDescent="0.2">
      <c r="C45" s="187" t="s">
        <v>2251</v>
      </c>
      <c r="D45" s="397">
        <v>9320000504775</v>
      </c>
      <c r="E45" s="101">
        <v>4008</v>
      </c>
      <c r="F45" s="158" t="s">
        <v>2219</v>
      </c>
      <c r="G45" s="100">
        <v>24</v>
      </c>
      <c r="H45" s="159" t="s">
        <v>77</v>
      </c>
      <c r="I45" s="8"/>
      <c r="J45" s="3"/>
      <c r="K45" s="17"/>
      <c r="L45" s="202">
        <v>72.42</v>
      </c>
      <c r="M45" s="188">
        <f t="shared" si="35"/>
        <v>0</v>
      </c>
      <c r="N45" s="183">
        <f t="shared" si="36"/>
        <v>3.0175000000000001</v>
      </c>
      <c r="O45" s="184">
        <f t="shared" si="4"/>
        <v>0.26252249999999999</v>
      </c>
      <c r="P45" s="184">
        <f t="shared" si="5"/>
        <v>3.2800225000000003</v>
      </c>
      <c r="Q45" s="210">
        <v>5.5</v>
      </c>
      <c r="R45" s="162">
        <f t="shared" si="27"/>
        <v>5</v>
      </c>
      <c r="S45" s="184">
        <f t="shared" si="28"/>
        <v>1.7199774999999997</v>
      </c>
      <c r="T45" s="171">
        <f t="shared" si="45"/>
        <v>0.34399549999999995</v>
      </c>
    </row>
    <row r="46" spans="3:20" ht="17" thickBot="1" x14ac:dyDescent="0.25">
      <c r="C46" s="187" t="s">
        <v>2252</v>
      </c>
      <c r="D46" s="397">
        <v>9310495085156</v>
      </c>
      <c r="E46" s="101">
        <v>7890</v>
      </c>
      <c r="F46" s="158" t="s">
        <v>2219</v>
      </c>
      <c r="G46" s="100">
        <v>24</v>
      </c>
      <c r="H46" s="159" t="s">
        <v>77</v>
      </c>
      <c r="I46" s="8"/>
      <c r="J46" s="3"/>
      <c r="K46" s="17"/>
      <c r="L46" s="202">
        <v>80.239999999999995</v>
      </c>
      <c r="M46" s="188">
        <f t="shared" si="35"/>
        <v>0</v>
      </c>
      <c r="N46" s="183">
        <f t="shared" si="36"/>
        <v>3.3433333333333333</v>
      </c>
      <c r="O46" s="184">
        <f t="shared" si="4"/>
        <v>0.29086999999999996</v>
      </c>
      <c r="P46" s="184">
        <f t="shared" si="5"/>
        <v>3.6342033333333332</v>
      </c>
      <c r="Q46" s="210">
        <v>5</v>
      </c>
      <c r="R46" s="162">
        <f t="shared" si="27"/>
        <v>4.545454545454545</v>
      </c>
      <c r="S46" s="184">
        <f t="shared" si="28"/>
        <v>0.91125121212121174</v>
      </c>
      <c r="T46" s="171">
        <f t="shared" si="45"/>
        <v>0.2004752666666666</v>
      </c>
    </row>
    <row r="47" spans="3:20" ht="17" thickBot="1" x14ac:dyDescent="0.25">
      <c r="C47" s="724"/>
      <c r="D47" s="725"/>
      <c r="E47" s="725"/>
      <c r="F47" s="726"/>
      <c r="G47" s="726"/>
      <c r="H47" s="726"/>
      <c r="I47" s="726"/>
      <c r="J47" s="726"/>
      <c r="K47" s="726"/>
      <c r="L47" s="726"/>
      <c r="M47" s="169">
        <f>SUM(M31:M46)</f>
        <v>0</v>
      </c>
      <c r="N47" s="170"/>
      <c r="O47" s="184"/>
      <c r="P47" s="184"/>
      <c r="Q47" s="207"/>
      <c r="R47" s="162"/>
      <c r="S47" s="184"/>
      <c r="T47" s="171"/>
    </row>
    <row r="48" spans="3:20" ht="31" thickBot="1" x14ac:dyDescent="0.25">
      <c r="C48" s="144" t="s">
        <v>2253</v>
      </c>
      <c r="D48" s="145" t="s">
        <v>2215</v>
      </c>
      <c r="E48" s="146" t="s">
        <v>65</v>
      </c>
      <c r="F48" s="146" t="s">
        <v>66</v>
      </c>
      <c r="G48" s="146" t="s">
        <v>2216</v>
      </c>
      <c r="H48" s="146" t="s">
        <v>1748</v>
      </c>
      <c r="I48" s="76" t="s">
        <v>1749</v>
      </c>
      <c r="J48" s="76" t="s">
        <v>1750</v>
      </c>
      <c r="K48" s="76" t="s">
        <v>1751</v>
      </c>
      <c r="L48" s="147" t="s">
        <v>2217</v>
      </c>
      <c r="M48" s="422"/>
      <c r="N48" s="173"/>
      <c r="O48" s="174"/>
      <c r="P48" s="174"/>
      <c r="Q48" s="208"/>
      <c r="R48" s="162"/>
      <c r="S48" s="162"/>
      <c r="T48" s="258"/>
    </row>
    <row r="49" spans="3:20" x14ac:dyDescent="0.2">
      <c r="C49" s="605" t="s">
        <v>2254</v>
      </c>
      <c r="D49" s="398"/>
      <c r="E49" s="166"/>
      <c r="F49" s="176"/>
      <c r="G49" s="603"/>
      <c r="H49" s="604"/>
      <c r="I49" s="11"/>
      <c r="J49" s="5"/>
      <c r="K49" s="18"/>
      <c r="L49" s="200"/>
      <c r="M49" s="188"/>
      <c r="N49" s="418"/>
      <c r="O49" s="419"/>
      <c r="P49" s="419"/>
      <c r="Q49" s="420"/>
      <c r="R49" s="154"/>
      <c r="S49" s="419"/>
      <c r="T49" s="421"/>
    </row>
    <row r="50" spans="3:20" x14ac:dyDescent="0.2">
      <c r="C50" s="187" t="s">
        <v>2255</v>
      </c>
      <c r="D50" s="397">
        <v>9300675001410</v>
      </c>
      <c r="E50" s="107">
        <v>19007</v>
      </c>
      <c r="F50" s="158" t="s">
        <v>2219</v>
      </c>
      <c r="G50" s="106">
        <v>24</v>
      </c>
      <c r="H50" s="159" t="s">
        <v>77</v>
      </c>
      <c r="I50" s="8"/>
      <c r="J50" s="3"/>
      <c r="K50" s="18"/>
      <c r="L50" s="203">
        <v>22.98</v>
      </c>
      <c r="M50" s="188">
        <f t="shared" ref="M50:M53" si="46">K50*L50</f>
        <v>0</v>
      </c>
      <c r="N50" s="183">
        <f t="shared" ref="N50:N53" si="47">L50/G50</f>
        <v>0.95750000000000002</v>
      </c>
      <c r="O50" s="184">
        <f t="shared" ref="O50:O53" si="48">N50*$O$12</f>
        <v>8.3302500000000002E-2</v>
      </c>
      <c r="P50" s="184">
        <f t="shared" ref="P50:P53" si="49">N50+O50</f>
        <v>1.0408025000000001</v>
      </c>
      <c r="Q50" s="210">
        <v>0</v>
      </c>
      <c r="R50" s="162">
        <f t="shared" ref="R50:R53" si="50">Q50/$R$10</f>
        <v>0</v>
      </c>
      <c r="S50" s="184">
        <f t="shared" ref="S50:S53" si="51">R50-P50</f>
        <v>-1.0408025000000001</v>
      </c>
      <c r="T50" s="171" t="e">
        <f t="shared" ref="T50:T53" si="52">S50/R50</f>
        <v>#DIV/0!</v>
      </c>
    </row>
    <row r="51" spans="3:20" x14ac:dyDescent="0.2">
      <c r="C51" s="187" t="s">
        <v>2256</v>
      </c>
      <c r="D51" s="397">
        <v>9300675079655</v>
      </c>
      <c r="E51" s="107">
        <v>19010</v>
      </c>
      <c r="F51" s="158" t="s">
        <v>2219</v>
      </c>
      <c r="G51" s="106">
        <v>24</v>
      </c>
      <c r="H51" s="159" t="s">
        <v>77</v>
      </c>
      <c r="I51" s="8"/>
      <c r="J51" s="3"/>
      <c r="K51" s="18"/>
      <c r="L51" s="203">
        <v>22.98</v>
      </c>
      <c r="M51" s="188">
        <f t="shared" si="46"/>
        <v>0</v>
      </c>
      <c r="N51" s="183">
        <f t="shared" si="47"/>
        <v>0.95750000000000002</v>
      </c>
      <c r="O51" s="184">
        <f t="shared" si="48"/>
        <v>8.3302500000000002E-2</v>
      </c>
      <c r="P51" s="184">
        <f t="shared" si="49"/>
        <v>1.0408025000000001</v>
      </c>
      <c r="Q51" s="210">
        <v>0</v>
      </c>
      <c r="R51" s="162">
        <f t="shared" si="50"/>
        <v>0</v>
      </c>
      <c r="S51" s="184">
        <f t="shared" si="51"/>
        <v>-1.0408025000000001</v>
      </c>
      <c r="T51" s="171" t="e">
        <f t="shared" si="52"/>
        <v>#DIV/0!</v>
      </c>
    </row>
    <row r="52" spans="3:20" x14ac:dyDescent="0.2">
      <c r="C52" s="187" t="s">
        <v>2257</v>
      </c>
      <c r="D52" s="397">
        <v>9300675003414</v>
      </c>
      <c r="E52" s="107">
        <v>19039</v>
      </c>
      <c r="F52" s="158" t="s">
        <v>2219</v>
      </c>
      <c r="G52" s="106">
        <v>24</v>
      </c>
      <c r="H52" s="159" t="s">
        <v>77</v>
      </c>
      <c r="I52" s="8"/>
      <c r="J52" s="3"/>
      <c r="K52" s="18"/>
      <c r="L52" s="203">
        <v>22.98</v>
      </c>
      <c r="M52" s="188">
        <f t="shared" si="46"/>
        <v>0</v>
      </c>
      <c r="N52" s="183">
        <f t="shared" si="47"/>
        <v>0.95750000000000002</v>
      </c>
      <c r="O52" s="184">
        <f t="shared" si="48"/>
        <v>8.3302500000000002E-2</v>
      </c>
      <c r="P52" s="184">
        <f t="shared" si="49"/>
        <v>1.0408025000000001</v>
      </c>
      <c r="Q52" s="210">
        <v>0</v>
      </c>
      <c r="R52" s="162">
        <f t="shared" si="50"/>
        <v>0</v>
      </c>
      <c r="S52" s="184">
        <f t="shared" si="51"/>
        <v>-1.0408025000000001</v>
      </c>
      <c r="T52" s="171" t="e">
        <f t="shared" si="52"/>
        <v>#DIV/0!</v>
      </c>
    </row>
    <row r="53" spans="3:20" x14ac:dyDescent="0.2">
      <c r="C53" s="187" t="s">
        <v>2258</v>
      </c>
      <c r="D53" s="397">
        <v>9300675008419</v>
      </c>
      <c r="E53" s="189">
        <v>19037</v>
      </c>
      <c r="F53" s="190" t="s">
        <v>2219</v>
      </c>
      <c r="G53" s="192">
        <v>24</v>
      </c>
      <c r="H53" s="159" t="s">
        <v>77</v>
      </c>
      <c r="I53" s="8"/>
      <c r="J53" s="3"/>
      <c r="K53" s="18"/>
      <c r="L53" s="203">
        <v>22.98</v>
      </c>
      <c r="M53" s="188">
        <f t="shared" si="46"/>
        <v>0</v>
      </c>
      <c r="N53" s="183">
        <f t="shared" si="47"/>
        <v>0.95750000000000002</v>
      </c>
      <c r="O53" s="184">
        <f t="shared" si="48"/>
        <v>8.3302500000000002E-2</v>
      </c>
      <c r="P53" s="184">
        <f t="shared" si="49"/>
        <v>1.0408025000000001</v>
      </c>
      <c r="Q53" s="210">
        <v>0</v>
      </c>
      <c r="R53" s="162">
        <f t="shared" si="50"/>
        <v>0</v>
      </c>
      <c r="S53" s="184">
        <f t="shared" si="51"/>
        <v>-1.0408025000000001</v>
      </c>
      <c r="T53" s="171" t="e">
        <f t="shared" si="52"/>
        <v>#DIV/0!</v>
      </c>
    </row>
    <row r="54" spans="3:20" x14ac:dyDescent="0.2">
      <c r="C54" s="605" t="s">
        <v>2259</v>
      </c>
      <c r="D54" s="397"/>
      <c r="E54" s="189"/>
      <c r="F54" s="158"/>
      <c r="G54" s="192"/>
      <c r="H54" s="159"/>
      <c r="I54" s="8"/>
      <c r="J54" s="3"/>
      <c r="K54" s="18"/>
      <c r="L54" s="203"/>
      <c r="M54" s="188"/>
      <c r="N54" s="183"/>
      <c r="O54" s="184"/>
      <c r="P54" s="184"/>
      <c r="Q54" s="210"/>
      <c r="R54" s="162"/>
      <c r="S54" s="184"/>
      <c r="T54" s="171"/>
    </row>
    <row r="55" spans="3:20" x14ac:dyDescent="0.2">
      <c r="C55" s="187" t="s">
        <v>2260</v>
      </c>
      <c r="D55" s="397">
        <v>9300675009829</v>
      </c>
      <c r="E55" s="107">
        <v>4470</v>
      </c>
      <c r="F55" s="158" t="s">
        <v>2261</v>
      </c>
      <c r="G55" s="106">
        <v>24</v>
      </c>
      <c r="H55" s="159" t="s">
        <v>77</v>
      </c>
      <c r="I55" s="8"/>
      <c r="J55" s="3"/>
      <c r="K55" s="18"/>
      <c r="L55" s="203">
        <v>67.36</v>
      </c>
      <c r="M55" s="188">
        <f t="shared" ref="M55:M61" si="53">K55*L55</f>
        <v>0</v>
      </c>
      <c r="N55" s="183">
        <f t="shared" ref="N55:N61" si="54">L55/G55</f>
        <v>2.8066666666666666</v>
      </c>
      <c r="O55" s="184">
        <f t="shared" ref="O55:O61" si="55">N55*$O$12</f>
        <v>0.24417999999999998</v>
      </c>
      <c r="P55" s="184">
        <f t="shared" ref="P55:P61" si="56">N55+O55</f>
        <v>3.0508466666666667</v>
      </c>
      <c r="Q55" s="210">
        <v>0</v>
      </c>
      <c r="R55" s="162">
        <f t="shared" ref="R55:R61" si="57">Q55/$R$10</f>
        <v>0</v>
      </c>
      <c r="S55" s="184">
        <f t="shared" ref="S55:S61" si="58">R55-P55</f>
        <v>-3.0508466666666667</v>
      </c>
      <c r="T55" s="171" t="e">
        <f t="shared" ref="T55:T61" si="59">S55/R55</f>
        <v>#DIV/0!</v>
      </c>
    </row>
    <row r="56" spans="3:20" x14ac:dyDescent="0.2">
      <c r="C56" s="187" t="s">
        <v>2262</v>
      </c>
      <c r="D56" s="397">
        <v>9300675079464</v>
      </c>
      <c r="E56" s="107">
        <v>4472</v>
      </c>
      <c r="F56" s="158" t="s">
        <v>2261</v>
      </c>
      <c r="G56" s="106">
        <v>24</v>
      </c>
      <c r="H56" s="159" t="s">
        <v>77</v>
      </c>
      <c r="I56" s="8"/>
      <c r="J56" s="3"/>
      <c r="K56" s="18"/>
      <c r="L56" s="203">
        <v>67.36</v>
      </c>
      <c r="M56" s="188">
        <f t="shared" si="53"/>
        <v>0</v>
      </c>
      <c r="N56" s="183">
        <f t="shared" si="54"/>
        <v>2.8066666666666666</v>
      </c>
      <c r="O56" s="184">
        <f t="shared" si="55"/>
        <v>0.24417999999999998</v>
      </c>
      <c r="P56" s="184">
        <f t="shared" si="56"/>
        <v>3.0508466666666667</v>
      </c>
      <c r="Q56" s="210">
        <v>0</v>
      </c>
      <c r="R56" s="162">
        <f t="shared" si="57"/>
        <v>0</v>
      </c>
      <c r="S56" s="184">
        <f t="shared" si="58"/>
        <v>-3.0508466666666667</v>
      </c>
      <c r="T56" s="171" t="e">
        <f t="shared" si="59"/>
        <v>#DIV/0!</v>
      </c>
    </row>
    <row r="57" spans="3:20" x14ac:dyDescent="0.2">
      <c r="C57" s="187" t="s">
        <v>2263</v>
      </c>
      <c r="D57" s="397">
        <v>9300675009843</v>
      </c>
      <c r="E57" s="189">
        <v>89494</v>
      </c>
      <c r="F57" s="190" t="s">
        <v>2261</v>
      </c>
      <c r="G57" s="106">
        <v>24</v>
      </c>
      <c r="H57" s="159" t="s">
        <v>77</v>
      </c>
      <c r="I57" s="8"/>
      <c r="J57" s="3"/>
      <c r="K57" s="18"/>
      <c r="L57" s="203">
        <v>67.36</v>
      </c>
      <c r="M57" s="188">
        <f t="shared" si="53"/>
        <v>0</v>
      </c>
      <c r="N57" s="183">
        <f t="shared" si="54"/>
        <v>2.8066666666666666</v>
      </c>
      <c r="O57" s="184">
        <f t="shared" si="55"/>
        <v>0.24417999999999998</v>
      </c>
      <c r="P57" s="184">
        <f t="shared" si="56"/>
        <v>3.0508466666666667</v>
      </c>
      <c r="Q57" s="210">
        <v>0</v>
      </c>
      <c r="R57" s="162">
        <f t="shared" si="57"/>
        <v>0</v>
      </c>
      <c r="S57" s="184">
        <f t="shared" si="58"/>
        <v>-3.0508466666666667</v>
      </c>
      <c r="T57" s="171" t="e">
        <f t="shared" si="59"/>
        <v>#DIV/0!</v>
      </c>
    </row>
    <row r="58" spans="3:20" x14ac:dyDescent="0.2">
      <c r="C58" s="187" t="s">
        <v>2264</v>
      </c>
      <c r="D58" s="397">
        <v>9313820000862</v>
      </c>
      <c r="E58" s="189">
        <v>409351</v>
      </c>
      <c r="F58" s="190" t="s">
        <v>2261</v>
      </c>
      <c r="G58" s="100">
        <v>24</v>
      </c>
      <c r="H58" s="159" t="s">
        <v>77</v>
      </c>
      <c r="I58" s="8"/>
      <c r="J58" s="3"/>
      <c r="K58" s="18"/>
      <c r="L58" s="203">
        <v>62.3</v>
      </c>
      <c r="M58" s="188">
        <f t="shared" si="53"/>
        <v>0</v>
      </c>
      <c r="N58" s="183">
        <f t="shared" si="54"/>
        <v>2.5958333333333332</v>
      </c>
      <c r="O58" s="184">
        <f t="shared" si="55"/>
        <v>0.22583749999999997</v>
      </c>
      <c r="P58" s="184">
        <f t="shared" si="56"/>
        <v>2.8216708333333331</v>
      </c>
      <c r="Q58" s="210">
        <v>0</v>
      </c>
      <c r="R58" s="162">
        <f t="shared" si="57"/>
        <v>0</v>
      </c>
      <c r="S58" s="184">
        <f t="shared" si="58"/>
        <v>-2.8216708333333331</v>
      </c>
      <c r="T58" s="171" t="e">
        <f t="shared" si="59"/>
        <v>#DIV/0!</v>
      </c>
    </row>
    <row r="59" spans="3:20" x14ac:dyDescent="0.2">
      <c r="C59" s="187" t="s">
        <v>2265</v>
      </c>
      <c r="D59" s="397">
        <v>9315596200217</v>
      </c>
      <c r="E59" s="189">
        <v>44680</v>
      </c>
      <c r="F59" s="190" t="s">
        <v>2261</v>
      </c>
      <c r="G59" s="192">
        <v>24</v>
      </c>
      <c r="H59" s="159" t="s">
        <v>77</v>
      </c>
      <c r="I59" s="8"/>
      <c r="J59" s="3"/>
      <c r="K59" s="18"/>
      <c r="L59" s="203">
        <v>62.3</v>
      </c>
      <c r="M59" s="188">
        <f t="shared" si="53"/>
        <v>0</v>
      </c>
      <c r="N59" s="183">
        <f t="shared" si="54"/>
        <v>2.5958333333333332</v>
      </c>
      <c r="O59" s="184">
        <f t="shared" si="55"/>
        <v>0.22583749999999997</v>
      </c>
      <c r="P59" s="184">
        <f t="shared" si="56"/>
        <v>2.8216708333333331</v>
      </c>
      <c r="Q59" s="210">
        <v>0</v>
      </c>
      <c r="R59" s="162">
        <f t="shared" si="57"/>
        <v>0</v>
      </c>
      <c r="S59" s="184">
        <f t="shared" si="58"/>
        <v>-2.8216708333333331</v>
      </c>
      <c r="T59" s="171" t="e">
        <f t="shared" si="59"/>
        <v>#DIV/0!</v>
      </c>
    </row>
    <row r="60" spans="3:20" x14ac:dyDescent="0.2">
      <c r="C60" s="187" t="s">
        <v>2266</v>
      </c>
      <c r="D60" s="397">
        <v>9300675009867</v>
      </c>
      <c r="E60" s="189">
        <v>89224</v>
      </c>
      <c r="F60" s="190" t="s">
        <v>2261</v>
      </c>
      <c r="G60" s="192">
        <v>24</v>
      </c>
      <c r="H60" s="159" t="s">
        <v>77</v>
      </c>
      <c r="I60" s="8"/>
      <c r="J60" s="3"/>
      <c r="K60" s="18"/>
      <c r="L60" s="203">
        <v>67.36</v>
      </c>
      <c r="M60" s="188">
        <f t="shared" si="53"/>
        <v>0</v>
      </c>
      <c r="N60" s="183">
        <f t="shared" si="54"/>
        <v>2.8066666666666666</v>
      </c>
      <c r="O60" s="184">
        <f t="shared" si="55"/>
        <v>0.24417999999999998</v>
      </c>
      <c r="P60" s="184">
        <f t="shared" si="56"/>
        <v>3.0508466666666667</v>
      </c>
      <c r="Q60" s="210">
        <v>0</v>
      </c>
      <c r="R60" s="162">
        <f t="shared" si="57"/>
        <v>0</v>
      </c>
      <c r="S60" s="184">
        <f t="shared" si="58"/>
        <v>-3.0508466666666667</v>
      </c>
      <c r="T60" s="171" t="e">
        <f t="shared" si="59"/>
        <v>#DIV/0!</v>
      </c>
    </row>
    <row r="61" spans="3:20" x14ac:dyDescent="0.2">
      <c r="C61" s="187" t="s">
        <v>2267</v>
      </c>
      <c r="D61" s="397">
        <v>9315596200200</v>
      </c>
      <c r="E61" s="189">
        <v>45076</v>
      </c>
      <c r="F61" s="190" t="s">
        <v>2261</v>
      </c>
      <c r="G61" s="192">
        <v>24</v>
      </c>
      <c r="H61" s="159" t="s">
        <v>77</v>
      </c>
      <c r="I61" s="8"/>
      <c r="J61" s="3"/>
      <c r="K61" s="18"/>
      <c r="L61" s="203">
        <v>62.3</v>
      </c>
      <c r="M61" s="188">
        <f t="shared" si="53"/>
        <v>0</v>
      </c>
      <c r="N61" s="183">
        <f t="shared" si="54"/>
        <v>2.5958333333333332</v>
      </c>
      <c r="O61" s="184">
        <f t="shared" si="55"/>
        <v>0.22583749999999997</v>
      </c>
      <c r="P61" s="184">
        <f t="shared" si="56"/>
        <v>2.8216708333333331</v>
      </c>
      <c r="Q61" s="210">
        <v>0</v>
      </c>
      <c r="R61" s="162">
        <f t="shared" si="57"/>
        <v>0</v>
      </c>
      <c r="S61" s="184">
        <f t="shared" si="58"/>
        <v>-2.8216708333333331</v>
      </c>
      <c r="T61" s="171" t="e">
        <f t="shared" si="59"/>
        <v>#DIV/0!</v>
      </c>
    </row>
    <row r="62" spans="3:20" x14ac:dyDescent="0.2">
      <c r="C62" s="605" t="s">
        <v>2268</v>
      </c>
      <c r="D62" s="397"/>
      <c r="E62" s="189"/>
      <c r="F62" s="158"/>
      <c r="G62" s="192"/>
      <c r="H62" s="159"/>
      <c r="I62" s="8"/>
      <c r="J62" s="3"/>
      <c r="K62" s="18"/>
      <c r="L62" s="203"/>
      <c r="M62" s="188"/>
      <c r="N62" s="183"/>
      <c r="O62" s="184"/>
      <c r="P62" s="184"/>
      <c r="Q62" s="210"/>
      <c r="R62" s="162"/>
      <c r="S62" s="184"/>
      <c r="T62" s="171"/>
    </row>
    <row r="63" spans="3:20" x14ac:dyDescent="0.2">
      <c r="C63" s="187" t="s">
        <v>2269</v>
      </c>
      <c r="D63" s="397">
        <v>9300675001113</v>
      </c>
      <c r="E63" s="107">
        <v>4629</v>
      </c>
      <c r="F63" s="158" t="s">
        <v>2261</v>
      </c>
      <c r="G63" s="106">
        <v>12</v>
      </c>
      <c r="H63" s="159" t="s">
        <v>77</v>
      </c>
      <c r="I63" s="8"/>
      <c r="J63" s="3"/>
      <c r="K63" s="18"/>
      <c r="L63" s="203">
        <v>26.52</v>
      </c>
      <c r="M63" s="188">
        <f t="shared" ref="M63:M95" si="60">K63*L63</f>
        <v>0</v>
      </c>
      <c r="N63" s="183">
        <f t="shared" ref="N63:N91" si="61">L63/G63</f>
        <v>2.21</v>
      </c>
      <c r="O63" s="184">
        <f t="shared" si="4"/>
        <v>0.19227</v>
      </c>
      <c r="P63" s="184">
        <f t="shared" si="5"/>
        <v>2.4022700000000001</v>
      </c>
      <c r="Q63" s="210">
        <v>0</v>
      </c>
      <c r="R63" s="162">
        <f t="shared" si="27"/>
        <v>0</v>
      </c>
      <c r="S63" s="184">
        <f t="shared" si="28"/>
        <v>-2.4022700000000001</v>
      </c>
      <c r="T63" s="171" t="e">
        <f t="shared" ref="T63:T95" si="62">S63/R63</f>
        <v>#DIV/0!</v>
      </c>
    </row>
    <row r="64" spans="3:20" x14ac:dyDescent="0.2">
      <c r="C64" s="187" t="s">
        <v>2270</v>
      </c>
      <c r="D64" s="397">
        <v>9300675079488</v>
      </c>
      <c r="E64" s="107">
        <v>6198</v>
      </c>
      <c r="F64" s="158" t="s">
        <v>2261</v>
      </c>
      <c r="G64" s="106">
        <v>12</v>
      </c>
      <c r="H64" s="159" t="s">
        <v>77</v>
      </c>
      <c r="I64" s="8"/>
      <c r="J64" s="3"/>
      <c r="K64" s="18"/>
      <c r="L64" s="203">
        <v>26.52</v>
      </c>
      <c r="M64" s="188">
        <f t="shared" si="60"/>
        <v>0</v>
      </c>
      <c r="N64" s="183">
        <f t="shared" si="61"/>
        <v>2.21</v>
      </c>
      <c r="O64" s="184">
        <f t="shared" si="4"/>
        <v>0.19227</v>
      </c>
      <c r="P64" s="184">
        <f t="shared" si="5"/>
        <v>2.4022700000000001</v>
      </c>
      <c r="Q64" s="210">
        <v>0</v>
      </c>
      <c r="R64" s="162">
        <f t="shared" si="27"/>
        <v>0</v>
      </c>
      <c r="S64" s="184">
        <f t="shared" si="28"/>
        <v>-2.4022700000000001</v>
      </c>
      <c r="T64" s="171" t="e">
        <f t="shared" si="62"/>
        <v>#DIV/0!</v>
      </c>
    </row>
    <row r="65" spans="3:20" x14ac:dyDescent="0.2">
      <c r="C65" s="187" t="s">
        <v>2271</v>
      </c>
      <c r="D65" s="397">
        <v>9300675003094</v>
      </c>
      <c r="E65" s="107">
        <v>13003</v>
      </c>
      <c r="F65" s="158" t="s">
        <v>2261</v>
      </c>
      <c r="G65" s="106">
        <v>12</v>
      </c>
      <c r="H65" s="159" t="s">
        <v>77</v>
      </c>
      <c r="I65" s="8"/>
      <c r="J65" s="3"/>
      <c r="K65" s="18"/>
      <c r="L65" s="203">
        <v>26.52</v>
      </c>
      <c r="M65" s="188">
        <f t="shared" si="60"/>
        <v>0</v>
      </c>
      <c r="N65" s="183">
        <f t="shared" si="61"/>
        <v>2.21</v>
      </c>
      <c r="O65" s="184">
        <f t="shared" si="4"/>
        <v>0.19227</v>
      </c>
      <c r="P65" s="184">
        <f t="shared" si="5"/>
        <v>2.4022700000000001</v>
      </c>
      <c r="Q65" s="210">
        <v>0</v>
      </c>
      <c r="R65" s="162">
        <f t="shared" si="27"/>
        <v>0</v>
      </c>
      <c r="S65" s="184">
        <f t="shared" si="28"/>
        <v>-2.4022700000000001</v>
      </c>
      <c r="T65" s="171" t="e">
        <f t="shared" si="62"/>
        <v>#DIV/0!</v>
      </c>
    </row>
    <row r="66" spans="3:20" x14ac:dyDescent="0.2">
      <c r="C66" s="187" t="s">
        <v>2272</v>
      </c>
      <c r="D66" s="397">
        <v>9313820016504</v>
      </c>
      <c r="E66" s="189">
        <v>328377</v>
      </c>
      <c r="F66" s="190" t="s">
        <v>2261</v>
      </c>
      <c r="G66" s="100">
        <v>12</v>
      </c>
      <c r="H66" s="159" t="s">
        <v>77</v>
      </c>
      <c r="I66" s="8"/>
      <c r="J66" s="3"/>
      <c r="K66" s="18"/>
      <c r="L66" s="203">
        <v>23.65</v>
      </c>
      <c r="M66" s="188">
        <f t="shared" ref="M66:M69" si="63">K66*L66</f>
        <v>0</v>
      </c>
      <c r="N66" s="183">
        <f t="shared" ref="N66:N69" si="64">L66/G66</f>
        <v>1.9708333333333332</v>
      </c>
      <c r="O66" s="184">
        <f t="shared" si="4"/>
        <v>0.17146249999999999</v>
      </c>
      <c r="P66" s="184">
        <f t="shared" si="5"/>
        <v>2.1422958333333333</v>
      </c>
      <c r="Q66" s="210">
        <v>0</v>
      </c>
      <c r="R66" s="162">
        <f t="shared" ref="R66:R69" si="65">Q66/$R$10</f>
        <v>0</v>
      </c>
      <c r="S66" s="184">
        <f t="shared" ref="S66:S69" si="66">R66-P66</f>
        <v>-2.1422958333333333</v>
      </c>
      <c r="T66" s="171" t="e">
        <f t="shared" ref="T66:T69" si="67">S66/R66</f>
        <v>#DIV/0!</v>
      </c>
    </row>
    <row r="67" spans="3:20" x14ac:dyDescent="0.2">
      <c r="C67" s="187" t="s">
        <v>2273</v>
      </c>
      <c r="D67" s="397">
        <v>9315596002491</v>
      </c>
      <c r="E67" s="189">
        <v>4614</v>
      </c>
      <c r="F67" s="190" t="s">
        <v>2261</v>
      </c>
      <c r="G67" s="106">
        <v>12</v>
      </c>
      <c r="H67" s="159" t="s">
        <v>77</v>
      </c>
      <c r="I67" s="8"/>
      <c r="J67" s="3"/>
      <c r="K67" s="18"/>
      <c r="L67" s="203">
        <v>23.65</v>
      </c>
      <c r="M67" s="188">
        <f>K67*L67</f>
        <v>0</v>
      </c>
      <c r="N67" s="183">
        <f>L67/G67</f>
        <v>1.9708333333333332</v>
      </c>
      <c r="O67" s="184">
        <f>N67*$O$12</f>
        <v>0.17146249999999999</v>
      </c>
      <c r="P67" s="184">
        <f>N67+O67</f>
        <v>2.1422958333333333</v>
      </c>
      <c r="Q67" s="210">
        <v>0</v>
      </c>
      <c r="R67" s="162">
        <f>Q67/$R$10</f>
        <v>0</v>
      </c>
      <c r="S67" s="184">
        <f>R67-P67</f>
        <v>-2.1422958333333333</v>
      </c>
      <c r="T67" s="171" t="e">
        <f>S67/R67</f>
        <v>#DIV/0!</v>
      </c>
    </row>
    <row r="68" spans="3:20" x14ac:dyDescent="0.2">
      <c r="C68" s="187" t="s">
        <v>2274</v>
      </c>
      <c r="D68" s="397">
        <v>9300675008013</v>
      </c>
      <c r="E68" s="189">
        <v>5197</v>
      </c>
      <c r="F68" s="190" t="s">
        <v>2261</v>
      </c>
      <c r="G68" s="192">
        <v>12</v>
      </c>
      <c r="H68" s="159" t="s">
        <v>77</v>
      </c>
      <c r="I68" s="8"/>
      <c r="J68" s="3"/>
      <c r="K68" s="18"/>
      <c r="L68" s="203">
        <v>26.52</v>
      </c>
      <c r="M68" s="188">
        <f t="shared" si="63"/>
        <v>0</v>
      </c>
      <c r="N68" s="183">
        <f t="shared" si="64"/>
        <v>2.21</v>
      </c>
      <c r="O68" s="184">
        <f t="shared" si="4"/>
        <v>0.19227</v>
      </c>
      <c r="P68" s="184">
        <f t="shared" si="5"/>
        <v>2.4022700000000001</v>
      </c>
      <c r="Q68" s="210">
        <v>0</v>
      </c>
      <c r="R68" s="162">
        <f t="shared" si="65"/>
        <v>0</v>
      </c>
      <c r="S68" s="184">
        <f t="shared" si="66"/>
        <v>-2.4022700000000001</v>
      </c>
      <c r="T68" s="171" t="e">
        <f t="shared" si="67"/>
        <v>#DIV/0!</v>
      </c>
    </row>
    <row r="69" spans="3:20" x14ac:dyDescent="0.2">
      <c r="C69" s="187" t="s">
        <v>2275</v>
      </c>
      <c r="D69" s="397">
        <v>9315596002620</v>
      </c>
      <c r="E69" s="189">
        <v>352033</v>
      </c>
      <c r="F69" s="190" t="s">
        <v>2261</v>
      </c>
      <c r="G69" s="192">
        <v>12</v>
      </c>
      <c r="H69" s="159" t="s">
        <v>77</v>
      </c>
      <c r="I69" s="8"/>
      <c r="J69" s="3"/>
      <c r="K69" s="18"/>
      <c r="L69" s="203">
        <v>23.65</v>
      </c>
      <c r="M69" s="188">
        <f t="shared" si="63"/>
        <v>0</v>
      </c>
      <c r="N69" s="183">
        <f t="shared" si="64"/>
        <v>1.9708333333333332</v>
      </c>
      <c r="O69" s="184">
        <f t="shared" si="4"/>
        <v>0.17146249999999999</v>
      </c>
      <c r="P69" s="184">
        <f t="shared" si="5"/>
        <v>2.1422958333333333</v>
      </c>
      <c r="Q69" s="210">
        <v>0</v>
      </c>
      <c r="R69" s="162">
        <f t="shared" si="65"/>
        <v>0</v>
      </c>
      <c r="S69" s="184">
        <f t="shared" si="66"/>
        <v>-2.1422958333333333</v>
      </c>
      <c r="T69" s="171" t="e">
        <f t="shared" si="67"/>
        <v>#DIV/0!</v>
      </c>
    </row>
    <row r="70" spans="3:20" x14ac:dyDescent="0.2">
      <c r="C70" s="605" t="s">
        <v>2276</v>
      </c>
      <c r="D70" s="397"/>
      <c r="E70" s="189"/>
      <c r="F70" s="190"/>
      <c r="G70" s="192"/>
      <c r="H70" s="159"/>
      <c r="I70" s="8"/>
      <c r="J70" s="3"/>
      <c r="K70" s="18"/>
      <c r="L70" s="203"/>
      <c r="M70" s="188"/>
      <c r="N70" s="183"/>
      <c r="O70" s="184"/>
      <c r="P70" s="184"/>
      <c r="Q70" s="210"/>
      <c r="R70" s="162"/>
      <c r="S70" s="184"/>
      <c r="T70" s="171"/>
    </row>
    <row r="71" spans="3:20" x14ac:dyDescent="0.2">
      <c r="C71" s="187" t="s">
        <v>2277</v>
      </c>
      <c r="D71" s="397">
        <v>9415767368507</v>
      </c>
      <c r="E71" s="191">
        <v>366922</v>
      </c>
      <c r="F71" s="190" t="s">
        <v>2261</v>
      </c>
      <c r="G71" s="106">
        <v>12</v>
      </c>
      <c r="H71" s="159" t="s">
        <v>77</v>
      </c>
      <c r="I71" s="8"/>
      <c r="J71" s="3"/>
      <c r="K71" s="18"/>
      <c r="L71" s="203">
        <v>25.94</v>
      </c>
      <c r="M71" s="188">
        <f t="shared" si="60"/>
        <v>0</v>
      </c>
      <c r="N71" s="183">
        <f t="shared" si="61"/>
        <v>2.1616666666666666</v>
      </c>
      <c r="O71" s="184">
        <f t="shared" si="4"/>
        <v>0.18806499999999998</v>
      </c>
      <c r="P71" s="184">
        <f t="shared" si="5"/>
        <v>2.3497316666666666</v>
      </c>
      <c r="Q71" s="210">
        <v>0</v>
      </c>
      <c r="R71" s="162">
        <f t="shared" si="27"/>
        <v>0</v>
      </c>
      <c r="S71" s="184">
        <f t="shared" si="28"/>
        <v>-2.3497316666666666</v>
      </c>
      <c r="T71" s="171" t="e">
        <f t="shared" si="62"/>
        <v>#DIV/0!</v>
      </c>
    </row>
    <row r="72" spans="3:20" x14ac:dyDescent="0.2">
      <c r="C72" s="187" t="s">
        <v>2278</v>
      </c>
      <c r="D72" s="397">
        <v>9415767026414</v>
      </c>
      <c r="E72" s="191">
        <v>468740</v>
      </c>
      <c r="F72" s="190" t="s">
        <v>2261</v>
      </c>
      <c r="G72" s="106">
        <v>12</v>
      </c>
      <c r="H72" s="159" t="s">
        <v>77</v>
      </c>
      <c r="I72" s="8"/>
      <c r="J72" s="3"/>
      <c r="K72" s="18"/>
      <c r="L72" s="203">
        <v>25.94</v>
      </c>
      <c r="M72" s="188">
        <f t="shared" si="60"/>
        <v>0</v>
      </c>
      <c r="N72" s="183">
        <f t="shared" si="61"/>
        <v>2.1616666666666666</v>
      </c>
      <c r="O72" s="184">
        <f t="shared" si="4"/>
        <v>0.18806499999999998</v>
      </c>
      <c r="P72" s="184">
        <f t="shared" si="5"/>
        <v>2.3497316666666666</v>
      </c>
      <c r="Q72" s="210">
        <v>0</v>
      </c>
      <c r="R72" s="162">
        <f t="shared" si="27"/>
        <v>0</v>
      </c>
      <c r="S72" s="184">
        <f t="shared" si="28"/>
        <v>-2.3497316666666666</v>
      </c>
      <c r="T72" s="171" t="e">
        <f t="shared" si="62"/>
        <v>#DIV/0!</v>
      </c>
    </row>
    <row r="73" spans="3:20" x14ac:dyDescent="0.2">
      <c r="C73" s="187" t="s">
        <v>2279</v>
      </c>
      <c r="D73" s="397">
        <v>9415767023147</v>
      </c>
      <c r="E73" s="191">
        <v>865434</v>
      </c>
      <c r="F73" s="190" t="s">
        <v>2261</v>
      </c>
      <c r="G73" s="106">
        <v>12</v>
      </c>
      <c r="H73" s="159" t="s">
        <v>77</v>
      </c>
      <c r="I73" s="8"/>
      <c r="J73" s="3"/>
      <c r="K73" s="18"/>
      <c r="L73" s="203">
        <v>25.94</v>
      </c>
      <c r="M73" s="188">
        <f t="shared" si="60"/>
        <v>0</v>
      </c>
      <c r="N73" s="183">
        <f t="shared" si="61"/>
        <v>2.1616666666666666</v>
      </c>
      <c r="O73" s="184">
        <f t="shared" si="4"/>
        <v>0.18806499999999998</v>
      </c>
      <c r="P73" s="184">
        <f t="shared" si="5"/>
        <v>2.3497316666666666</v>
      </c>
      <c r="Q73" s="210">
        <v>0</v>
      </c>
      <c r="R73" s="162">
        <f t="shared" si="27"/>
        <v>0</v>
      </c>
      <c r="S73" s="184">
        <f t="shared" si="28"/>
        <v>-2.3497316666666666</v>
      </c>
      <c r="T73" s="171" t="e">
        <f t="shared" si="62"/>
        <v>#DIV/0!</v>
      </c>
    </row>
    <row r="74" spans="3:20" x14ac:dyDescent="0.2">
      <c r="C74" s="187" t="s">
        <v>2280</v>
      </c>
      <c r="D74" s="397">
        <v>9415767370500</v>
      </c>
      <c r="E74" s="191">
        <v>366891</v>
      </c>
      <c r="F74" s="190" t="s">
        <v>2261</v>
      </c>
      <c r="G74" s="106">
        <v>12</v>
      </c>
      <c r="H74" s="159" t="s">
        <v>77</v>
      </c>
      <c r="I74" s="8"/>
      <c r="J74" s="3"/>
      <c r="K74" s="18"/>
      <c r="L74" s="203">
        <v>25.94</v>
      </c>
      <c r="M74" s="188">
        <f t="shared" si="60"/>
        <v>0</v>
      </c>
      <c r="N74" s="183">
        <f t="shared" si="61"/>
        <v>2.1616666666666666</v>
      </c>
      <c r="O74" s="184">
        <f t="shared" si="4"/>
        <v>0.18806499999999998</v>
      </c>
      <c r="P74" s="184">
        <f t="shared" si="5"/>
        <v>2.3497316666666666</v>
      </c>
      <c r="Q74" s="210">
        <v>0</v>
      </c>
      <c r="R74" s="162">
        <f t="shared" si="27"/>
        <v>0</v>
      </c>
      <c r="S74" s="184">
        <f t="shared" si="28"/>
        <v>-2.3497316666666666</v>
      </c>
      <c r="T74" s="171" t="e">
        <f t="shared" si="62"/>
        <v>#DIV/0!</v>
      </c>
    </row>
    <row r="75" spans="3:20" x14ac:dyDescent="0.2">
      <c r="C75" s="187" t="s">
        <v>2281</v>
      </c>
      <c r="D75" s="397">
        <v>9300675024075</v>
      </c>
      <c r="E75" s="189">
        <v>4423</v>
      </c>
      <c r="F75" s="190" t="s">
        <v>2261</v>
      </c>
      <c r="G75" s="100">
        <v>12</v>
      </c>
      <c r="H75" s="159" t="s">
        <v>77</v>
      </c>
      <c r="I75" s="8"/>
      <c r="J75" s="3"/>
      <c r="K75" s="18"/>
      <c r="L75" s="203">
        <v>30.09</v>
      </c>
      <c r="M75" s="188">
        <f t="shared" ref="M75:M78" si="68">K75*L75</f>
        <v>0</v>
      </c>
      <c r="N75" s="183">
        <f t="shared" ref="N75:N78" si="69">L75/G75</f>
        <v>2.5074999999999998</v>
      </c>
      <c r="O75" s="184">
        <f t="shared" si="4"/>
        <v>0.21815249999999997</v>
      </c>
      <c r="P75" s="184">
        <f t="shared" si="5"/>
        <v>2.7256524999999998</v>
      </c>
      <c r="Q75" s="210">
        <v>0</v>
      </c>
      <c r="R75" s="162">
        <f t="shared" ref="R75:R78" si="70">Q75/$R$10</f>
        <v>0</v>
      </c>
      <c r="S75" s="184">
        <f t="shared" ref="S75:S78" si="71">R75-P75</f>
        <v>-2.7256524999999998</v>
      </c>
      <c r="T75" s="171" t="e">
        <f t="shared" ref="T75:T78" si="72">S75/R75</f>
        <v>#DIV/0!</v>
      </c>
    </row>
    <row r="76" spans="3:20" x14ac:dyDescent="0.2">
      <c r="C76" s="187" t="s">
        <v>2282</v>
      </c>
      <c r="D76" s="397">
        <v>9300675035965</v>
      </c>
      <c r="E76" s="189">
        <v>48464</v>
      </c>
      <c r="F76" s="190" t="s">
        <v>2261</v>
      </c>
      <c r="G76" s="100">
        <v>12</v>
      </c>
      <c r="H76" s="159" t="s">
        <v>77</v>
      </c>
      <c r="I76" s="8"/>
      <c r="J76" s="3"/>
      <c r="K76" s="18"/>
      <c r="L76" s="203">
        <v>30.09</v>
      </c>
      <c r="M76" s="188">
        <f t="shared" si="68"/>
        <v>0</v>
      </c>
      <c r="N76" s="183">
        <f t="shared" si="69"/>
        <v>2.5074999999999998</v>
      </c>
      <c r="O76" s="184">
        <f t="shared" si="4"/>
        <v>0.21815249999999997</v>
      </c>
      <c r="P76" s="184">
        <f t="shared" si="5"/>
        <v>2.7256524999999998</v>
      </c>
      <c r="Q76" s="210">
        <v>0</v>
      </c>
      <c r="R76" s="162">
        <f t="shared" si="70"/>
        <v>0</v>
      </c>
      <c r="S76" s="184">
        <f t="shared" si="71"/>
        <v>-2.7256524999999998</v>
      </c>
      <c r="T76" s="171" t="e">
        <f t="shared" si="72"/>
        <v>#DIV/0!</v>
      </c>
    </row>
    <row r="77" spans="3:20" x14ac:dyDescent="0.2">
      <c r="C77" s="187" t="s">
        <v>2283</v>
      </c>
      <c r="D77" s="397">
        <v>9300624008354</v>
      </c>
      <c r="E77" s="189">
        <v>4424</v>
      </c>
      <c r="F77" s="190" t="s">
        <v>2261</v>
      </c>
      <c r="G77" s="100">
        <v>12</v>
      </c>
      <c r="H77" s="159" t="s">
        <v>77</v>
      </c>
      <c r="I77" s="8"/>
      <c r="J77" s="3"/>
      <c r="K77" s="18"/>
      <c r="L77" s="203">
        <v>30.09</v>
      </c>
      <c r="M77" s="188">
        <f t="shared" si="68"/>
        <v>0</v>
      </c>
      <c r="N77" s="183">
        <f t="shared" si="69"/>
        <v>2.5074999999999998</v>
      </c>
      <c r="O77" s="184">
        <f t="shared" si="4"/>
        <v>0.21815249999999997</v>
      </c>
      <c r="P77" s="184">
        <f t="shared" si="5"/>
        <v>2.7256524999999998</v>
      </c>
      <c r="Q77" s="210">
        <v>0</v>
      </c>
      <c r="R77" s="162">
        <f t="shared" si="70"/>
        <v>0</v>
      </c>
      <c r="S77" s="184">
        <f t="shared" si="71"/>
        <v>-2.7256524999999998</v>
      </c>
      <c r="T77" s="171" t="e">
        <f t="shared" si="72"/>
        <v>#DIV/0!</v>
      </c>
    </row>
    <row r="78" spans="3:20" x14ac:dyDescent="0.2">
      <c r="C78" s="187" t="s">
        <v>2284</v>
      </c>
      <c r="D78" s="397">
        <v>9300624008330</v>
      </c>
      <c r="E78" s="189">
        <v>1608</v>
      </c>
      <c r="F78" s="190" t="s">
        <v>2261</v>
      </c>
      <c r="G78" s="100">
        <v>12</v>
      </c>
      <c r="H78" s="159" t="s">
        <v>77</v>
      </c>
      <c r="I78" s="8"/>
      <c r="J78" s="3"/>
      <c r="K78" s="18"/>
      <c r="L78" s="203">
        <v>30.09</v>
      </c>
      <c r="M78" s="188">
        <f t="shared" si="68"/>
        <v>0</v>
      </c>
      <c r="N78" s="183">
        <f t="shared" si="69"/>
        <v>2.5074999999999998</v>
      </c>
      <c r="O78" s="184">
        <f t="shared" si="4"/>
        <v>0.21815249999999997</v>
      </c>
      <c r="P78" s="184">
        <f t="shared" si="5"/>
        <v>2.7256524999999998</v>
      </c>
      <c r="Q78" s="210">
        <v>0</v>
      </c>
      <c r="R78" s="162">
        <f t="shared" si="70"/>
        <v>0</v>
      </c>
      <c r="S78" s="184">
        <f t="shared" si="71"/>
        <v>-2.7256524999999998</v>
      </c>
      <c r="T78" s="171" t="e">
        <f t="shared" si="72"/>
        <v>#DIV/0!</v>
      </c>
    </row>
    <row r="79" spans="3:20" x14ac:dyDescent="0.2">
      <c r="C79" s="605" t="s">
        <v>2285</v>
      </c>
      <c r="D79" s="397"/>
      <c r="E79" s="189"/>
      <c r="F79" s="190"/>
      <c r="G79" s="192"/>
      <c r="H79" s="159"/>
      <c r="I79" s="8"/>
      <c r="J79" s="3"/>
      <c r="K79" s="18"/>
      <c r="L79" s="203"/>
      <c r="M79" s="188"/>
      <c r="N79" s="183"/>
      <c r="O79" s="184"/>
      <c r="P79" s="184"/>
      <c r="Q79" s="210"/>
      <c r="R79" s="162"/>
      <c r="S79" s="184"/>
      <c r="T79" s="171"/>
    </row>
    <row r="80" spans="3:20" x14ac:dyDescent="0.2">
      <c r="C80" s="187" t="s">
        <v>2286</v>
      </c>
      <c r="D80" s="397">
        <v>70847813903</v>
      </c>
      <c r="E80" s="191">
        <v>11030</v>
      </c>
      <c r="F80" s="190" t="s">
        <v>2219</v>
      </c>
      <c r="G80" s="100">
        <v>24</v>
      </c>
      <c r="H80" s="159" t="s">
        <v>77</v>
      </c>
      <c r="I80" s="8"/>
      <c r="J80" s="3"/>
      <c r="K80" s="18"/>
      <c r="L80" s="203">
        <v>54.04</v>
      </c>
      <c r="M80" s="188">
        <f t="shared" si="60"/>
        <v>0</v>
      </c>
      <c r="N80" s="183">
        <f t="shared" si="61"/>
        <v>2.2516666666666665</v>
      </c>
      <c r="O80" s="184">
        <f t="shared" si="4"/>
        <v>0.19589499999999996</v>
      </c>
      <c r="P80" s="184">
        <f t="shared" si="5"/>
        <v>2.4475616666666666</v>
      </c>
      <c r="Q80" s="210">
        <v>0</v>
      </c>
      <c r="R80" s="162">
        <f t="shared" si="27"/>
        <v>0</v>
      </c>
      <c r="S80" s="184">
        <f t="shared" si="28"/>
        <v>-2.4475616666666666</v>
      </c>
      <c r="T80" s="171" t="e">
        <f t="shared" si="62"/>
        <v>#DIV/0!</v>
      </c>
    </row>
    <row r="81" spans="3:20" x14ac:dyDescent="0.2">
      <c r="C81" s="187" t="s">
        <v>2287</v>
      </c>
      <c r="D81" s="397">
        <v>9342866000635</v>
      </c>
      <c r="E81" s="191">
        <v>714175</v>
      </c>
      <c r="F81" s="190" t="s">
        <v>2219</v>
      </c>
      <c r="G81" s="100">
        <v>24</v>
      </c>
      <c r="H81" s="159" t="s">
        <v>77</v>
      </c>
      <c r="I81" s="8"/>
      <c r="J81" s="3"/>
      <c r="K81" s="18"/>
      <c r="L81" s="203">
        <v>54.04</v>
      </c>
      <c r="M81" s="188">
        <f t="shared" si="60"/>
        <v>0</v>
      </c>
      <c r="N81" s="183">
        <f t="shared" si="61"/>
        <v>2.2516666666666665</v>
      </c>
      <c r="O81" s="184">
        <f t="shared" ref="O81:O95" si="73">N81*$O$12</f>
        <v>0.19589499999999996</v>
      </c>
      <c r="P81" s="184">
        <f t="shared" ref="P81:P95" si="74">N81+O81</f>
        <v>2.4475616666666666</v>
      </c>
      <c r="Q81" s="210">
        <v>0</v>
      </c>
      <c r="R81" s="162">
        <f t="shared" si="27"/>
        <v>0</v>
      </c>
      <c r="S81" s="184">
        <f t="shared" si="28"/>
        <v>-2.4475616666666666</v>
      </c>
      <c r="T81" s="171" t="e">
        <f t="shared" si="62"/>
        <v>#DIV/0!</v>
      </c>
    </row>
    <row r="82" spans="3:20" x14ac:dyDescent="0.2">
      <c r="C82" s="187" t="s">
        <v>2288</v>
      </c>
      <c r="D82" s="397">
        <v>9342866000772</v>
      </c>
      <c r="E82" s="191">
        <v>449500</v>
      </c>
      <c r="F82" s="190" t="s">
        <v>2219</v>
      </c>
      <c r="G82" s="100">
        <v>24</v>
      </c>
      <c r="H82" s="159" t="s">
        <v>77</v>
      </c>
      <c r="I82" s="8"/>
      <c r="J82" s="3"/>
      <c r="K82" s="18"/>
      <c r="L82" s="203">
        <v>54.04</v>
      </c>
      <c r="M82" s="188">
        <f t="shared" si="60"/>
        <v>0</v>
      </c>
      <c r="N82" s="183">
        <f t="shared" si="61"/>
        <v>2.2516666666666665</v>
      </c>
      <c r="O82" s="184">
        <f t="shared" si="73"/>
        <v>0.19589499999999996</v>
      </c>
      <c r="P82" s="184">
        <f t="shared" si="74"/>
        <v>2.4475616666666666</v>
      </c>
      <c r="Q82" s="210">
        <v>0</v>
      </c>
      <c r="R82" s="162">
        <f t="shared" si="27"/>
        <v>0</v>
      </c>
      <c r="S82" s="184">
        <f t="shared" si="28"/>
        <v>-2.4475616666666666</v>
      </c>
      <c r="T82" s="171" t="e">
        <f t="shared" si="62"/>
        <v>#DIV/0!</v>
      </c>
    </row>
    <row r="83" spans="3:20" x14ac:dyDescent="0.2">
      <c r="C83" s="187" t="s">
        <v>2289</v>
      </c>
      <c r="D83" s="397">
        <v>9342866000482</v>
      </c>
      <c r="E83" s="191">
        <v>389124</v>
      </c>
      <c r="F83" s="190" t="s">
        <v>2219</v>
      </c>
      <c r="G83" s="100">
        <v>24</v>
      </c>
      <c r="H83" s="159" t="s">
        <v>77</v>
      </c>
      <c r="I83" s="8"/>
      <c r="J83" s="3"/>
      <c r="K83" s="18"/>
      <c r="L83" s="203">
        <v>54.04</v>
      </c>
      <c r="M83" s="188">
        <f t="shared" si="60"/>
        <v>0</v>
      </c>
      <c r="N83" s="183">
        <f t="shared" si="61"/>
        <v>2.2516666666666665</v>
      </c>
      <c r="O83" s="184">
        <f t="shared" si="73"/>
        <v>0.19589499999999996</v>
      </c>
      <c r="P83" s="184">
        <f t="shared" si="74"/>
        <v>2.4475616666666666</v>
      </c>
      <c r="Q83" s="210">
        <v>0</v>
      </c>
      <c r="R83" s="162">
        <f t="shared" si="27"/>
        <v>0</v>
      </c>
      <c r="S83" s="184">
        <f t="shared" si="28"/>
        <v>-2.4475616666666666</v>
      </c>
      <c r="T83" s="171" t="e">
        <f t="shared" si="62"/>
        <v>#DIV/0!</v>
      </c>
    </row>
    <row r="84" spans="3:20" x14ac:dyDescent="0.2">
      <c r="C84" s="187" t="s">
        <v>2290</v>
      </c>
      <c r="D84" s="397">
        <v>90435324</v>
      </c>
      <c r="E84" s="189">
        <v>206</v>
      </c>
      <c r="F84" s="190" t="s">
        <v>2219</v>
      </c>
      <c r="G84" s="106">
        <v>24</v>
      </c>
      <c r="H84" s="159" t="s">
        <v>77</v>
      </c>
      <c r="I84" s="8"/>
      <c r="J84" s="3"/>
      <c r="K84" s="18"/>
      <c r="L84" s="203">
        <v>42.5</v>
      </c>
      <c r="M84" s="188">
        <f t="shared" ref="M84" si="75">K84*L84</f>
        <v>0</v>
      </c>
      <c r="N84" s="183">
        <f t="shared" ref="N84" si="76">L84/G84</f>
        <v>1.7708333333333333</v>
      </c>
      <c r="O84" s="184">
        <f t="shared" ref="O84" si="77">N84*$O$12</f>
        <v>0.15406249999999999</v>
      </c>
      <c r="P84" s="184">
        <f t="shared" ref="P84" si="78">N84+O84</f>
        <v>1.9248958333333333</v>
      </c>
      <c r="Q84" s="210">
        <v>0</v>
      </c>
      <c r="R84" s="162">
        <f t="shared" ref="R84" si="79">Q84/$R$10</f>
        <v>0</v>
      </c>
      <c r="S84" s="184">
        <f t="shared" ref="S84" si="80">R84-P84</f>
        <v>-1.9248958333333333</v>
      </c>
      <c r="T84" s="171" t="e">
        <f t="shared" ref="T84" si="81">S84/R84</f>
        <v>#DIV/0!</v>
      </c>
    </row>
    <row r="85" spans="3:20" x14ac:dyDescent="0.2">
      <c r="C85" s="187" t="s">
        <v>2291</v>
      </c>
      <c r="D85" s="397">
        <v>9002490243319</v>
      </c>
      <c r="E85" s="189">
        <v>8401</v>
      </c>
      <c r="F85" s="190" t="s">
        <v>2219</v>
      </c>
      <c r="G85" s="106">
        <v>12</v>
      </c>
      <c r="H85" s="159" t="s">
        <v>77</v>
      </c>
      <c r="I85" s="8"/>
      <c r="J85" s="3"/>
      <c r="K85" s="18"/>
      <c r="L85" s="203">
        <v>39.39</v>
      </c>
      <c r="M85" s="188">
        <f t="shared" si="60"/>
        <v>0</v>
      </c>
      <c r="N85" s="183">
        <f t="shared" si="61"/>
        <v>3.2825000000000002</v>
      </c>
      <c r="O85" s="184">
        <f t="shared" si="73"/>
        <v>0.28557749999999998</v>
      </c>
      <c r="P85" s="184">
        <f t="shared" si="74"/>
        <v>3.5680775000000002</v>
      </c>
      <c r="Q85" s="210">
        <v>0</v>
      </c>
      <c r="R85" s="162">
        <f t="shared" si="27"/>
        <v>0</v>
      </c>
      <c r="S85" s="184">
        <f t="shared" si="28"/>
        <v>-3.5680775000000002</v>
      </c>
      <c r="T85" s="171" t="e">
        <f t="shared" si="62"/>
        <v>#DIV/0!</v>
      </c>
    </row>
    <row r="86" spans="3:20" x14ac:dyDescent="0.2">
      <c r="C86" s="187" t="s">
        <v>2292</v>
      </c>
      <c r="D86" s="397">
        <v>90415203</v>
      </c>
      <c r="E86" s="189">
        <v>400077</v>
      </c>
      <c r="F86" s="190" t="s">
        <v>2219</v>
      </c>
      <c r="G86" s="106">
        <v>24</v>
      </c>
      <c r="H86" s="159" t="s">
        <v>77</v>
      </c>
      <c r="I86" s="8"/>
      <c r="J86" s="3"/>
      <c r="K86" s="18"/>
      <c r="L86" s="203">
        <v>42.5</v>
      </c>
      <c r="M86" s="188">
        <f t="shared" si="60"/>
        <v>0</v>
      </c>
      <c r="N86" s="183">
        <f t="shared" si="61"/>
        <v>1.7708333333333333</v>
      </c>
      <c r="O86" s="184">
        <f t="shared" si="73"/>
        <v>0.15406249999999999</v>
      </c>
      <c r="P86" s="184">
        <f t="shared" si="74"/>
        <v>1.9248958333333333</v>
      </c>
      <c r="Q86" s="210">
        <v>0</v>
      </c>
      <c r="R86" s="162">
        <f t="shared" si="27"/>
        <v>0</v>
      </c>
      <c r="S86" s="184">
        <f t="shared" si="28"/>
        <v>-1.9248958333333333</v>
      </c>
      <c r="T86" s="171" t="e">
        <f t="shared" si="62"/>
        <v>#DIV/0!</v>
      </c>
    </row>
    <row r="87" spans="3:20" x14ac:dyDescent="0.2">
      <c r="C87" s="187" t="s">
        <v>2293</v>
      </c>
      <c r="D87" s="397">
        <v>9002490223519</v>
      </c>
      <c r="E87" s="189">
        <v>400085</v>
      </c>
      <c r="F87" s="190" t="s">
        <v>2219</v>
      </c>
      <c r="G87" s="106">
        <v>12</v>
      </c>
      <c r="H87" s="159" t="s">
        <v>77</v>
      </c>
      <c r="I87" s="8"/>
      <c r="J87" s="3"/>
      <c r="K87" s="18"/>
      <c r="L87" s="203">
        <v>39.39</v>
      </c>
      <c r="M87" s="188">
        <f t="shared" si="60"/>
        <v>0</v>
      </c>
      <c r="N87" s="183">
        <f t="shared" si="61"/>
        <v>3.2825000000000002</v>
      </c>
      <c r="O87" s="184">
        <f t="shared" si="73"/>
        <v>0.28557749999999998</v>
      </c>
      <c r="P87" s="184">
        <f t="shared" si="74"/>
        <v>3.5680775000000002</v>
      </c>
      <c r="Q87" s="210">
        <v>0</v>
      </c>
      <c r="R87" s="162">
        <f t="shared" si="27"/>
        <v>0</v>
      </c>
      <c r="S87" s="184">
        <f t="shared" si="28"/>
        <v>-3.5680775000000002</v>
      </c>
      <c r="T87" s="171" t="e">
        <f t="shared" si="62"/>
        <v>#DIV/0!</v>
      </c>
    </row>
    <row r="88" spans="3:20" x14ac:dyDescent="0.2">
      <c r="C88" s="187" t="s">
        <v>2294</v>
      </c>
      <c r="D88" s="397">
        <v>9415767624207</v>
      </c>
      <c r="E88" s="189">
        <v>109412</v>
      </c>
      <c r="F88" s="190" t="s">
        <v>2219</v>
      </c>
      <c r="G88" s="192">
        <v>12</v>
      </c>
      <c r="H88" s="159" t="s">
        <v>77</v>
      </c>
      <c r="I88" s="8"/>
      <c r="J88" s="3"/>
      <c r="K88" s="18"/>
      <c r="L88" s="203">
        <v>33.520000000000003</v>
      </c>
      <c r="M88" s="188">
        <f t="shared" si="60"/>
        <v>0</v>
      </c>
      <c r="N88" s="183">
        <f t="shared" si="61"/>
        <v>2.7933333333333334</v>
      </c>
      <c r="O88" s="184">
        <f t="shared" si="73"/>
        <v>0.24301999999999999</v>
      </c>
      <c r="P88" s="184">
        <f t="shared" si="74"/>
        <v>3.0363533333333335</v>
      </c>
      <c r="Q88" s="210">
        <v>0</v>
      </c>
      <c r="R88" s="162">
        <f t="shared" ref="R88:R95" si="82">Q88/$R$10</f>
        <v>0</v>
      </c>
      <c r="S88" s="184">
        <f t="shared" ref="S88:S95" si="83">R88-P88</f>
        <v>-3.0363533333333335</v>
      </c>
      <c r="T88" s="171" t="e">
        <f t="shared" si="62"/>
        <v>#DIV/0!</v>
      </c>
    </row>
    <row r="89" spans="3:20" x14ac:dyDescent="0.2">
      <c r="C89" s="187" t="s">
        <v>2295</v>
      </c>
      <c r="D89" s="397">
        <v>9415767677203</v>
      </c>
      <c r="E89" s="107">
        <v>390324</v>
      </c>
      <c r="F89" s="158" t="s">
        <v>2219</v>
      </c>
      <c r="G89" s="192">
        <v>24</v>
      </c>
      <c r="H89" s="159" t="s">
        <v>77</v>
      </c>
      <c r="I89" s="8"/>
      <c r="J89" s="3"/>
      <c r="K89" s="18"/>
      <c r="L89" s="203">
        <v>67.040000000000006</v>
      </c>
      <c r="M89" s="188">
        <f t="shared" si="60"/>
        <v>0</v>
      </c>
      <c r="N89" s="183">
        <f t="shared" si="61"/>
        <v>2.7933333333333334</v>
      </c>
      <c r="O89" s="184">
        <f t="shared" si="73"/>
        <v>0.24301999999999999</v>
      </c>
      <c r="P89" s="184">
        <f t="shared" si="74"/>
        <v>3.0363533333333335</v>
      </c>
      <c r="Q89" s="210">
        <v>0</v>
      </c>
      <c r="R89" s="162">
        <f t="shared" si="82"/>
        <v>0</v>
      </c>
      <c r="S89" s="184">
        <f t="shared" si="83"/>
        <v>-3.0363533333333335</v>
      </c>
      <c r="T89" s="171" t="e">
        <f t="shared" si="62"/>
        <v>#DIV/0!</v>
      </c>
    </row>
    <row r="90" spans="3:20" x14ac:dyDescent="0.2">
      <c r="C90" s="187" t="s">
        <v>2296</v>
      </c>
      <c r="D90" s="397">
        <v>9415767015166</v>
      </c>
      <c r="E90" s="107">
        <v>162612</v>
      </c>
      <c r="F90" s="158" t="s">
        <v>2219</v>
      </c>
      <c r="G90" s="192">
        <v>12</v>
      </c>
      <c r="H90" s="159" t="s">
        <v>77</v>
      </c>
      <c r="I90" s="8"/>
      <c r="J90" s="3"/>
      <c r="K90" s="18"/>
      <c r="L90" s="203">
        <v>33.520000000000003</v>
      </c>
      <c r="M90" s="188">
        <f t="shared" si="60"/>
        <v>0</v>
      </c>
      <c r="N90" s="183">
        <f t="shared" si="61"/>
        <v>2.7933333333333334</v>
      </c>
      <c r="O90" s="184">
        <f t="shared" si="73"/>
        <v>0.24301999999999999</v>
      </c>
      <c r="P90" s="184">
        <f t="shared" si="74"/>
        <v>3.0363533333333335</v>
      </c>
      <c r="Q90" s="210">
        <v>0</v>
      </c>
      <c r="R90" s="162">
        <f t="shared" si="82"/>
        <v>0</v>
      </c>
      <c r="S90" s="184">
        <f t="shared" si="83"/>
        <v>-3.0363533333333335</v>
      </c>
      <c r="T90" s="171" t="e">
        <f t="shared" si="62"/>
        <v>#DIV/0!</v>
      </c>
    </row>
    <row r="91" spans="3:20" ht="17" thickBot="1" x14ac:dyDescent="0.25">
      <c r="C91" s="187" t="s">
        <v>2297</v>
      </c>
      <c r="D91" s="397">
        <v>9415767690206</v>
      </c>
      <c r="E91" s="107">
        <v>108612</v>
      </c>
      <c r="F91" s="158" t="s">
        <v>2219</v>
      </c>
      <c r="G91" s="192">
        <v>12</v>
      </c>
      <c r="H91" s="159" t="s">
        <v>77</v>
      </c>
      <c r="I91" s="106"/>
      <c r="J91" s="107"/>
      <c r="K91" s="18"/>
      <c r="L91" s="186">
        <v>33.520000000000003</v>
      </c>
      <c r="M91" s="188">
        <f t="shared" si="60"/>
        <v>0</v>
      </c>
      <c r="N91" s="183">
        <f t="shared" si="61"/>
        <v>2.7933333333333334</v>
      </c>
      <c r="O91" s="184">
        <f t="shared" si="73"/>
        <v>0.24301999999999999</v>
      </c>
      <c r="P91" s="184">
        <f t="shared" si="74"/>
        <v>3.0363533333333335</v>
      </c>
      <c r="Q91" s="210">
        <v>0</v>
      </c>
      <c r="R91" s="162">
        <f t="shared" si="82"/>
        <v>0</v>
      </c>
      <c r="S91" s="184">
        <f t="shared" si="83"/>
        <v>-3.0363533333333335</v>
      </c>
      <c r="T91" s="171" t="e">
        <f t="shared" si="62"/>
        <v>#DIV/0!</v>
      </c>
    </row>
    <row r="92" spans="3:20" ht="17" thickBot="1" x14ac:dyDescent="0.25">
      <c r="C92" s="724"/>
      <c r="D92" s="725"/>
      <c r="E92" s="725"/>
      <c r="F92" s="726"/>
      <c r="G92" s="726"/>
      <c r="H92" s="726"/>
      <c r="I92" s="726"/>
      <c r="J92" s="726"/>
      <c r="K92" s="726"/>
      <c r="L92" s="726"/>
      <c r="M92" s="169">
        <f>SUM(M49:M91)</f>
        <v>0</v>
      </c>
      <c r="N92" s="423"/>
      <c r="O92" s="174"/>
      <c r="P92" s="174"/>
      <c r="Q92" s="267"/>
      <c r="R92" s="162">
        <f t="shared" si="82"/>
        <v>0</v>
      </c>
      <c r="S92" s="162">
        <f t="shared" si="83"/>
        <v>0</v>
      </c>
      <c r="T92" s="258"/>
    </row>
    <row r="93" spans="3:20" ht="31" thickBot="1" x14ac:dyDescent="0.25">
      <c r="C93" s="144" t="s">
        <v>2298</v>
      </c>
      <c r="D93" s="145" t="s">
        <v>2215</v>
      </c>
      <c r="E93" s="146" t="s">
        <v>65</v>
      </c>
      <c r="F93" s="146" t="s">
        <v>66</v>
      </c>
      <c r="G93" s="146" t="s">
        <v>2216</v>
      </c>
      <c r="H93" s="146" t="s">
        <v>1748</v>
      </c>
      <c r="I93" s="76" t="s">
        <v>1749</v>
      </c>
      <c r="J93" s="76" t="s">
        <v>1750</v>
      </c>
      <c r="K93" s="76" t="s">
        <v>1751</v>
      </c>
      <c r="L93" s="147" t="s">
        <v>2299</v>
      </c>
      <c r="M93" s="188"/>
      <c r="N93" s="418"/>
      <c r="O93" s="419">
        <f t="shared" si="73"/>
        <v>0</v>
      </c>
      <c r="P93" s="419">
        <f t="shared" si="74"/>
        <v>0</v>
      </c>
      <c r="Q93" s="420"/>
      <c r="R93" s="180"/>
      <c r="S93" s="180"/>
      <c r="T93" s="421"/>
    </row>
    <row r="94" spans="3:20" x14ac:dyDescent="0.2">
      <c r="C94" s="187" t="s">
        <v>2300</v>
      </c>
      <c r="D94" s="157"/>
      <c r="E94" s="189">
        <v>7249</v>
      </c>
      <c r="F94" s="190" t="s">
        <v>223</v>
      </c>
      <c r="G94" s="192">
        <v>3</v>
      </c>
      <c r="H94" s="159" t="s">
        <v>466</v>
      </c>
      <c r="I94" s="8"/>
      <c r="J94" s="3"/>
      <c r="K94" s="17"/>
      <c r="L94" s="203">
        <v>14.31</v>
      </c>
      <c r="M94" s="188">
        <f t="shared" si="60"/>
        <v>0</v>
      </c>
      <c r="N94" s="183">
        <f t="shared" ref="N94:N95" si="84">L94/G94</f>
        <v>4.7700000000000005</v>
      </c>
      <c r="O94" s="184">
        <f t="shared" si="73"/>
        <v>0.41499000000000003</v>
      </c>
      <c r="P94" s="184">
        <f t="shared" si="74"/>
        <v>5.1849900000000009</v>
      </c>
      <c r="Q94" s="210">
        <v>0</v>
      </c>
      <c r="R94" s="162">
        <f t="shared" si="82"/>
        <v>0</v>
      </c>
      <c r="S94" s="184">
        <f t="shared" si="83"/>
        <v>-5.1849900000000009</v>
      </c>
      <c r="T94" s="171" t="e">
        <f t="shared" si="62"/>
        <v>#DIV/0!</v>
      </c>
    </row>
    <row r="95" spans="3:20" ht="17" thickBot="1" x14ac:dyDescent="0.25">
      <c r="C95" s="193" t="s">
        <v>2301</v>
      </c>
      <c r="D95" s="194"/>
      <c r="E95" s="195">
        <v>7248</v>
      </c>
      <c r="F95" s="196" t="s">
        <v>223</v>
      </c>
      <c r="G95" s="197">
        <v>3</v>
      </c>
      <c r="H95" s="198" t="s">
        <v>466</v>
      </c>
      <c r="I95" s="22"/>
      <c r="J95" s="23"/>
      <c r="K95" s="24"/>
      <c r="L95" s="204">
        <v>14.31</v>
      </c>
      <c r="M95" s="188">
        <f t="shared" si="60"/>
        <v>0</v>
      </c>
      <c r="N95" s="183">
        <f t="shared" si="84"/>
        <v>4.7700000000000005</v>
      </c>
      <c r="O95" s="184">
        <f t="shared" si="73"/>
        <v>0.41499000000000003</v>
      </c>
      <c r="P95" s="184">
        <f t="shared" si="74"/>
        <v>5.1849900000000009</v>
      </c>
      <c r="Q95" s="210">
        <v>0</v>
      </c>
      <c r="R95" s="162">
        <f t="shared" si="82"/>
        <v>0</v>
      </c>
      <c r="S95" s="184">
        <f t="shared" si="83"/>
        <v>-5.1849900000000009</v>
      </c>
      <c r="T95" s="171" t="e">
        <f t="shared" si="62"/>
        <v>#DIV/0!</v>
      </c>
    </row>
    <row r="96" spans="3:20" ht="17" thickBot="1" x14ac:dyDescent="0.25">
      <c r="C96" s="724"/>
      <c r="D96" s="725"/>
      <c r="E96" s="725"/>
      <c r="F96" s="726"/>
      <c r="G96" s="726"/>
      <c r="H96" s="726"/>
      <c r="I96" s="726"/>
      <c r="J96" s="726"/>
      <c r="K96" s="726"/>
      <c r="L96" s="726"/>
      <c r="M96" s="169">
        <f>SUM(M94:M95)</f>
        <v>0</v>
      </c>
      <c r="N96" s="423"/>
      <c r="O96" s="424"/>
      <c r="P96" s="424"/>
      <c r="Q96" s="267"/>
      <c r="R96" s="174"/>
      <c r="S96" s="174"/>
      <c r="T96" s="258"/>
    </row>
  </sheetData>
  <mergeCells count="18">
    <mergeCell ref="N11:P11"/>
    <mergeCell ref="C29:L29"/>
    <mergeCell ref="C47:L47"/>
    <mergeCell ref="C92:L92"/>
    <mergeCell ref="C96:L96"/>
    <mergeCell ref="C2:F2"/>
    <mergeCell ref="I7:J7"/>
    <mergeCell ref="E8:F8"/>
    <mergeCell ref="E3:F3"/>
    <mergeCell ref="E4:F4"/>
    <mergeCell ref="E5:F5"/>
    <mergeCell ref="E6:F6"/>
    <mergeCell ref="E7:F7"/>
    <mergeCell ref="I2:J2"/>
    <mergeCell ref="I3:J3"/>
    <mergeCell ref="I4:J4"/>
    <mergeCell ref="I5:J5"/>
    <mergeCell ref="I6:J6"/>
  </mergeCells>
  <phoneticPr fontId="23" type="noConversion"/>
  <hyperlinks>
    <hyperlink ref="I4" r:id="rId1" xr:uid="{1EB784E6-9B12-4D35-A5C0-BBC384DFE24F}"/>
    <hyperlink ref="I5" r:id="rId2" xr:uid="{015C1979-95DE-4502-8899-03D77D949741}"/>
  </hyperlinks>
  <pageMargins left="0.70866141732283472" right="0.70866141732283472" top="0.74803149606299213" bottom="0.74803149606299213" header="0.31496062992125984" footer="0.31496062992125984"/>
  <pageSetup paperSize="9" scale="43" fitToHeight="2" orientation="portrait" r:id="rId3"/>
  <ignoredErrors>
    <ignoredError sqref="Q16:R16 R15 T19:T24 N19:N24 R25 R27 R17:R18 N31 T28 N27 N15:N18 T13 T14 T16 T15 T25 T27 T17:T18 N25 N28" evalError="1"/>
  </ignoredErrors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04E1B-484A-194A-9C16-1FB780F4F7A5}">
  <sheetPr>
    <tabColor rgb="FF7030A0"/>
    <pageSetUpPr fitToPage="1"/>
  </sheetPr>
  <dimension ref="B1:N107"/>
  <sheetViews>
    <sheetView topLeftCell="A60" zoomScaleNormal="100" workbookViewId="0">
      <selection activeCell="B20" sqref="B20"/>
    </sheetView>
  </sheetViews>
  <sheetFormatPr baseColWidth="10" defaultColWidth="10.83203125" defaultRowHeight="16" x14ac:dyDescent="0.2"/>
  <cols>
    <col min="1" max="1" width="3.5" style="33" customWidth="1"/>
    <col min="2" max="2" width="52.6640625" style="33" customWidth="1"/>
    <col min="3" max="3" width="10.6640625" style="270" customWidth="1"/>
    <col min="4" max="4" width="11.5" style="270" customWidth="1"/>
    <col min="5" max="5" width="9.1640625" style="33" customWidth="1"/>
    <col min="6" max="6" width="7.33203125" style="33" customWidth="1"/>
    <col min="7" max="7" width="5.33203125" style="33" customWidth="1"/>
    <col min="8" max="9" width="15.6640625" style="33" customWidth="1"/>
    <col min="10" max="11" width="8.6640625" style="33" hidden="1" customWidth="1"/>
    <col min="12" max="12" width="7.6640625" style="344" hidden="1" customWidth="1"/>
    <col min="13" max="13" width="7.1640625" style="33" hidden="1" customWidth="1"/>
    <col min="14" max="14" width="8.1640625" style="275" hidden="1" customWidth="1"/>
    <col min="15" max="16384" width="10.83203125" style="33"/>
  </cols>
  <sheetData>
    <row r="1" spans="2:14" ht="17" thickBot="1" x14ac:dyDescent="0.25"/>
    <row r="2" spans="2:14" ht="17" thickBot="1" x14ac:dyDescent="0.25">
      <c r="B2" s="630" t="s">
        <v>60</v>
      </c>
      <c r="C2" s="631"/>
      <c r="D2" s="632"/>
      <c r="F2" s="625" t="s">
        <v>61</v>
      </c>
      <c r="G2" s="626"/>
      <c r="K2" s="344"/>
      <c r="L2" s="33"/>
      <c r="M2" s="275"/>
      <c r="N2" s="33"/>
    </row>
    <row r="3" spans="2:14" ht="17" thickBot="1" x14ac:dyDescent="0.25">
      <c r="B3" s="69" t="s">
        <v>62</v>
      </c>
      <c r="C3" s="639"/>
      <c r="D3" s="640"/>
      <c r="F3" s="645" t="str">
        <f>COVER!C9</f>
        <v>ian.shotam@programmed.com.au</v>
      </c>
      <c r="G3" s="646"/>
      <c r="K3" s="344"/>
      <c r="L3" s="33"/>
      <c r="M3" s="275"/>
      <c r="N3" s="33"/>
    </row>
    <row r="4" spans="2:14" ht="15.5" customHeight="1" thickBot="1" x14ac:dyDescent="0.25">
      <c r="B4" s="69" t="str">
        <f>COVER!B12</f>
        <v>SITE</v>
      </c>
      <c r="C4" s="641" t="str">
        <f>COVER!C12</f>
        <v>GOLDEN GROVE</v>
      </c>
      <c r="D4" s="642"/>
      <c r="F4" s="627"/>
      <c r="G4" s="628"/>
      <c r="K4" s="344"/>
      <c r="L4" s="33"/>
      <c r="M4" s="275"/>
      <c r="N4" s="33"/>
    </row>
    <row r="5" spans="2:14" ht="15.5" customHeight="1" thickBot="1" x14ac:dyDescent="0.25">
      <c r="B5" s="69" t="str">
        <f>COVER!B13</f>
        <v>MANAGERS NAME</v>
      </c>
      <c r="C5" s="641" t="str">
        <f>COVER!C13</f>
        <v>Ian Shotam</v>
      </c>
      <c r="D5" s="642"/>
      <c r="F5" s="629"/>
      <c r="G5" s="628"/>
      <c r="K5" s="344"/>
      <c r="L5" s="33"/>
      <c r="M5" s="275"/>
      <c r="N5" s="33"/>
    </row>
    <row r="6" spans="2:14" x14ac:dyDescent="0.2">
      <c r="B6" s="69" t="str">
        <f>COVER!B14</f>
        <v>DATE - ORDER PLACED</v>
      </c>
      <c r="C6" s="643">
        <f>COVER!C14</f>
        <v>45082</v>
      </c>
      <c r="D6" s="644"/>
      <c r="K6" s="344"/>
      <c r="L6" s="33"/>
      <c r="M6" s="275"/>
      <c r="N6" s="33"/>
    </row>
    <row r="7" spans="2:14" ht="34" x14ac:dyDescent="0.2">
      <c r="B7" s="543" t="str">
        <f>COVER!B15</f>
        <v>DATE - DELIVERY PERTH - FREIGHT LINES, 12-26 RIVERSDALE RD, WELSHPOOL WA 6100</v>
      </c>
      <c r="C7" s="643">
        <f>COVER!C15</f>
        <v>45085</v>
      </c>
      <c r="D7" s="644"/>
      <c r="K7" s="344"/>
      <c r="L7" s="33"/>
      <c r="M7" s="275"/>
      <c r="N7" s="33"/>
    </row>
    <row r="8" spans="2:14" ht="17" thickBot="1" x14ac:dyDescent="0.25">
      <c r="B8" s="70" t="str">
        <f>COVER!B16</f>
        <v>DATE - ESTIMATED ARRIVAL SITE</v>
      </c>
      <c r="C8" s="637">
        <f>COVER!C16</f>
        <v>45086</v>
      </c>
      <c r="D8" s="638"/>
      <c r="K8" s="344"/>
      <c r="L8" s="33"/>
      <c r="M8" s="275"/>
      <c r="N8" s="33"/>
    </row>
    <row r="9" spans="2:14" ht="9" customHeight="1" thickBot="1" x14ac:dyDescent="0.25"/>
    <row r="10" spans="2:14" ht="34" customHeight="1" thickBot="1" x14ac:dyDescent="0.25">
      <c r="B10" s="633" t="s">
        <v>63</v>
      </c>
      <c r="C10" s="634"/>
      <c r="D10" s="635"/>
      <c r="E10" s="635"/>
      <c r="F10" s="635"/>
      <c r="G10" s="635"/>
      <c r="H10" s="635"/>
      <c r="I10" s="636"/>
      <c r="J10" s="345"/>
      <c r="K10" s="346"/>
      <c r="L10" s="347"/>
      <c r="M10" s="348"/>
      <c r="N10" s="349"/>
    </row>
    <row r="11" spans="2:14" s="81" customFormat="1" ht="21.75" customHeight="1" thickBot="1" x14ac:dyDescent="0.25">
      <c r="B11" s="73" t="s">
        <v>64</v>
      </c>
      <c r="C11" s="448" t="s">
        <v>65</v>
      </c>
      <c r="D11" s="447" t="s">
        <v>66</v>
      </c>
      <c r="E11" s="76" t="s">
        <v>67</v>
      </c>
      <c r="F11" s="76" t="s">
        <v>68</v>
      </c>
      <c r="G11" s="76" t="s">
        <v>69</v>
      </c>
      <c r="H11" s="77" t="s">
        <v>70</v>
      </c>
      <c r="I11" s="78" t="s">
        <v>25</v>
      </c>
      <c r="J11" s="351" t="s">
        <v>71</v>
      </c>
      <c r="K11" s="352" t="s">
        <v>72</v>
      </c>
      <c r="L11" s="353" t="s">
        <v>73</v>
      </c>
      <c r="M11" s="348"/>
      <c r="N11" s="354" t="s">
        <v>74</v>
      </c>
    </row>
    <row r="12" spans="2:14" x14ac:dyDescent="0.2">
      <c r="B12" s="53" t="s">
        <v>75</v>
      </c>
      <c r="C12" s="83" t="s">
        <v>76</v>
      </c>
      <c r="D12" s="593" t="s">
        <v>77</v>
      </c>
      <c r="E12" s="7"/>
      <c r="F12" s="3"/>
      <c r="G12" s="17"/>
      <c r="H12" s="90">
        <v>36</v>
      </c>
      <c r="I12" s="91">
        <f t="shared" ref="I12:I41" si="0">G12*H12</f>
        <v>0</v>
      </c>
      <c r="J12" s="355">
        <f t="shared" ref="J12:J41" si="1">H12</f>
        <v>36</v>
      </c>
      <c r="K12" s="87">
        <f>H12*0.2</f>
        <v>7.2</v>
      </c>
      <c r="L12" s="356">
        <v>6.7</v>
      </c>
      <c r="M12" s="357">
        <f t="shared" ref="M12:M41" si="2">H12/L12</f>
        <v>5.3731343283582085</v>
      </c>
      <c r="N12" s="358">
        <f>100%-M12</f>
        <v>-4.3731343283582085</v>
      </c>
    </row>
    <row r="13" spans="2:14" x14ac:dyDescent="0.2">
      <c r="B13" s="53" t="s">
        <v>78</v>
      </c>
      <c r="C13" s="83" t="s">
        <v>79</v>
      </c>
      <c r="D13" s="593" t="s">
        <v>77</v>
      </c>
      <c r="E13" s="7"/>
      <c r="F13" s="3"/>
      <c r="G13" s="17"/>
      <c r="H13" s="90">
        <v>41</v>
      </c>
      <c r="I13" s="91"/>
      <c r="J13" s="355"/>
      <c r="K13" s="87"/>
      <c r="L13" s="356"/>
      <c r="M13" s="357"/>
      <c r="N13" s="358"/>
    </row>
    <row r="14" spans="2:14" x14ac:dyDescent="0.2">
      <c r="B14" s="53" t="s">
        <v>80</v>
      </c>
      <c r="C14" s="83" t="s">
        <v>81</v>
      </c>
      <c r="D14" s="593" t="s">
        <v>77</v>
      </c>
      <c r="E14" s="7"/>
      <c r="F14" s="3"/>
      <c r="G14" s="17"/>
      <c r="H14" s="90">
        <v>36</v>
      </c>
      <c r="I14" s="91">
        <f t="shared" si="0"/>
        <v>0</v>
      </c>
      <c r="J14" s="355">
        <f t="shared" si="1"/>
        <v>36</v>
      </c>
      <c r="K14" s="87">
        <f>H14/4</f>
        <v>9</v>
      </c>
      <c r="L14" s="356">
        <v>5.0999999999999996</v>
      </c>
      <c r="M14" s="357">
        <f t="shared" si="2"/>
        <v>7.0588235294117654</v>
      </c>
      <c r="N14" s="358">
        <f t="shared" ref="N14:N42" si="3">100%-M14</f>
        <v>-6.0588235294117654</v>
      </c>
    </row>
    <row r="15" spans="2:14" x14ac:dyDescent="0.2">
      <c r="B15" s="53" t="s">
        <v>82</v>
      </c>
      <c r="C15" s="83" t="s">
        <v>83</v>
      </c>
      <c r="D15" s="89" t="s">
        <v>71</v>
      </c>
      <c r="E15" s="7"/>
      <c r="F15" s="3"/>
      <c r="G15" s="17"/>
      <c r="H15" s="90">
        <v>10</v>
      </c>
      <c r="I15" s="91">
        <f t="shared" si="0"/>
        <v>0</v>
      </c>
      <c r="J15" s="355">
        <f t="shared" si="1"/>
        <v>10</v>
      </c>
      <c r="K15" s="87">
        <f>H15*0.15</f>
        <v>1.5</v>
      </c>
      <c r="L15" s="356">
        <v>3.35</v>
      </c>
      <c r="M15" s="357">
        <f t="shared" si="2"/>
        <v>2.9850746268656714</v>
      </c>
      <c r="N15" s="358">
        <f t="shared" si="3"/>
        <v>-1.9850746268656714</v>
      </c>
    </row>
    <row r="16" spans="2:14" x14ac:dyDescent="0.2">
      <c r="B16" s="53" t="s">
        <v>84</v>
      </c>
      <c r="C16" s="83" t="s">
        <v>85</v>
      </c>
      <c r="D16" s="593" t="s">
        <v>77</v>
      </c>
      <c r="E16" s="7"/>
      <c r="F16" s="3"/>
      <c r="G16" s="17"/>
      <c r="H16" s="90">
        <v>45</v>
      </c>
      <c r="I16" s="91">
        <f t="shared" si="0"/>
        <v>0</v>
      </c>
      <c r="J16" s="355">
        <f t="shared" si="1"/>
        <v>45</v>
      </c>
      <c r="K16" s="87">
        <f>H16*0.15</f>
        <v>6.75</v>
      </c>
      <c r="L16" s="356"/>
      <c r="M16" s="357" t="e">
        <f t="shared" si="2"/>
        <v>#DIV/0!</v>
      </c>
      <c r="N16" s="359" t="e">
        <f t="shared" si="3"/>
        <v>#DIV/0!</v>
      </c>
    </row>
    <row r="17" spans="2:14" x14ac:dyDescent="0.2">
      <c r="B17" s="53" t="s">
        <v>86</v>
      </c>
      <c r="C17" s="83" t="s">
        <v>87</v>
      </c>
      <c r="D17" s="89" t="s">
        <v>71</v>
      </c>
      <c r="E17" s="7"/>
      <c r="F17" s="3"/>
      <c r="G17" s="17"/>
      <c r="H17" s="90">
        <v>4.25</v>
      </c>
      <c r="I17" s="91">
        <f t="shared" si="0"/>
        <v>0</v>
      </c>
      <c r="J17" s="355">
        <f t="shared" si="1"/>
        <v>4.25</v>
      </c>
      <c r="K17" s="87">
        <f>H17*0.15</f>
        <v>0.63749999999999996</v>
      </c>
      <c r="L17" s="356">
        <v>7.75</v>
      </c>
      <c r="M17" s="357">
        <f t="shared" si="2"/>
        <v>0.54838709677419351</v>
      </c>
      <c r="N17" s="358">
        <f t="shared" si="3"/>
        <v>0.45161290322580649</v>
      </c>
    </row>
    <row r="18" spans="2:14" x14ac:dyDescent="0.2">
      <c r="B18" s="53" t="s">
        <v>88</v>
      </c>
      <c r="C18" s="83" t="s">
        <v>89</v>
      </c>
      <c r="D18" s="593" t="s">
        <v>77</v>
      </c>
      <c r="E18" s="7"/>
      <c r="F18" s="3"/>
      <c r="G18" s="17"/>
      <c r="H18" s="90">
        <v>60</v>
      </c>
      <c r="I18" s="91">
        <f t="shared" si="0"/>
        <v>0</v>
      </c>
      <c r="J18" s="355">
        <f t="shared" si="1"/>
        <v>60</v>
      </c>
      <c r="K18" s="87">
        <f>H18*0.15</f>
        <v>9</v>
      </c>
      <c r="L18" s="356">
        <v>6</v>
      </c>
      <c r="M18" s="357">
        <f t="shared" si="2"/>
        <v>10</v>
      </c>
      <c r="N18" s="358">
        <f t="shared" si="3"/>
        <v>-9</v>
      </c>
    </row>
    <row r="19" spans="2:14" x14ac:dyDescent="0.2">
      <c r="B19" s="53" t="s">
        <v>90</v>
      </c>
      <c r="C19" s="83" t="s">
        <v>91</v>
      </c>
      <c r="D19" s="593" t="s">
        <v>77</v>
      </c>
      <c r="E19" s="7"/>
      <c r="F19" s="3"/>
      <c r="G19" s="17"/>
      <c r="H19" s="90">
        <v>60</v>
      </c>
      <c r="I19" s="91">
        <f t="shared" si="0"/>
        <v>0</v>
      </c>
      <c r="J19" s="355">
        <f t="shared" si="1"/>
        <v>60</v>
      </c>
      <c r="K19" s="87">
        <f>H19*0.15</f>
        <v>9</v>
      </c>
      <c r="L19" s="356"/>
      <c r="M19" s="357" t="e">
        <f t="shared" si="2"/>
        <v>#DIV/0!</v>
      </c>
      <c r="N19" s="359" t="e">
        <f t="shared" si="3"/>
        <v>#DIV/0!</v>
      </c>
    </row>
    <row r="20" spans="2:14" x14ac:dyDescent="0.2">
      <c r="B20" s="53" t="s">
        <v>92</v>
      </c>
      <c r="C20" s="83" t="s">
        <v>93</v>
      </c>
      <c r="D20" s="89" t="s">
        <v>94</v>
      </c>
      <c r="E20" s="7"/>
      <c r="F20" s="3"/>
      <c r="G20" s="17"/>
      <c r="H20" s="90">
        <v>1</v>
      </c>
      <c r="I20" s="91">
        <f t="shared" si="0"/>
        <v>0</v>
      </c>
      <c r="J20" s="355">
        <f t="shared" si="1"/>
        <v>1</v>
      </c>
      <c r="K20" s="87">
        <f>H20*0.2</f>
        <v>0.2</v>
      </c>
      <c r="L20" s="356">
        <v>4.3</v>
      </c>
      <c r="M20" s="357">
        <f t="shared" si="2"/>
        <v>0.23255813953488372</v>
      </c>
      <c r="N20" s="358">
        <f t="shared" si="3"/>
        <v>0.76744186046511631</v>
      </c>
    </row>
    <row r="21" spans="2:14" x14ac:dyDescent="0.2">
      <c r="B21" s="53" t="s">
        <v>95</v>
      </c>
      <c r="C21" s="83" t="s">
        <v>96</v>
      </c>
      <c r="D21" s="89" t="s">
        <v>71</v>
      </c>
      <c r="E21" s="7"/>
      <c r="F21" s="3"/>
      <c r="G21" s="17"/>
      <c r="H21" s="90">
        <v>4</v>
      </c>
      <c r="I21" s="91">
        <f t="shared" si="0"/>
        <v>0</v>
      </c>
      <c r="J21" s="355">
        <f t="shared" si="1"/>
        <v>4</v>
      </c>
      <c r="K21" s="87">
        <f>H21*0.1</f>
        <v>0.4</v>
      </c>
      <c r="L21" s="356">
        <v>7.35</v>
      </c>
      <c r="M21" s="357">
        <f t="shared" si="2"/>
        <v>0.54421768707482998</v>
      </c>
      <c r="N21" s="358">
        <f t="shared" si="3"/>
        <v>0.45578231292517002</v>
      </c>
    </row>
    <row r="22" spans="2:14" x14ac:dyDescent="0.2">
      <c r="B22" s="53" t="s">
        <v>97</v>
      </c>
      <c r="C22" s="83" t="s">
        <v>98</v>
      </c>
      <c r="D22" s="89" t="s">
        <v>71</v>
      </c>
      <c r="E22" s="7"/>
      <c r="F22" s="3"/>
      <c r="G22" s="17"/>
      <c r="H22" s="90">
        <v>12</v>
      </c>
      <c r="I22" s="91">
        <f t="shared" si="0"/>
        <v>0</v>
      </c>
      <c r="J22" s="355">
        <f t="shared" si="1"/>
        <v>12</v>
      </c>
      <c r="K22" s="87">
        <f>H22*0.2</f>
        <v>2.4000000000000004</v>
      </c>
      <c r="L22" s="356">
        <v>5.6</v>
      </c>
      <c r="M22" s="357">
        <f t="shared" si="2"/>
        <v>2.1428571428571428</v>
      </c>
      <c r="N22" s="358">
        <f t="shared" si="3"/>
        <v>-1.1428571428571428</v>
      </c>
    </row>
    <row r="23" spans="2:14" x14ac:dyDescent="0.2">
      <c r="B23" s="53" t="s">
        <v>99</v>
      </c>
      <c r="C23" s="83" t="s">
        <v>100</v>
      </c>
      <c r="D23" s="593" t="s">
        <v>77</v>
      </c>
      <c r="E23" s="7"/>
      <c r="F23" s="3"/>
      <c r="G23" s="17"/>
      <c r="H23" s="90">
        <v>42</v>
      </c>
      <c r="I23" s="91">
        <f t="shared" si="0"/>
        <v>0</v>
      </c>
      <c r="J23" s="355">
        <f t="shared" si="1"/>
        <v>42</v>
      </c>
      <c r="K23" s="87">
        <f>H23*0.075</f>
        <v>3.15</v>
      </c>
      <c r="L23" s="356">
        <v>16</v>
      </c>
      <c r="M23" s="357">
        <f t="shared" si="2"/>
        <v>2.625</v>
      </c>
      <c r="N23" s="358">
        <f t="shared" si="3"/>
        <v>-1.625</v>
      </c>
    </row>
    <row r="24" spans="2:14" x14ac:dyDescent="0.2">
      <c r="B24" s="53" t="s">
        <v>101</v>
      </c>
      <c r="C24" s="83" t="s">
        <v>102</v>
      </c>
      <c r="D24" s="89" t="s">
        <v>71</v>
      </c>
      <c r="E24" s="7"/>
      <c r="F24" s="3"/>
      <c r="G24" s="17"/>
      <c r="H24" s="90">
        <v>1.7</v>
      </c>
      <c r="I24" s="91">
        <f t="shared" si="0"/>
        <v>0</v>
      </c>
      <c r="J24" s="355">
        <f t="shared" si="1"/>
        <v>1.7</v>
      </c>
      <c r="K24" s="87">
        <f>H24/6</f>
        <v>0.28333333333333333</v>
      </c>
      <c r="L24" s="356">
        <v>2.4</v>
      </c>
      <c r="M24" s="357">
        <f t="shared" si="2"/>
        <v>0.70833333333333337</v>
      </c>
      <c r="N24" s="358">
        <f t="shared" si="3"/>
        <v>0.29166666666666663</v>
      </c>
    </row>
    <row r="25" spans="2:14" x14ac:dyDescent="0.2">
      <c r="B25" s="53" t="s">
        <v>103</v>
      </c>
      <c r="C25" s="89" t="s">
        <v>104</v>
      </c>
      <c r="D25" s="593" t="s">
        <v>77</v>
      </c>
      <c r="E25" s="7"/>
      <c r="F25" s="3"/>
      <c r="G25" s="17"/>
      <c r="H25" s="90">
        <v>46.2</v>
      </c>
      <c r="I25" s="91">
        <f t="shared" si="0"/>
        <v>0</v>
      </c>
      <c r="J25" s="355">
        <f t="shared" si="1"/>
        <v>46.2</v>
      </c>
      <c r="K25" s="87">
        <f>H25*0.02</f>
        <v>0.92400000000000004</v>
      </c>
      <c r="L25" s="356">
        <v>13.35</v>
      </c>
      <c r="M25" s="357">
        <f t="shared" si="2"/>
        <v>3.4606741573033712</v>
      </c>
      <c r="N25" s="358">
        <f t="shared" si="3"/>
        <v>-2.4606741573033712</v>
      </c>
    </row>
    <row r="26" spans="2:14" x14ac:dyDescent="0.2">
      <c r="B26" s="53" t="s">
        <v>105</v>
      </c>
      <c r="C26" s="89" t="s">
        <v>106</v>
      </c>
      <c r="D26" s="593" t="s">
        <v>77</v>
      </c>
      <c r="E26" s="7"/>
      <c r="F26" s="3"/>
      <c r="G26" s="17"/>
      <c r="H26" s="90">
        <v>46.2</v>
      </c>
      <c r="I26" s="91">
        <f t="shared" si="0"/>
        <v>0</v>
      </c>
      <c r="J26" s="355">
        <f t="shared" si="1"/>
        <v>46.2</v>
      </c>
      <c r="K26" s="87">
        <f>H26*0.02</f>
        <v>0.92400000000000004</v>
      </c>
      <c r="L26" s="356">
        <v>13.35</v>
      </c>
      <c r="M26" s="357">
        <f t="shared" si="2"/>
        <v>3.4606741573033712</v>
      </c>
      <c r="N26" s="358">
        <f t="shared" si="3"/>
        <v>-2.4606741573033712</v>
      </c>
    </row>
    <row r="27" spans="2:14" x14ac:dyDescent="0.2">
      <c r="B27" s="53" t="s">
        <v>107</v>
      </c>
      <c r="C27" s="89" t="s">
        <v>108</v>
      </c>
      <c r="D27" s="593" t="s">
        <v>77</v>
      </c>
      <c r="E27" s="7"/>
      <c r="F27" s="3"/>
      <c r="G27" s="17"/>
      <c r="H27" s="90">
        <v>0</v>
      </c>
      <c r="I27" s="449">
        <f t="shared" si="0"/>
        <v>0</v>
      </c>
      <c r="J27" s="355">
        <f t="shared" si="1"/>
        <v>0</v>
      </c>
      <c r="K27" s="87">
        <f>H27/1000*15</f>
        <v>0</v>
      </c>
      <c r="L27" s="356">
        <v>42.7</v>
      </c>
      <c r="M27" s="357">
        <f t="shared" si="2"/>
        <v>0</v>
      </c>
      <c r="N27" s="358">
        <f t="shared" si="3"/>
        <v>1</v>
      </c>
    </row>
    <row r="28" spans="2:14" x14ac:dyDescent="0.2">
      <c r="B28" s="53" t="s">
        <v>109</v>
      </c>
      <c r="C28" s="89" t="s">
        <v>110</v>
      </c>
      <c r="D28" s="593" t="s">
        <v>77</v>
      </c>
      <c r="E28" s="7"/>
      <c r="F28" s="3"/>
      <c r="G28" s="17"/>
      <c r="H28" s="90">
        <v>37.5</v>
      </c>
      <c r="I28" s="91">
        <f t="shared" si="0"/>
        <v>0</v>
      </c>
      <c r="J28" s="355">
        <f t="shared" si="1"/>
        <v>37.5</v>
      </c>
      <c r="K28" s="87">
        <f>H28/1000*25</f>
        <v>0.9375</v>
      </c>
      <c r="L28" s="356"/>
      <c r="M28" s="357" t="e">
        <f t="shared" si="2"/>
        <v>#DIV/0!</v>
      </c>
      <c r="N28" s="359" t="e">
        <f t="shared" si="3"/>
        <v>#DIV/0!</v>
      </c>
    </row>
    <row r="29" spans="2:14" x14ac:dyDescent="0.2">
      <c r="B29" s="53" t="s">
        <v>111</v>
      </c>
      <c r="C29" s="89" t="s">
        <v>112</v>
      </c>
      <c r="D29" s="89" t="s">
        <v>94</v>
      </c>
      <c r="E29" s="7"/>
      <c r="F29" s="3"/>
      <c r="G29" s="17"/>
      <c r="H29" s="90">
        <v>1.5</v>
      </c>
      <c r="I29" s="91">
        <f t="shared" si="0"/>
        <v>0</v>
      </c>
      <c r="J29" s="355">
        <f t="shared" si="1"/>
        <v>1.5</v>
      </c>
      <c r="K29" s="87">
        <f>H29/100</f>
        <v>1.4999999999999999E-2</v>
      </c>
      <c r="L29" s="356">
        <v>3.35</v>
      </c>
      <c r="M29" s="357">
        <f t="shared" si="2"/>
        <v>0.44776119402985076</v>
      </c>
      <c r="N29" s="358">
        <f t="shared" si="3"/>
        <v>0.55223880597014929</v>
      </c>
    </row>
    <row r="30" spans="2:14" x14ac:dyDescent="0.2">
      <c r="B30" s="53" t="s">
        <v>113</v>
      </c>
      <c r="C30" s="89" t="s">
        <v>114</v>
      </c>
      <c r="D30" s="593" t="s">
        <v>77</v>
      </c>
      <c r="E30" s="7"/>
      <c r="F30" s="3"/>
      <c r="G30" s="17"/>
      <c r="H30" s="90">
        <v>60</v>
      </c>
      <c r="I30" s="91">
        <f t="shared" si="0"/>
        <v>0</v>
      </c>
      <c r="J30" s="355">
        <f t="shared" si="1"/>
        <v>60</v>
      </c>
      <c r="K30" s="87">
        <f>H30/1000*5</f>
        <v>0.3</v>
      </c>
      <c r="L30" s="356">
        <v>24.7</v>
      </c>
      <c r="M30" s="357">
        <f t="shared" si="2"/>
        <v>2.4291497975708505</v>
      </c>
      <c r="N30" s="358">
        <f t="shared" si="3"/>
        <v>-1.4291497975708505</v>
      </c>
    </row>
    <row r="31" spans="2:14" x14ac:dyDescent="0.2">
      <c r="B31" s="53" t="s">
        <v>115</v>
      </c>
      <c r="C31" s="89" t="s">
        <v>116</v>
      </c>
      <c r="D31" s="593" t="s">
        <v>77</v>
      </c>
      <c r="E31" s="7"/>
      <c r="F31" s="3"/>
      <c r="G31" s="17"/>
      <c r="H31" s="90">
        <v>0</v>
      </c>
      <c r="I31" s="449">
        <f t="shared" si="0"/>
        <v>0</v>
      </c>
      <c r="J31" s="355">
        <f t="shared" si="1"/>
        <v>0</v>
      </c>
      <c r="K31" s="87">
        <f>H31/100</f>
        <v>0</v>
      </c>
      <c r="L31" s="356">
        <v>2.2999999999999998</v>
      </c>
      <c r="M31" s="357">
        <f t="shared" si="2"/>
        <v>0</v>
      </c>
      <c r="N31" s="358">
        <f t="shared" si="3"/>
        <v>1</v>
      </c>
    </row>
    <row r="32" spans="2:14" x14ac:dyDescent="0.2">
      <c r="B32" s="53" t="s">
        <v>117</v>
      </c>
      <c r="C32" s="89" t="s">
        <v>118</v>
      </c>
      <c r="D32" s="593" t="s">
        <v>77</v>
      </c>
      <c r="E32" s="7"/>
      <c r="F32" s="3"/>
      <c r="G32" s="17"/>
      <c r="H32" s="90">
        <v>44.25</v>
      </c>
      <c r="I32" s="91">
        <f t="shared" si="0"/>
        <v>0</v>
      </c>
      <c r="J32" s="355">
        <f t="shared" si="1"/>
        <v>44.25</v>
      </c>
      <c r="K32" s="87">
        <f>H32/6</f>
        <v>7.375</v>
      </c>
      <c r="L32" s="356">
        <v>2.95</v>
      </c>
      <c r="M32" s="357">
        <f t="shared" si="2"/>
        <v>14.999999999999998</v>
      </c>
      <c r="N32" s="358">
        <f t="shared" si="3"/>
        <v>-13.999999999999998</v>
      </c>
    </row>
    <row r="33" spans="2:14" x14ac:dyDescent="0.2">
      <c r="B33" s="53" t="s">
        <v>119</v>
      </c>
      <c r="C33" s="89" t="s">
        <v>120</v>
      </c>
      <c r="D33" s="593" t="s">
        <v>77</v>
      </c>
      <c r="E33" s="7"/>
      <c r="F33" s="3"/>
      <c r="G33" s="17"/>
      <c r="H33" s="90">
        <v>33.5</v>
      </c>
      <c r="I33" s="91">
        <f t="shared" si="0"/>
        <v>0</v>
      </c>
      <c r="J33" s="355">
        <f t="shared" si="1"/>
        <v>33.5</v>
      </c>
      <c r="K33" s="87">
        <f>H33*0.05</f>
        <v>1.675</v>
      </c>
      <c r="L33" s="356">
        <v>29.35</v>
      </c>
      <c r="M33" s="357">
        <f t="shared" si="2"/>
        <v>1.141396933560477</v>
      </c>
      <c r="N33" s="358">
        <f t="shared" si="3"/>
        <v>-0.141396933560477</v>
      </c>
    </row>
    <row r="34" spans="2:14" x14ac:dyDescent="0.2">
      <c r="B34" s="53" t="s">
        <v>121</v>
      </c>
      <c r="C34" s="89" t="s">
        <v>122</v>
      </c>
      <c r="D34" s="593" t="s">
        <v>77</v>
      </c>
      <c r="E34" s="7"/>
      <c r="F34" s="3"/>
      <c r="G34" s="17"/>
      <c r="H34" s="90">
        <v>49.5</v>
      </c>
      <c r="I34" s="91">
        <f t="shared" si="0"/>
        <v>0</v>
      </c>
      <c r="J34" s="355">
        <f t="shared" si="1"/>
        <v>49.5</v>
      </c>
      <c r="K34" s="87">
        <f>H34*0.05</f>
        <v>2.4750000000000001</v>
      </c>
      <c r="L34" s="356">
        <v>3.2</v>
      </c>
      <c r="M34" s="357">
        <f t="shared" si="2"/>
        <v>15.46875</v>
      </c>
      <c r="N34" s="358">
        <f t="shared" si="3"/>
        <v>-14.46875</v>
      </c>
    </row>
    <row r="35" spans="2:14" x14ac:dyDescent="0.2">
      <c r="B35" s="53" t="s">
        <v>123</v>
      </c>
      <c r="C35" s="89" t="s">
        <v>124</v>
      </c>
      <c r="D35" s="593" t="s">
        <v>77</v>
      </c>
      <c r="E35" s="7"/>
      <c r="F35" s="3"/>
      <c r="G35" s="17"/>
      <c r="H35" s="90">
        <v>45</v>
      </c>
      <c r="I35" s="91">
        <f t="shared" si="0"/>
        <v>0</v>
      </c>
      <c r="J35" s="355">
        <f t="shared" si="1"/>
        <v>45</v>
      </c>
      <c r="K35" s="87">
        <f>H35*0.1</f>
        <v>4.5</v>
      </c>
      <c r="L35" s="356">
        <v>4.3</v>
      </c>
      <c r="M35" s="357">
        <f t="shared" si="2"/>
        <v>10.465116279069768</v>
      </c>
      <c r="N35" s="358">
        <f t="shared" si="3"/>
        <v>-9.4651162790697683</v>
      </c>
    </row>
    <row r="36" spans="2:14" x14ac:dyDescent="0.2">
      <c r="B36" s="53" t="s">
        <v>125</v>
      </c>
      <c r="C36" s="89" t="s">
        <v>126</v>
      </c>
      <c r="D36" s="89" t="s">
        <v>127</v>
      </c>
      <c r="E36" s="7"/>
      <c r="F36" s="3"/>
      <c r="G36" s="17"/>
      <c r="H36" s="90">
        <v>3.65</v>
      </c>
      <c r="I36" s="91">
        <f t="shared" si="0"/>
        <v>0</v>
      </c>
      <c r="J36" s="355">
        <f t="shared" si="1"/>
        <v>3.65</v>
      </c>
      <c r="K36" s="87">
        <f>H36*0.15</f>
        <v>0.54749999999999999</v>
      </c>
      <c r="L36" s="356">
        <v>2.15</v>
      </c>
      <c r="M36" s="357">
        <f t="shared" si="2"/>
        <v>1.6976744186046513</v>
      </c>
      <c r="N36" s="358">
        <f t="shared" si="3"/>
        <v>-0.69767441860465129</v>
      </c>
    </row>
    <row r="37" spans="2:14" ht="17" thickBot="1" x14ac:dyDescent="0.25">
      <c r="B37" s="53"/>
      <c r="C37" s="89"/>
      <c r="D37" s="89"/>
      <c r="E37" s="7"/>
      <c r="F37" s="3"/>
      <c r="G37" s="17"/>
      <c r="H37" s="90">
        <v>2</v>
      </c>
      <c r="I37" s="91">
        <f t="shared" si="0"/>
        <v>0</v>
      </c>
      <c r="J37" s="355">
        <f t="shared" si="1"/>
        <v>2</v>
      </c>
      <c r="K37" s="87">
        <f>H37*0.15</f>
        <v>0.3</v>
      </c>
      <c r="L37" s="356">
        <v>19.350000000000001</v>
      </c>
      <c r="M37" s="357">
        <f t="shared" si="2"/>
        <v>0.10335917312661498</v>
      </c>
      <c r="N37" s="358">
        <f t="shared" si="3"/>
        <v>0.89664082687338498</v>
      </c>
    </row>
    <row r="38" spans="2:14" ht="17" thickBot="1" x14ac:dyDescent="0.25">
      <c r="B38" s="506" t="s">
        <v>128</v>
      </c>
      <c r="C38" s="507" t="s">
        <v>65</v>
      </c>
      <c r="D38" s="508" t="s">
        <v>66</v>
      </c>
      <c r="E38" s="509" t="s">
        <v>67</v>
      </c>
      <c r="F38" s="509" t="s">
        <v>68</v>
      </c>
      <c r="G38" s="509" t="s">
        <v>69</v>
      </c>
      <c r="H38" s="510" t="s">
        <v>70</v>
      </c>
      <c r="I38" s="511" t="s">
        <v>25</v>
      </c>
      <c r="J38" s="355" t="str">
        <f t="shared" si="1"/>
        <v>UNIT PRICE</v>
      </c>
      <c r="K38" s="87" t="e">
        <f>H38*0.075</f>
        <v>#VALUE!</v>
      </c>
      <c r="L38" s="356">
        <v>8</v>
      </c>
      <c r="M38" s="357" t="e">
        <f t="shared" si="2"/>
        <v>#VALUE!</v>
      </c>
      <c r="N38" s="358" t="e">
        <f t="shared" si="3"/>
        <v>#VALUE!</v>
      </c>
    </row>
    <row r="39" spans="2:14" x14ac:dyDescent="0.2">
      <c r="B39" s="53" t="s">
        <v>129</v>
      </c>
      <c r="C39" s="89" t="s">
        <v>130</v>
      </c>
      <c r="D39" s="89" t="s">
        <v>127</v>
      </c>
      <c r="E39" s="7"/>
      <c r="F39" s="3"/>
      <c r="G39" s="18"/>
      <c r="H39" s="90">
        <v>2.4</v>
      </c>
      <c r="I39" s="91">
        <f t="shared" si="0"/>
        <v>0</v>
      </c>
      <c r="J39" s="355">
        <f t="shared" si="1"/>
        <v>2.4</v>
      </c>
      <c r="K39" s="87">
        <f>H39*0.075</f>
        <v>0.18</v>
      </c>
      <c r="L39" s="356">
        <v>3.75</v>
      </c>
      <c r="M39" s="357">
        <f t="shared" si="2"/>
        <v>0.64</v>
      </c>
      <c r="N39" s="358">
        <f t="shared" si="3"/>
        <v>0.36</v>
      </c>
    </row>
    <row r="40" spans="2:14" x14ac:dyDescent="0.2">
      <c r="B40" s="53" t="s">
        <v>131</v>
      </c>
      <c r="C40" s="89" t="s">
        <v>132</v>
      </c>
      <c r="D40" s="593" t="s">
        <v>77</v>
      </c>
      <c r="E40" s="7"/>
      <c r="F40" s="3"/>
      <c r="G40" s="18"/>
      <c r="H40" s="90">
        <v>115</v>
      </c>
      <c r="I40" s="91">
        <f t="shared" si="0"/>
        <v>0</v>
      </c>
      <c r="J40" s="355">
        <f t="shared" si="1"/>
        <v>115</v>
      </c>
      <c r="K40" s="87">
        <f>H40*0.075</f>
        <v>8.625</v>
      </c>
      <c r="L40" s="356">
        <v>10</v>
      </c>
      <c r="M40" s="357">
        <f t="shared" si="2"/>
        <v>11.5</v>
      </c>
      <c r="N40" s="358">
        <f t="shared" si="3"/>
        <v>-10.5</v>
      </c>
    </row>
    <row r="41" spans="2:14" x14ac:dyDescent="0.2">
      <c r="B41" s="53" t="s">
        <v>133</v>
      </c>
      <c r="C41" s="89" t="s">
        <v>134</v>
      </c>
      <c r="D41" s="89" t="s">
        <v>71</v>
      </c>
      <c r="E41" s="7"/>
      <c r="F41" s="3"/>
      <c r="G41" s="18"/>
      <c r="H41" s="90">
        <v>2.7</v>
      </c>
      <c r="I41" s="91">
        <f t="shared" si="0"/>
        <v>0</v>
      </c>
      <c r="J41" s="355">
        <f t="shared" si="1"/>
        <v>2.7</v>
      </c>
      <c r="K41" s="87">
        <f>H41*0.075</f>
        <v>0.20250000000000001</v>
      </c>
      <c r="L41" s="356">
        <v>3.2</v>
      </c>
      <c r="M41" s="357">
        <f t="shared" si="2"/>
        <v>0.84375</v>
      </c>
      <c r="N41" s="358">
        <f t="shared" si="3"/>
        <v>0.15625</v>
      </c>
    </row>
    <row r="42" spans="2:14" x14ac:dyDescent="0.2">
      <c r="B42" s="53" t="s">
        <v>135</v>
      </c>
      <c r="C42" s="89" t="s">
        <v>136</v>
      </c>
      <c r="D42" s="89" t="s">
        <v>71</v>
      </c>
      <c r="E42" s="7"/>
      <c r="F42" s="3"/>
      <c r="G42" s="18"/>
      <c r="H42" s="90">
        <v>12</v>
      </c>
      <c r="I42" s="91">
        <f t="shared" ref="I42:I67" si="4">G42*H42</f>
        <v>0</v>
      </c>
      <c r="J42" s="355">
        <f t="shared" ref="J42:J63" si="5">H42</f>
        <v>12</v>
      </c>
      <c r="K42" s="87">
        <f>H42*0.05</f>
        <v>0.60000000000000009</v>
      </c>
      <c r="L42" s="356">
        <v>2.7</v>
      </c>
      <c r="M42" s="357">
        <f t="shared" ref="M42:M63" si="6">H42/L42</f>
        <v>4.4444444444444438</v>
      </c>
      <c r="N42" s="358">
        <f t="shared" si="3"/>
        <v>-3.4444444444444438</v>
      </c>
    </row>
    <row r="43" spans="2:14" x14ac:dyDescent="0.2">
      <c r="B43" s="53" t="s">
        <v>137</v>
      </c>
      <c r="C43" s="89" t="s">
        <v>138</v>
      </c>
      <c r="D43" s="89" t="s">
        <v>94</v>
      </c>
      <c r="E43" s="7"/>
      <c r="F43" s="3"/>
      <c r="G43" s="18"/>
      <c r="H43" s="90">
        <v>3</v>
      </c>
      <c r="I43" s="91">
        <f t="shared" si="4"/>
        <v>0</v>
      </c>
      <c r="J43" s="355">
        <f t="shared" si="5"/>
        <v>3</v>
      </c>
      <c r="K43" s="87">
        <f>H43*0.005</f>
        <v>1.4999999999999999E-2</v>
      </c>
      <c r="L43" s="356">
        <v>40</v>
      </c>
      <c r="M43" s="357">
        <f t="shared" si="6"/>
        <v>7.4999999999999997E-2</v>
      </c>
      <c r="N43" s="358">
        <f t="shared" ref="N43:N63" si="7">100%-M43</f>
        <v>0.92500000000000004</v>
      </c>
    </row>
    <row r="44" spans="2:14" x14ac:dyDescent="0.2">
      <c r="B44" s="53" t="s">
        <v>139</v>
      </c>
      <c r="C44" s="89" t="s">
        <v>140</v>
      </c>
      <c r="D44" s="89" t="s">
        <v>94</v>
      </c>
      <c r="E44" s="7"/>
      <c r="F44" s="3"/>
      <c r="G44" s="18"/>
      <c r="H44" s="90">
        <v>4.8</v>
      </c>
      <c r="I44" s="91">
        <f t="shared" si="4"/>
        <v>0</v>
      </c>
      <c r="J44" s="355">
        <f t="shared" si="5"/>
        <v>4.8</v>
      </c>
      <c r="K44" s="87">
        <f>H44*0.025</f>
        <v>0.12</v>
      </c>
      <c r="L44" s="356">
        <v>21.35</v>
      </c>
      <c r="M44" s="357">
        <f t="shared" si="6"/>
        <v>0.22482435597189693</v>
      </c>
      <c r="N44" s="358">
        <f>100%-M44</f>
        <v>0.77517564402810302</v>
      </c>
    </row>
    <row r="45" spans="2:14" x14ac:dyDescent="0.2">
      <c r="B45" s="53" t="s">
        <v>141</v>
      </c>
      <c r="C45" s="89" t="s">
        <v>142</v>
      </c>
      <c r="D45" s="89" t="s">
        <v>94</v>
      </c>
      <c r="E45" s="7"/>
      <c r="F45" s="3"/>
      <c r="G45" s="18"/>
      <c r="H45" s="90">
        <v>3.4</v>
      </c>
      <c r="I45" s="91">
        <f t="shared" si="4"/>
        <v>0</v>
      </c>
      <c r="J45" s="355">
        <f t="shared" si="5"/>
        <v>3.4</v>
      </c>
      <c r="K45" s="87">
        <f>H45*0.1</f>
        <v>0.34</v>
      </c>
      <c r="L45" s="356">
        <v>5.35</v>
      </c>
      <c r="M45" s="357">
        <f t="shared" si="6"/>
        <v>0.63551401869158886</v>
      </c>
      <c r="N45" s="358">
        <f t="shared" si="7"/>
        <v>0.36448598130841114</v>
      </c>
    </row>
    <row r="46" spans="2:14" x14ac:dyDescent="0.2">
      <c r="B46" s="53" t="s">
        <v>143</v>
      </c>
      <c r="C46" s="89" t="s">
        <v>144</v>
      </c>
      <c r="D46" s="89" t="s">
        <v>71</v>
      </c>
      <c r="E46" s="7"/>
      <c r="F46" s="3"/>
      <c r="G46" s="18"/>
      <c r="H46" s="90">
        <v>3.75</v>
      </c>
      <c r="I46" s="91">
        <f t="shared" si="4"/>
        <v>0</v>
      </c>
      <c r="J46" s="355">
        <f t="shared" si="5"/>
        <v>3.75</v>
      </c>
      <c r="K46" s="87">
        <f>H46*0.075</f>
        <v>0.28125</v>
      </c>
      <c r="L46" s="356">
        <v>8.76</v>
      </c>
      <c r="M46" s="357">
        <f t="shared" si="6"/>
        <v>0.42808219178082191</v>
      </c>
      <c r="N46" s="358">
        <f t="shared" si="7"/>
        <v>0.57191780821917804</v>
      </c>
    </row>
    <row r="47" spans="2:14" x14ac:dyDescent="0.2">
      <c r="B47" s="53" t="s">
        <v>145</v>
      </c>
      <c r="C47" s="89" t="s">
        <v>146</v>
      </c>
      <c r="D47" s="89" t="s">
        <v>71</v>
      </c>
      <c r="E47" s="7"/>
      <c r="F47" s="3"/>
      <c r="G47" s="18"/>
      <c r="H47" s="90">
        <v>4.3499999999999996</v>
      </c>
      <c r="I47" s="91">
        <f t="shared" si="4"/>
        <v>0</v>
      </c>
      <c r="J47" s="355">
        <f t="shared" si="5"/>
        <v>4.3499999999999996</v>
      </c>
      <c r="K47" s="87">
        <f>H47/10</f>
        <v>0.43499999999999994</v>
      </c>
      <c r="L47" s="356">
        <v>13.35</v>
      </c>
      <c r="M47" s="357">
        <f t="shared" si="6"/>
        <v>0.32584269662921345</v>
      </c>
      <c r="N47" s="358">
        <f t="shared" si="7"/>
        <v>0.67415730337078661</v>
      </c>
    </row>
    <row r="48" spans="2:14" x14ac:dyDescent="0.2">
      <c r="B48" s="53" t="s">
        <v>147</v>
      </c>
      <c r="C48" s="89" t="s">
        <v>148</v>
      </c>
      <c r="D48" s="89" t="s">
        <v>71</v>
      </c>
      <c r="E48" s="7"/>
      <c r="F48" s="3"/>
      <c r="G48" s="18"/>
      <c r="H48" s="90">
        <v>12</v>
      </c>
      <c r="I48" s="91">
        <f t="shared" si="4"/>
        <v>0</v>
      </c>
      <c r="J48" s="355">
        <f t="shared" si="5"/>
        <v>12</v>
      </c>
      <c r="K48" s="87">
        <f>H48*0.025</f>
        <v>0.30000000000000004</v>
      </c>
      <c r="L48" s="356">
        <v>46.7</v>
      </c>
      <c r="M48" s="357">
        <f t="shared" si="6"/>
        <v>0.2569593147751606</v>
      </c>
      <c r="N48" s="358">
        <f t="shared" si="7"/>
        <v>0.74304068522483946</v>
      </c>
    </row>
    <row r="49" spans="2:14" x14ac:dyDescent="0.2">
      <c r="B49" s="53" t="s">
        <v>149</v>
      </c>
      <c r="C49" s="89" t="s">
        <v>150</v>
      </c>
      <c r="D49" s="593" t="s">
        <v>77</v>
      </c>
      <c r="E49" s="7"/>
      <c r="F49" s="3"/>
      <c r="G49" s="18"/>
      <c r="H49" s="90">
        <v>12</v>
      </c>
      <c r="I49" s="91">
        <f t="shared" si="4"/>
        <v>0</v>
      </c>
      <c r="J49" s="355">
        <f t="shared" si="5"/>
        <v>12</v>
      </c>
      <c r="K49" s="87">
        <f>H49*0.05</f>
        <v>0.60000000000000009</v>
      </c>
      <c r="L49" s="356">
        <v>12</v>
      </c>
      <c r="M49" s="357">
        <f t="shared" si="6"/>
        <v>1</v>
      </c>
      <c r="N49" s="358">
        <f t="shared" si="7"/>
        <v>0</v>
      </c>
    </row>
    <row r="50" spans="2:14" x14ac:dyDescent="0.2">
      <c r="B50" s="53" t="s">
        <v>151</v>
      </c>
      <c r="C50" s="89" t="s">
        <v>152</v>
      </c>
      <c r="D50" s="89" t="s">
        <v>153</v>
      </c>
      <c r="E50" s="7"/>
      <c r="F50" s="3"/>
      <c r="G50" s="18"/>
      <c r="H50" s="90">
        <v>2.8</v>
      </c>
      <c r="I50" s="91">
        <f t="shared" si="4"/>
        <v>0</v>
      </c>
      <c r="J50" s="355">
        <f t="shared" si="5"/>
        <v>2.8</v>
      </c>
      <c r="K50" s="87">
        <f>H50*0.05</f>
        <v>0.13999999999999999</v>
      </c>
      <c r="L50" s="356">
        <v>2.4</v>
      </c>
      <c r="M50" s="357">
        <f t="shared" si="6"/>
        <v>1.1666666666666667</v>
      </c>
      <c r="N50" s="358">
        <f t="shared" si="7"/>
        <v>-0.16666666666666674</v>
      </c>
    </row>
    <row r="51" spans="2:14" x14ac:dyDescent="0.2">
      <c r="B51" s="53" t="s">
        <v>154</v>
      </c>
      <c r="C51" s="89" t="s">
        <v>155</v>
      </c>
      <c r="D51" s="89" t="s">
        <v>94</v>
      </c>
      <c r="E51" s="7"/>
      <c r="F51" s="3"/>
      <c r="G51" s="18"/>
      <c r="H51" s="90">
        <v>4.2</v>
      </c>
      <c r="I51" s="91">
        <f t="shared" si="4"/>
        <v>0</v>
      </c>
      <c r="J51" s="355">
        <f t="shared" si="5"/>
        <v>4.2</v>
      </c>
      <c r="K51" s="87">
        <f>H51*0.075</f>
        <v>0.315</v>
      </c>
      <c r="L51" s="356">
        <v>18.7</v>
      </c>
      <c r="M51" s="357">
        <f t="shared" si="6"/>
        <v>0.22459893048128343</v>
      </c>
      <c r="N51" s="358">
        <f t="shared" si="7"/>
        <v>0.77540106951871657</v>
      </c>
    </row>
    <row r="52" spans="2:14" x14ac:dyDescent="0.2">
      <c r="B52" s="53" t="s">
        <v>156</v>
      </c>
      <c r="C52" s="89" t="s">
        <v>157</v>
      </c>
      <c r="D52" s="89" t="s">
        <v>94</v>
      </c>
      <c r="E52" s="7"/>
      <c r="F52" s="3"/>
      <c r="G52" s="18"/>
      <c r="H52" s="90">
        <v>2</v>
      </c>
      <c r="I52" s="91">
        <f t="shared" si="4"/>
        <v>0</v>
      </c>
      <c r="J52" s="355">
        <f t="shared" si="5"/>
        <v>2</v>
      </c>
      <c r="K52" s="87">
        <f>H52*0.075</f>
        <v>0.15</v>
      </c>
      <c r="L52" s="356"/>
      <c r="M52" s="357" t="e">
        <f t="shared" si="6"/>
        <v>#DIV/0!</v>
      </c>
      <c r="N52" s="359" t="e">
        <f t="shared" si="7"/>
        <v>#DIV/0!</v>
      </c>
    </row>
    <row r="53" spans="2:14" x14ac:dyDescent="0.2">
      <c r="B53" s="53" t="s">
        <v>158</v>
      </c>
      <c r="C53" s="89" t="s">
        <v>159</v>
      </c>
      <c r="D53" s="89" t="s">
        <v>71</v>
      </c>
      <c r="E53" s="7"/>
      <c r="F53" s="3"/>
      <c r="G53" s="18"/>
      <c r="H53" s="90">
        <v>11</v>
      </c>
      <c r="I53" s="91">
        <f t="shared" si="4"/>
        <v>0</v>
      </c>
      <c r="J53" s="355">
        <f t="shared" si="5"/>
        <v>11</v>
      </c>
      <c r="K53" s="87"/>
      <c r="L53" s="356"/>
      <c r="M53" s="357"/>
      <c r="N53" s="358"/>
    </row>
    <row r="54" spans="2:14" x14ac:dyDescent="0.2">
      <c r="B54" s="53" t="s">
        <v>160</v>
      </c>
      <c r="C54" s="89" t="s">
        <v>161</v>
      </c>
      <c r="D54" s="89" t="s">
        <v>71</v>
      </c>
      <c r="E54" s="7"/>
      <c r="F54" s="3"/>
      <c r="G54" s="18"/>
      <c r="H54" s="90">
        <v>9.65</v>
      </c>
      <c r="I54" s="91">
        <f t="shared" si="4"/>
        <v>0</v>
      </c>
      <c r="J54" s="355">
        <f t="shared" si="5"/>
        <v>9.65</v>
      </c>
      <c r="K54" s="87">
        <f>H54*0.05</f>
        <v>0.48250000000000004</v>
      </c>
      <c r="L54" s="356">
        <v>2.4</v>
      </c>
      <c r="M54" s="357">
        <f t="shared" si="6"/>
        <v>4.0208333333333339</v>
      </c>
      <c r="N54" s="358">
        <f t="shared" si="7"/>
        <v>-3.0208333333333339</v>
      </c>
    </row>
    <row r="55" spans="2:14" x14ac:dyDescent="0.2">
      <c r="B55" s="53" t="s">
        <v>162</v>
      </c>
      <c r="C55" s="89" t="s">
        <v>163</v>
      </c>
      <c r="D55" s="593" t="s">
        <v>77</v>
      </c>
      <c r="E55" s="7"/>
      <c r="F55" s="3"/>
      <c r="G55" s="18"/>
      <c r="H55" s="90">
        <v>27</v>
      </c>
      <c r="I55" s="91">
        <f t="shared" si="4"/>
        <v>0</v>
      </c>
      <c r="J55" s="355">
        <f t="shared" si="5"/>
        <v>27</v>
      </c>
      <c r="K55" s="87">
        <f>H55/12</f>
        <v>2.25</v>
      </c>
      <c r="L55" s="356">
        <v>8.6999999999999993</v>
      </c>
      <c r="M55" s="357">
        <f t="shared" si="6"/>
        <v>3.1034482758620694</v>
      </c>
      <c r="N55" s="358">
        <f t="shared" si="7"/>
        <v>-2.1034482758620694</v>
      </c>
    </row>
    <row r="56" spans="2:14" x14ac:dyDescent="0.2">
      <c r="B56" s="53" t="s">
        <v>164</v>
      </c>
      <c r="C56" s="89" t="s">
        <v>165</v>
      </c>
      <c r="D56" s="89" t="s">
        <v>77</v>
      </c>
      <c r="E56" s="7"/>
      <c r="F56" s="3"/>
      <c r="G56" s="18"/>
      <c r="H56" s="90">
        <v>27</v>
      </c>
      <c r="I56" s="91">
        <f t="shared" si="4"/>
        <v>0</v>
      </c>
      <c r="J56" s="355">
        <f t="shared" si="5"/>
        <v>27</v>
      </c>
      <c r="K56" s="87">
        <f>H56*0.15</f>
        <v>4.05</v>
      </c>
      <c r="L56" s="356">
        <v>3.2</v>
      </c>
      <c r="M56" s="357">
        <f t="shared" si="6"/>
        <v>8.4375</v>
      </c>
      <c r="N56" s="358">
        <f t="shared" si="7"/>
        <v>-7.4375</v>
      </c>
    </row>
    <row r="57" spans="2:14" x14ac:dyDescent="0.2">
      <c r="B57" s="53" t="s">
        <v>166</v>
      </c>
      <c r="C57" s="89" t="s">
        <v>167</v>
      </c>
      <c r="D57" s="593" t="s">
        <v>77</v>
      </c>
      <c r="E57" s="7"/>
      <c r="F57" s="3"/>
      <c r="G57" s="18"/>
      <c r="H57" s="90">
        <v>27</v>
      </c>
      <c r="I57" s="91">
        <f t="shared" si="4"/>
        <v>0</v>
      </c>
      <c r="J57" s="355">
        <f t="shared" si="5"/>
        <v>27</v>
      </c>
      <c r="K57" s="87">
        <f>H57*0.15</f>
        <v>4.05</v>
      </c>
      <c r="L57" s="356">
        <v>1.6</v>
      </c>
      <c r="M57" s="357">
        <f t="shared" si="6"/>
        <v>16.875</v>
      </c>
      <c r="N57" s="358">
        <f t="shared" si="7"/>
        <v>-15.875</v>
      </c>
    </row>
    <row r="58" spans="2:14" x14ac:dyDescent="0.2">
      <c r="B58" s="53" t="s">
        <v>168</v>
      </c>
      <c r="C58" s="89" t="s">
        <v>169</v>
      </c>
      <c r="D58" s="593" t="s">
        <v>77</v>
      </c>
      <c r="E58" s="7"/>
      <c r="F58" s="3"/>
      <c r="G58" s="18"/>
      <c r="H58" s="90">
        <v>27</v>
      </c>
      <c r="I58" s="91">
        <f t="shared" si="4"/>
        <v>0</v>
      </c>
      <c r="J58" s="355">
        <f t="shared" si="5"/>
        <v>27</v>
      </c>
      <c r="K58" s="87">
        <f>H58*0.075</f>
        <v>2.0249999999999999</v>
      </c>
      <c r="L58" s="356">
        <v>4.3</v>
      </c>
      <c r="M58" s="357">
        <f t="shared" si="6"/>
        <v>6.279069767441861</v>
      </c>
      <c r="N58" s="358">
        <f t="shared" si="7"/>
        <v>-5.279069767441861</v>
      </c>
    </row>
    <row r="59" spans="2:14" x14ac:dyDescent="0.2">
      <c r="B59" s="53" t="s">
        <v>170</v>
      </c>
      <c r="C59" s="89" t="s">
        <v>171</v>
      </c>
      <c r="D59" s="89" t="s">
        <v>94</v>
      </c>
      <c r="E59" s="7"/>
      <c r="F59" s="3"/>
      <c r="G59" s="18"/>
      <c r="H59" s="90">
        <v>1.35</v>
      </c>
      <c r="I59" s="91">
        <f t="shared" si="4"/>
        <v>0</v>
      </c>
      <c r="J59" s="355">
        <f t="shared" si="5"/>
        <v>1.35</v>
      </c>
      <c r="K59" s="87">
        <f>H59*0.1</f>
        <v>0.13500000000000001</v>
      </c>
      <c r="L59" s="356">
        <v>3.2</v>
      </c>
      <c r="M59" s="357">
        <f t="shared" si="6"/>
        <v>0.421875</v>
      </c>
      <c r="N59" s="358">
        <f t="shared" si="7"/>
        <v>0.578125</v>
      </c>
    </row>
    <row r="60" spans="2:14" x14ac:dyDescent="0.2">
      <c r="B60" s="53" t="s">
        <v>172</v>
      </c>
      <c r="C60" s="89" t="s">
        <v>173</v>
      </c>
      <c r="D60" s="593" t="s">
        <v>77</v>
      </c>
      <c r="E60" s="7"/>
      <c r="F60" s="3"/>
      <c r="G60" s="18"/>
      <c r="H60" s="90">
        <v>23</v>
      </c>
      <c r="I60" s="91">
        <f t="shared" si="4"/>
        <v>0</v>
      </c>
      <c r="J60" s="355">
        <f t="shared" si="5"/>
        <v>23</v>
      </c>
      <c r="K60" s="87">
        <f>H60*0.075</f>
        <v>1.7249999999999999</v>
      </c>
      <c r="L60" s="356">
        <v>12</v>
      </c>
      <c r="M60" s="357">
        <f t="shared" si="6"/>
        <v>1.9166666666666667</v>
      </c>
      <c r="N60" s="358">
        <f t="shared" si="7"/>
        <v>-0.91666666666666674</v>
      </c>
    </row>
    <row r="61" spans="2:14" x14ac:dyDescent="0.2">
      <c r="B61" s="53" t="s">
        <v>174</v>
      </c>
      <c r="C61" s="89" t="s">
        <v>175</v>
      </c>
      <c r="D61" s="593" t="s">
        <v>77</v>
      </c>
      <c r="E61" s="7"/>
      <c r="F61" s="3"/>
      <c r="G61" s="18"/>
      <c r="H61" s="90">
        <v>34.75</v>
      </c>
      <c r="I61" s="91">
        <f t="shared" si="4"/>
        <v>0</v>
      </c>
      <c r="J61" s="355">
        <f t="shared" si="5"/>
        <v>34.75</v>
      </c>
      <c r="K61" s="87">
        <f>H61/10</f>
        <v>3.4750000000000001</v>
      </c>
      <c r="L61" s="356">
        <v>4.3</v>
      </c>
      <c r="M61" s="357">
        <f t="shared" si="6"/>
        <v>8.0813953488372103</v>
      </c>
      <c r="N61" s="358">
        <f t="shared" si="7"/>
        <v>-7.0813953488372103</v>
      </c>
    </row>
    <row r="62" spans="2:14" x14ac:dyDescent="0.2">
      <c r="B62" s="53" t="s">
        <v>176</v>
      </c>
      <c r="C62" s="89" t="s">
        <v>177</v>
      </c>
      <c r="D62" s="89" t="s">
        <v>71</v>
      </c>
      <c r="E62" s="7"/>
      <c r="F62" s="3"/>
      <c r="G62" s="18"/>
      <c r="H62" s="90">
        <v>16.95</v>
      </c>
      <c r="I62" s="91">
        <f t="shared" si="4"/>
        <v>0</v>
      </c>
      <c r="J62" s="355">
        <f t="shared" si="5"/>
        <v>16.95</v>
      </c>
      <c r="K62" s="87">
        <f>H62*0.1</f>
        <v>1.6950000000000001</v>
      </c>
      <c r="L62" s="356">
        <v>6</v>
      </c>
      <c r="M62" s="357">
        <f t="shared" si="6"/>
        <v>2.8249999999999997</v>
      </c>
      <c r="N62" s="358">
        <f t="shared" si="7"/>
        <v>-1.8249999999999997</v>
      </c>
    </row>
    <row r="63" spans="2:14" x14ac:dyDescent="0.2">
      <c r="B63" s="53" t="s">
        <v>178</v>
      </c>
      <c r="C63" s="89" t="s">
        <v>179</v>
      </c>
      <c r="D63" s="89" t="s">
        <v>94</v>
      </c>
      <c r="E63" s="7"/>
      <c r="F63" s="3"/>
      <c r="G63" s="18"/>
      <c r="H63" s="90">
        <v>1.7</v>
      </c>
      <c r="I63" s="91">
        <f t="shared" si="4"/>
        <v>0</v>
      </c>
      <c r="J63" s="355">
        <f t="shared" si="5"/>
        <v>1.7</v>
      </c>
      <c r="K63" s="87">
        <f>H63*0.075</f>
        <v>0.1275</v>
      </c>
      <c r="L63" s="356">
        <v>4</v>
      </c>
      <c r="M63" s="357">
        <f t="shared" si="6"/>
        <v>0.42499999999999999</v>
      </c>
      <c r="N63" s="358">
        <f t="shared" si="7"/>
        <v>0.57499999999999996</v>
      </c>
    </row>
    <row r="64" spans="2:14" x14ac:dyDescent="0.2">
      <c r="B64" s="282" t="s">
        <v>180</v>
      </c>
      <c r="C64" s="107" t="s">
        <v>181</v>
      </c>
      <c r="D64" s="107" t="s">
        <v>94</v>
      </c>
      <c r="E64" s="7"/>
      <c r="F64" s="3"/>
      <c r="G64" s="18"/>
      <c r="H64" s="450">
        <v>1.5</v>
      </c>
      <c r="I64" s="360">
        <f t="shared" si="4"/>
        <v>0</v>
      </c>
    </row>
    <row r="65" spans="2:9" x14ac:dyDescent="0.2">
      <c r="B65" s="282" t="s">
        <v>182</v>
      </c>
      <c r="C65" s="107" t="s">
        <v>183</v>
      </c>
      <c r="D65" s="107" t="s">
        <v>94</v>
      </c>
      <c r="E65" s="7"/>
      <c r="F65" s="3"/>
      <c r="G65" s="18"/>
      <c r="H65" s="450">
        <v>1.6</v>
      </c>
      <c r="I65" s="360">
        <f t="shared" si="4"/>
        <v>0</v>
      </c>
    </row>
    <row r="66" spans="2:9" x14ac:dyDescent="0.2">
      <c r="B66" s="282" t="s">
        <v>184</v>
      </c>
      <c r="C66" s="107" t="s">
        <v>185</v>
      </c>
      <c r="D66" s="107" t="s">
        <v>71</v>
      </c>
      <c r="E66" s="7"/>
      <c r="F66" s="3"/>
      <c r="G66" s="18"/>
      <c r="H66" s="450">
        <v>10.25</v>
      </c>
      <c r="I66" s="360">
        <f t="shared" si="4"/>
        <v>0</v>
      </c>
    </row>
    <row r="67" spans="2:9" x14ac:dyDescent="0.2">
      <c r="B67" s="282" t="s">
        <v>186</v>
      </c>
      <c r="C67" s="107" t="s">
        <v>187</v>
      </c>
      <c r="D67" s="107" t="s">
        <v>71</v>
      </c>
      <c r="E67" s="7"/>
      <c r="F67" s="3"/>
      <c r="G67" s="18"/>
      <c r="H67" s="450">
        <v>10.4</v>
      </c>
      <c r="I67" s="360">
        <f t="shared" si="4"/>
        <v>0</v>
      </c>
    </row>
    <row r="68" spans="2:9" x14ac:dyDescent="0.2">
      <c r="B68" s="282" t="s">
        <v>188</v>
      </c>
      <c r="C68" s="107" t="s">
        <v>189</v>
      </c>
      <c r="D68" s="107" t="s">
        <v>190</v>
      </c>
      <c r="E68" s="7"/>
      <c r="F68" s="3"/>
      <c r="G68" s="18"/>
      <c r="H68" s="450">
        <v>12</v>
      </c>
      <c r="I68" s="360">
        <f t="shared" ref="I68:I105" si="8">G68*H68</f>
        <v>0</v>
      </c>
    </row>
    <row r="69" spans="2:9" x14ac:dyDescent="0.2">
      <c r="B69" s="282" t="s">
        <v>191</v>
      </c>
      <c r="C69" s="107" t="s">
        <v>192</v>
      </c>
      <c r="D69" s="107" t="s">
        <v>190</v>
      </c>
      <c r="E69" s="7"/>
      <c r="F69" s="3"/>
      <c r="G69" s="18"/>
      <c r="H69" s="450">
        <v>42.5</v>
      </c>
      <c r="I69" s="360">
        <f t="shared" si="8"/>
        <v>0</v>
      </c>
    </row>
    <row r="70" spans="2:9" x14ac:dyDescent="0.2">
      <c r="B70" s="282" t="s">
        <v>193</v>
      </c>
      <c r="C70" s="107" t="s">
        <v>194</v>
      </c>
      <c r="D70" s="107" t="s">
        <v>190</v>
      </c>
      <c r="E70" s="7"/>
      <c r="F70" s="3"/>
      <c r="G70" s="18"/>
      <c r="H70" s="450">
        <v>32.5</v>
      </c>
      <c r="I70" s="360">
        <f t="shared" si="8"/>
        <v>0</v>
      </c>
    </row>
    <row r="71" spans="2:9" x14ac:dyDescent="0.2">
      <c r="B71" s="282" t="s">
        <v>195</v>
      </c>
      <c r="C71" s="107" t="s">
        <v>196</v>
      </c>
      <c r="D71" s="107" t="s">
        <v>71</v>
      </c>
      <c r="E71" s="7"/>
      <c r="F71" s="3"/>
      <c r="G71" s="18"/>
      <c r="H71" s="450">
        <v>3.25</v>
      </c>
      <c r="I71" s="360">
        <f t="shared" si="8"/>
        <v>0</v>
      </c>
    </row>
    <row r="72" spans="2:9" x14ac:dyDescent="0.2">
      <c r="B72" s="282" t="s">
        <v>197</v>
      </c>
      <c r="C72" s="107" t="s">
        <v>198</v>
      </c>
      <c r="D72" s="107" t="s">
        <v>190</v>
      </c>
      <c r="E72" s="7"/>
      <c r="F72" s="3"/>
      <c r="G72" s="18"/>
      <c r="H72" s="450">
        <v>15</v>
      </c>
      <c r="I72" s="360">
        <f t="shared" si="8"/>
        <v>0</v>
      </c>
    </row>
    <row r="73" spans="2:9" x14ac:dyDescent="0.2">
      <c r="B73" s="282" t="s">
        <v>199</v>
      </c>
      <c r="C73" s="107" t="s">
        <v>200</v>
      </c>
      <c r="D73" s="107" t="s">
        <v>190</v>
      </c>
      <c r="E73" s="7"/>
      <c r="F73" s="3"/>
      <c r="G73" s="18"/>
      <c r="H73" s="450">
        <v>15</v>
      </c>
      <c r="I73" s="360">
        <f t="shared" si="8"/>
        <v>0</v>
      </c>
    </row>
    <row r="74" spans="2:9" x14ac:dyDescent="0.2">
      <c r="B74" s="282" t="s">
        <v>201</v>
      </c>
      <c r="C74" s="107" t="s">
        <v>202</v>
      </c>
      <c r="D74" s="107" t="s">
        <v>190</v>
      </c>
      <c r="E74" s="7"/>
      <c r="F74" s="3"/>
      <c r="G74" s="18"/>
      <c r="H74" s="450">
        <v>27.75</v>
      </c>
      <c r="I74" s="360">
        <f t="shared" si="8"/>
        <v>0</v>
      </c>
    </row>
    <row r="75" spans="2:9" x14ac:dyDescent="0.2">
      <c r="B75" s="282" t="s">
        <v>203</v>
      </c>
      <c r="C75" s="107" t="s">
        <v>204</v>
      </c>
      <c r="D75" s="598" t="s">
        <v>77</v>
      </c>
      <c r="E75" s="7"/>
      <c r="F75" s="3"/>
      <c r="G75" s="18"/>
      <c r="H75" s="450">
        <v>30</v>
      </c>
      <c r="I75" s="360">
        <f t="shared" si="8"/>
        <v>0</v>
      </c>
    </row>
    <row r="76" spans="2:9" x14ac:dyDescent="0.2">
      <c r="B76" s="282" t="s">
        <v>205</v>
      </c>
      <c r="C76" s="107" t="s">
        <v>206</v>
      </c>
      <c r="D76" s="107" t="s">
        <v>71</v>
      </c>
      <c r="E76" s="7"/>
      <c r="F76" s="3"/>
      <c r="G76" s="18"/>
      <c r="H76" s="450">
        <v>1.8</v>
      </c>
      <c r="I76" s="360">
        <f t="shared" si="8"/>
        <v>0</v>
      </c>
    </row>
    <row r="77" spans="2:9" x14ac:dyDescent="0.2">
      <c r="B77" s="282" t="s">
        <v>207</v>
      </c>
      <c r="C77" s="107" t="s">
        <v>208</v>
      </c>
      <c r="D77" s="107" t="s">
        <v>153</v>
      </c>
      <c r="E77" s="7"/>
      <c r="F77" s="3"/>
      <c r="G77" s="18"/>
      <c r="H77" s="450">
        <v>2.2000000000000002</v>
      </c>
      <c r="I77" s="360">
        <f t="shared" si="8"/>
        <v>0</v>
      </c>
    </row>
    <row r="78" spans="2:9" x14ac:dyDescent="0.2">
      <c r="B78" s="282" t="s">
        <v>209</v>
      </c>
      <c r="C78" s="107" t="s">
        <v>210</v>
      </c>
      <c r="D78" s="107" t="s">
        <v>71</v>
      </c>
      <c r="E78" s="7"/>
      <c r="F78" s="3"/>
      <c r="G78" s="18"/>
      <c r="H78" s="450">
        <v>9.65</v>
      </c>
      <c r="I78" s="360">
        <f t="shared" si="8"/>
        <v>0</v>
      </c>
    </row>
    <row r="79" spans="2:9" x14ac:dyDescent="0.2">
      <c r="B79" s="282" t="s">
        <v>211</v>
      </c>
      <c r="C79" s="107" t="s">
        <v>212</v>
      </c>
      <c r="D79" s="107" t="s">
        <v>71</v>
      </c>
      <c r="E79" s="7"/>
      <c r="F79" s="3"/>
      <c r="G79" s="18"/>
      <c r="H79" s="450">
        <v>14</v>
      </c>
      <c r="I79" s="360">
        <f t="shared" si="8"/>
        <v>0</v>
      </c>
    </row>
    <row r="80" spans="2:9" x14ac:dyDescent="0.2">
      <c r="B80" s="282" t="s">
        <v>213</v>
      </c>
      <c r="C80" s="107" t="s">
        <v>214</v>
      </c>
      <c r="D80" s="107" t="s">
        <v>153</v>
      </c>
      <c r="E80" s="7"/>
      <c r="F80" s="3"/>
      <c r="G80" s="18"/>
      <c r="H80" s="450">
        <v>1.6</v>
      </c>
      <c r="I80" s="360">
        <f t="shared" si="8"/>
        <v>0</v>
      </c>
    </row>
    <row r="81" spans="2:9" x14ac:dyDescent="0.2">
      <c r="B81" s="282" t="s">
        <v>215</v>
      </c>
      <c r="C81" s="107" t="s">
        <v>216</v>
      </c>
      <c r="D81" s="598" t="s">
        <v>77</v>
      </c>
      <c r="E81" s="7"/>
      <c r="F81" s="3"/>
      <c r="G81" s="18"/>
      <c r="H81" s="450">
        <v>65</v>
      </c>
      <c r="I81" s="360">
        <f t="shared" si="8"/>
        <v>0</v>
      </c>
    </row>
    <row r="82" spans="2:9" x14ac:dyDescent="0.2">
      <c r="B82" s="282" t="s">
        <v>217</v>
      </c>
      <c r="C82" s="107" t="s">
        <v>218</v>
      </c>
      <c r="D82" s="107" t="s">
        <v>71</v>
      </c>
      <c r="E82" s="7"/>
      <c r="F82" s="3"/>
      <c r="G82" s="18"/>
      <c r="H82" s="450">
        <v>3.2</v>
      </c>
      <c r="I82" s="360">
        <f t="shared" si="8"/>
        <v>0</v>
      </c>
    </row>
    <row r="83" spans="2:9" x14ac:dyDescent="0.2">
      <c r="B83" s="282" t="s">
        <v>219</v>
      </c>
      <c r="C83" s="107" t="s">
        <v>220</v>
      </c>
      <c r="D83" s="107" t="s">
        <v>71</v>
      </c>
      <c r="E83" s="7"/>
      <c r="F83" s="3"/>
      <c r="G83" s="18"/>
      <c r="H83" s="450">
        <v>3.2</v>
      </c>
      <c r="I83" s="360">
        <f t="shared" si="8"/>
        <v>0</v>
      </c>
    </row>
    <row r="84" spans="2:9" x14ac:dyDescent="0.2">
      <c r="B84" s="282" t="s">
        <v>221</v>
      </c>
      <c r="C84" s="107" t="s">
        <v>222</v>
      </c>
      <c r="D84" s="107" t="s">
        <v>223</v>
      </c>
      <c r="E84" s="7"/>
      <c r="F84" s="3"/>
      <c r="G84" s="18"/>
      <c r="H84" s="450">
        <v>1.4</v>
      </c>
      <c r="I84" s="360">
        <f t="shared" si="8"/>
        <v>0</v>
      </c>
    </row>
    <row r="85" spans="2:9" x14ac:dyDescent="0.2">
      <c r="B85" s="282" t="s">
        <v>224</v>
      </c>
      <c r="C85" s="107" t="s">
        <v>225</v>
      </c>
      <c r="D85" s="598" t="s">
        <v>77</v>
      </c>
      <c r="E85" s="7"/>
      <c r="F85" s="3"/>
      <c r="G85" s="18"/>
      <c r="H85" s="450">
        <v>36</v>
      </c>
      <c r="I85" s="360">
        <f t="shared" si="8"/>
        <v>0</v>
      </c>
    </row>
    <row r="86" spans="2:9" x14ac:dyDescent="0.2">
      <c r="B86" s="282" t="s">
        <v>226</v>
      </c>
      <c r="C86" s="107" t="s">
        <v>227</v>
      </c>
      <c r="D86" s="107" t="s">
        <v>228</v>
      </c>
      <c r="E86" s="7"/>
      <c r="F86" s="3"/>
      <c r="G86" s="18"/>
      <c r="H86" s="450">
        <v>29.25</v>
      </c>
      <c r="I86" s="360">
        <f t="shared" si="8"/>
        <v>0</v>
      </c>
    </row>
    <row r="87" spans="2:9" x14ac:dyDescent="0.2">
      <c r="B87" s="282" t="s">
        <v>229</v>
      </c>
      <c r="C87" s="107" t="s">
        <v>230</v>
      </c>
      <c r="D87" s="598" t="s">
        <v>77</v>
      </c>
      <c r="E87" s="7"/>
      <c r="F87" s="3"/>
      <c r="G87" s="18"/>
      <c r="H87" s="450">
        <v>34</v>
      </c>
      <c r="I87" s="360">
        <f t="shared" si="8"/>
        <v>0</v>
      </c>
    </row>
    <row r="88" spans="2:9" x14ac:dyDescent="0.2">
      <c r="B88" s="282" t="s">
        <v>231</v>
      </c>
      <c r="C88" s="107" t="s">
        <v>232</v>
      </c>
      <c r="D88" s="598" t="s">
        <v>77</v>
      </c>
      <c r="E88" s="7"/>
      <c r="F88" s="3"/>
      <c r="G88" s="18"/>
      <c r="H88" s="450">
        <v>36</v>
      </c>
      <c r="I88" s="360">
        <f t="shared" si="8"/>
        <v>0</v>
      </c>
    </row>
    <row r="89" spans="2:9" x14ac:dyDescent="0.2">
      <c r="B89" s="503" t="s">
        <v>233</v>
      </c>
      <c r="C89" s="166" t="s">
        <v>234</v>
      </c>
      <c r="D89" s="166" t="s">
        <v>190</v>
      </c>
      <c r="E89" s="504"/>
      <c r="F89" s="3"/>
      <c r="G89" s="18"/>
      <c r="H89" s="505">
        <v>30</v>
      </c>
      <c r="I89" s="360">
        <f t="shared" si="8"/>
        <v>0</v>
      </c>
    </row>
    <row r="90" spans="2:9" x14ac:dyDescent="0.2">
      <c r="B90" s="512" t="s">
        <v>235</v>
      </c>
      <c r="C90" s="513" t="s">
        <v>65</v>
      </c>
      <c r="D90" s="514" t="s">
        <v>66</v>
      </c>
      <c r="E90" s="515" t="s">
        <v>67</v>
      </c>
      <c r="F90" s="515" t="s">
        <v>68</v>
      </c>
      <c r="G90" s="515" t="s">
        <v>69</v>
      </c>
      <c r="H90" s="515" t="s">
        <v>70</v>
      </c>
      <c r="I90" s="515" t="s">
        <v>236</v>
      </c>
    </row>
    <row r="91" spans="2:9" x14ac:dyDescent="0.2">
      <c r="B91" s="282" t="s">
        <v>237</v>
      </c>
      <c r="C91" s="107" t="s">
        <v>238</v>
      </c>
      <c r="D91" s="107" t="s">
        <v>71</v>
      </c>
      <c r="E91" s="8"/>
      <c r="F91" s="3"/>
      <c r="G91" s="17"/>
      <c r="H91" s="450">
        <v>18</v>
      </c>
      <c r="I91" s="360">
        <f t="shared" si="8"/>
        <v>0</v>
      </c>
    </row>
    <row r="92" spans="2:9" x14ac:dyDescent="0.2">
      <c r="B92" s="282" t="s">
        <v>239</v>
      </c>
      <c r="C92" s="107" t="s">
        <v>240</v>
      </c>
      <c r="D92" s="107" t="s">
        <v>153</v>
      </c>
      <c r="E92" s="8"/>
      <c r="F92" s="3"/>
      <c r="G92" s="17"/>
      <c r="H92" s="450">
        <v>1.8</v>
      </c>
      <c r="I92" s="360">
        <f t="shared" si="8"/>
        <v>0</v>
      </c>
    </row>
    <row r="93" spans="2:9" x14ac:dyDescent="0.2">
      <c r="B93" s="282" t="s">
        <v>241</v>
      </c>
      <c r="C93" s="107" t="s">
        <v>242</v>
      </c>
      <c r="D93" s="107" t="s">
        <v>71</v>
      </c>
      <c r="E93" s="8"/>
      <c r="F93" s="3"/>
      <c r="G93" s="17"/>
      <c r="H93" s="450">
        <v>19</v>
      </c>
      <c r="I93" s="360">
        <f t="shared" si="8"/>
        <v>0</v>
      </c>
    </row>
    <row r="94" spans="2:9" x14ac:dyDescent="0.2">
      <c r="B94" s="282" t="s">
        <v>243</v>
      </c>
      <c r="C94" s="107" t="s">
        <v>244</v>
      </c>
      <c r="D94" s="107" t="s">
        <v>245</v>
      </c>
      <c r="E94" s="8"/>
      <c r="F94" s="3"/>
      <c r="G94" s="17"/>
      <c r="H94" s="450">
        <v>1.95</v>
      </c>
      <c r="I94" s="360">
        <f t="shared" si="8"/>
        <v>0</v>
      </c>
    </row>
    <row r="95" spans="2:9" x14ac:dyDescent="0.2">
      <c r="B95" s="282" t="s">
        <v>246</v>
      </c>
      <c r="C95" s="107" t="s">
        <v>247</v>
      </c>
      <c r="D95" s="107" t="s">
        <v>245</v>
      </c>
      <c r="E95" s="8"/>
      <c r="F95" s="3"/>
      <c r="G95" s="17"/>
      <c r="H95" s="450">
        <v>1.95</v>
      </c>
      <c r="I95" s="360">
        <f t="shared" si="8"/>
        <v>0</v>
      </c>
    </row>
    <row r="96" spans="2:9" x14ac:dyDescent="0.2">
      <c r="B96" s="282" t="s">
        <v>248</v>
      </c>
      <c r="C96" s="107" t="s">
        <v>249</v>
      </c>
      <c r="D96" s="107" t="s">
        <v>245</v>
      </c>
      <c r="E96" s="8"/>
      <c r="F96" s="3"/>
      <c r="G96" s="17"/>
      <c r="H96" s="450">
        <v>1.95</v>
      </c>
      <c r="I96" s="360">
        <f t="shared" si="8"/>
        <v>0</v>
      </c>
    </row>
    <row r="97" spans="2:14" x14ac:dyDescent="0.2">
      <c r="B97" s="282" t="s">
        <v>250</v>
      </c>
      <c r="C97" s="107" t="s">
        <v>251</v>
      </c>
      <c r="D97" s="107" t="s">
        <v>245</v>
      </c>
      <c r="E97" s="8"/>
      <c r="F97" s="3"/>
      <c r="G97" s="17"/>
      <c r="H97" s="450">
        <v>2.65</v>
      </c>
      <c r="I97" s="360">
        <f t="shared" si="8"/>
        <v>0</v>
      </c>
    </row>
    <row r="98" spans="2:14" x14ac:dyDescent="0.2">
      <c r="B98" s="282" t="s">
        <v>252</v>
      </c>
      <c r="C98" s="107" t="s">
        <v>253</v>
      </c>
      <c r="D98" s="107" t="s">
        <v>153</v>
      </c>
      <c r="E98" s="8"/>
      <c r="F98" s="3"/>
      <c r="G98" s="17"/>
      <c r="H98" s="450">
        <v>4.25</v>
      </c>
      <c r="I98" s="360">
        <f t="shared" si="8"/>
        <v>0</v>
      </c>
    </row>
    <row r="99" spans="2:14" x14ac:dyDescent="0.2">
      <c r="B99" s="282" t="s">
        <v>254</v>
      </c>
      <c r="C99" s="107" t="s">
        <v>255</v>
      </c>
      <c r="D99" s="107" t="s">
        <v>245</v>
      </c>
      <c r="E99" s="8"/>
      <c r="F99" s="3"/>
      <c r="G99" s="17"/>
      <c r="H99" s="450">
        <v>1.95</v>
      </c>
      <c r="I99" s="360">
        <f t="shared" si="8"/>
        <v>0</v>
      </c>
    </row>
    <row r="100" spans="2:14" x14ac:dyDescent="0.2">
      <c r="B100" s="282" t="s">
        <v>256</v>
      </c>
      <c r="C100" s="107" t="s">
        <v>257</v>
      </c>
      <c r="D100" s="107" t="s">
        <v>153</v>
      </c>
      <c r="E100" s="8"/>
      <c r="F100" s="3"/>
      <c r="G100" s="17"/>
      <c r="H100" s="450">
        <v>3.35</v>
      </c>
      <c r="I100" s="360">
        <f t="shared" si="8"/>
        <v>0</v>
      </c>
    </row>
    <row r="101" spans="2:14" x14ac:dyDescent="0.2">
      <c r="B101" s="282" t="s">
        <v>258</v>
      </c>
      <c r="C101" s="107" t="s">
        <v>259</v>
      </c>
      <c r="D101" s="107" t="s">
        <v>153</v>
      </c>
      <c r="E101" s="8"/>
      <c r="F101" s="3"/>
      <c r="G101" s="17"/>
      <c r="H101" s="450">
        <v>3.35</v>
      </c>
      <c r="I101" s="360">
        <f t="shared" si="8"/>
        <v>0</v>
      </c>
    </row>
    <row r="102" spans="2:14" x14ac:dyDescent="0.2">
      <c r="B102" s="282" t="s">
        <v>260</v>
      </c>
      <c r="C102" s="107" t="s">
        <v>261</v>
      </c>
      <c r="D102" s="107" t="s">
        <v>245</v>
      </c>
      <c r="E102" s="8"/>
      <c r="F102" s="3"/>
      <c r="G102" s="17"/>
      <c r="H102" s="450">
        <v>1.95</v>
      </c>
      <c r="I102" s="360">
        <f t="shared" si="8"/>
        <v>0</v>
      </c>
    </row>
    <row r="103" spans="2:14" x14ac:dyDescent="0.2">
      <c r="B103" s="282" t="s">
        <v>262</v>
      </c>
      <c r="C103" s="107" t="s">
        <v>263</v>
      </c>
      <c r="D103" s="107" t="s">
        <v>245</v>
      </c>
      <c r="E103" s="8"/>
      <c r="F103" s="3"/>
      <c r="G103" s="17"/>
      <c r="H103" s="450">
        <v>1.95</v>
      </c>
      <c r="I103" s="360">
        <f t="shared" si="8"/>
        <v>0</v>
      </c>
    </row>
    <row r="104" spans="2:14" x14ac:dyDescent="0.2">
      <c r="B104" s="282" t="s">
        <v>264</v>
      </c>
      <c r="C104" s="107" t="s">
        <v>265</v>
      </c>
      <c r="D104" s="107" t="s">
        <v>245</v>
      </c>
      <c r="E104" s="8"/>
      <c r="F104" s="3"/>
      <c r="G104" s="17"/>
      <c r="H104" s="450">
        <v>1.95</v>
      </c>
      <c r="I104" s="360">
        <f t="shared" si="8"/>
        <v>0</v>
      </c>
    </row>
    <row r="105" spans="2:14" x14ac:dyDescent="0.2">
      <c r="B105" s="282" t="s">
        <v>266</v>
      </c>
      <c r="C105" s="107" t="s">
        <v>267</v>
      </c>
      <c r="D105" s="107" t="s">
        <v>245</v>
      </c>
      <c r="E105" s="8"/>
      <c r="F105" s="3"/>
      <c r="G105" s="17"/>
      <c r="H105" s="450">
        <v>1.95</v>
      </c>
      <c r="I105" s="360">
        <f t="shared" si="8"/>
        <v>0</v>
      </c>
    </row>
    <row r="106" spans="2:14" ht="17" thickBot="1" x14ac:dyDescent="0.25">
      <c r="B106" s="282" t="s">
        <v>268</v>
      </c>
      <c r="C106" s="107" t="s">
        <v>269</v>
      </c>
      <c r="D106" s="107" t="s">
        <v>127</v>
      </c>
      <c r="E106" s="8"/>
      <c r="F106" s="3"/>
      <c r="G106" s="17"/>
      <c r="H106" s="450">
        <v>3.75</v>
      </c>
      <c r="I106" s="450">
        <f t="shared" ref="I106" si="9">G106*H106</f>
        <v>0</v>
      </c>
    </row>
    <row r="107" spans="2:14" ht="17" thickBot="1" x14ac:dyDescent="0.25">
      <c r="B107" s="361"/>
      <c r="C107" s="362"/>
      <c r="D107" s="362"/>
      <c r="E107" s="362"/>
      <c r="F107" s="362"/>
      <c r="G107" s="362"/>
      <c r="H107" s="362"/>
      <c r="I107" s="169">
        <f>SUM(I12:I106)</f>
        <v>0</v>
      </c>
      <c r="J107" s="363"/>
      <c r="K107" s="364"/>
      <c r="L107" s="338"/>
      <c r="M107" s="357"/>
      <c r="N107" s="359"/>
    </row>
  </sheetData>
  <mergeCells count="12">
    <mergeCell ref="F2:G2"/>
    <mergeCell ref="F4:G4"/>
    <mergeCell ref="F5:G5"/>
    <mergeCell ref="B2:D2"/>
    <mergeCell ref="B10:I10"/>
    <mergeCell ref="C8:D8"/>
    <mergeCell ref="C3:D3"/>
    <mergeCell ref="C4:D4"/>
    <mergeCell ref="C5:D5"/>
    <mergeCell ref="C6:D6"/>
    <mergeCell ref="C7:D7"/>
    <mergeCell ref="F3:G3"/>
  </mergeCells>
  <pageMargins left="0.23622047244094491" right="0.23622047244094491" top="0.74803149606299213" bottom="0.74803149606299213" header="0.31496062992125984" footer="0.31496062992125984"/>
  <pageSetup paperSize="9" scale="62" fitToHeight="3" orientation="portrait" r:id="rId1"/>
  <headerFooter>
    <oddFooter>&amp;L&amp;P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1BA3F-D523-424A-B9C4-BFFB38089835}">
  <sheetPr>
    <tabColor rgb="FFFFC000"/>
    <pageSetUpPr fitToPage="1"/>
  </sheetPr>
  <dimension ref="B1:N835"/>
  <sheetViews>
    <sheetView topLeftCell="A48" zoomScaleNormal="100" workbookViewId="0">
      <selection activeCell="J55" sqref="J55"/>
    </sheetView>
  </sheetViews>
  <sheetFormatPr baseColWidth="10" defaultColWidth="10.83203125" defaultRowHeight="16" x14ac:dyDescent="0.2"/>
  <cols>
    <col min="1" max="1" width="4.33203125" style="111" customWidth="1"/>
    <col min="2" max="2" width="49.6640625" style="111" bestFit="1" customWidth="1"/>
    <col min="3" max="3" width="15.1640625" style="392" customWidth="1"/>
    <col min="4" max="4" width="7" style="294" customWidth="1"/>
    <col min="5" max="8" width="15.6640625" style="294" customWidth="1"/>
    <col min="9" max="9" width="15.6640625" style="111" customWidth="1"/>
    <col min="10" max="16" width="34.33203125" style="111" customWidth="1"/>
    <col min="17" max="16384" width="10.83203125" style="111"/>
  </cols>
  <sheetData>
    <row r="1" spans="2:14" s="33" customFormat="1" ht="17" thickBot="1" x14ac:dyDescent="0.25">
      <c r="C1" s="365"/>
      <c r="D1" s="270"/>
      <c r="E1" s="270"/>
      <c r="F1" s="270"/>
      <c r="G1" s="270"/>
      <c r="H1" s="270"/>
    </row>
    <row r="2" spans="2:14" s="33" customFormat="1" ht="17" thickBot="1" x14ac:dyDescent="0.25">
      <c r="B2" s="630" t="s">
        <v>270</v>
      </c>
      <c r="C2" s="658"/>
      <c r="D2" s="659"/>
      <c r="E2" s="270"/>
      <c r="F2" s="625" t="s">
        <v>61</v>
      </c>
      <c r="G2" s="626"/>
      <c r="H2" s="270"/>
    </row>
    <row r="3" spans="2:14" s="33" customFormat="1" ht="16.5" customHeight="1" thickBot="1" x14ac:dyDescent="0.25">
      <c r="B3" s="69" t="s">
        <v>62</v>
      </c>
      <c r="C3" s="660"/>
      <c r="D3" s="661"/>
      <c r="E3" s="270"/>
      <c r="F3" s="662" t="s">
        <v>14</v>
      </c>
      <c r="G3" s="663"/>
      <c r="H3" s="270"/>
    </row>
    <row r="4" spans="2:14" s="33" customFormat="1" ht="15.75" customHeight="1" thickBot="1" x14ac:dyDescent="0.25">
      <c r="B4" s="69" t="str">
        <f>COVER!B12</f>
        <v>SITE</v>
      </c>
      <c r="C4" s="649" t="str">
        <f>COVER!C12</f>
        <v>GOLDEN GROVE</v>
      </c>
      <c r="D4" s="650"/>
      <c r="E4" s="270"/>
      <c r="F4" s="664"/>
      <c r="G4" s="628"/>
      <c r="H4" s="270"/>
    </row>
    <row r="5" spans="2:14" s="33" customFormat="1" ht="15.75" customHeight="1" thickBot="1" x14ac:dyDescent="0.25">
      <c r="B5" s="69" t="str">
        <f>COVER!B13</f>
        <v>MANAGERS NAME</v>
      </c>
      <c r="C5" s="649" t="str">
        <f>COVER!C13</f>
        <v>Ian Shotam</v>
      </c>
      <c r="D5" s="650"/>
      <c r="E5" s="270"/>
      <c r="F5" s="629"/>
      <c r="G5" s="628"/>
      <c r="H5" s="270"/>
    </row>
    <row r="6" spans="2:14" s="33" customFormat="1" x14ac:dyDescent="0.2">
      <c r="B6" s="69" t="str">
        <f>COVER!B14</f>
        <v>DATE - ORDER PLACED</v>
      </c>
      <c r="C6" s="651">
        <f>COVER!C14</f>
        <v>45082</v>
      </c>
      <c r="D6" s="652"/>
      <c r="E6" s="270"/>
      <c r="F6" s="270"/>
      <c r="G6" s="270"/>
      <c r="H6" s="270"/>
    </row>
    <row r="7" spans="2:14" s="33" customFormat="1" ht="30.75" customHeight="1" x14ac:dyDescent="0.2">
      <c r="B7" s="543" t="str">
        <f>COVER!B15</f>
        <v>DATE - DELIVERY PERTH - FREIGHT LINES, 12-26 RIVERSDALE RD, WELSHPOOL WA 6100</v>
      </c>
      <c r="C7" s="651">
        <f>COVER!C15</f>
        <v>45085</v>
      </c>
      <c r="D7" s="652"/>
      <c r="E7" s="270"/>
      <c r="F7" s="270"/>
      <c r="G7" s="270"/>
      <c r="H7" s="270"/>
    </row>
    <row r="8" spans="2:14" s="33" customFormat="1" ht="17" thickBot="1" x14ac:dyDescent="0.25">
      <c r="B8" s="70" t="str">
        <f>COVER!B16</f>
        <v>DATE - ESTIMATED ARRIVAL SITE</v>
      </c>
      <c r="C8" s="653">
        <f>COVER!C16</f>
        <v>45086</v>
      </c>
      <c r="D8" s="654"/>
      <c r="E8" s="270"/>
      <c r="F8" s="270"/>
      <c r="G8" s="270"/>
      <c r="H8" s="270"/>
    </row>
    <row r="9" spans="2:14" s="33" customFormat="1" ht="17" thickBot="1" x14ac:dyDescent="0.25">
      <c r="C9" s="365"/>
      <c r="G9" s="366"/>
      <c r="H9" s="270"/>
      <c r="I9" s="270"/>
    </row>
    <row r="10" spans="2:14" s="33" customFormat="1" ht="30" customHeight="1" thickBot="1" x14ac:dyDescent="0.25">
      <c r="B10" s="655" t="s">
        <v>271</v>
      </c>
      <c r="C10" s="656"/>
      <c r="D10" s="656"/>
      <c r="E10" s="656"/>
      <c r="F10" s="656"/>
      <c r="G10" s="656"/>
      <c r="H10" s="656"/>
      <c r="I10" s="657"/>
      <c r="J10" s="647"/>
      <c r="K10" s="647"/>
      <c r="L10" s="647"/>
      <c r="M10" s="647"/>
      <c r="N10" s="648"/>
    </row>
    <row r="11" spans="2:14" s="81" customFormat="1" ht="31" thickBot="1" x14ac:dyDescent="0.25">
      <c r="B11" s="73" t="s">
        <v>272</v>
      </c>
      <c r="C11" s="74" t="s">
        <v>65</v>
      </c>
      <c r="D11" s="76" t="s">
        <v>66</v>
      </c>
      <c r="E11" s="76" t="s">
        <v>67</v>
      </c>
      <c r="F11" s="76" t="s">
        <v>68</v>
      </c>
      <c r="G11" s="76" t="s">
        <v>69</v>
      </c>
      <c r="H11" s="77" t="s">
        <v>70</v>
      </c>
      <c r="I11" s="78" t="s">
        <v>25</v>
      </c>
    </row>
    <row r="12" spans="2:14" s="33" customFormat="1" x14ac:dyDescent="0.2">
      <c r="B12" s="52" t="s">
        <v>273</v>
      </c>
      <c r="C12" s="83">
        <v>190060</v>
      </c>
      <c r="D12" s="252" t="s">
        <v>71</v>
      </c>
      <c r="E12" s="2"/>
      <c r="F12" s="2"/>
      <c r="G12" s="16"/>
      <c r="H12" s="367">
        <v>13.25</v>
      </c>
      <c r="I12" s="85">
        <f>SUM(G12*H12)</f>
        <v>0</v>
      </c>
    </row>
    <row r="13" spans="2:14" s="33" customFormat="1" x14ac:dyDescent="0.2">
      <c r="B13" s="53" t="s">
        <v>274</v>
      </c>
      <c r="C13" s="89">
        <v>113463</v>
      </c>
      <c r="D13" s="107" t="s">
        <v>71</v>
      </c>
      <c r="E13" s="3"/>
      <c r="F13" s="3"/>
      <c r="G13" s="17"/>
      <c r="H13" s="368">
        <v>11.95</v>
      </c>
      <c r="I13" s="91">
        <f t="shared" ref="I13:I63" si="0">SUM(G13*H13)</f>
        <v>0</v>
      </c>
    </row>
    <row r="14" spans="2:14" s="33" customFormat="1" x14ac:dyDescent="0.2">
      <c r="B14" s="53" t="s">
        <v>275</v>
      </c>
      <c r="C14" s="89">
        <v>149712</v>
      </c>
      <c r="D14" s="107" t="s">
        <v>71</v>
      </c>
      <c r="E14" s="3"/>
      <c r="F14" s="3"/>
      <c r="G14" s="17"/>
      <c r="H14" s="369">
        <v>11.95</v>
      </c>
      <c r="I14" s="91">
        <f t="shared" si="0"/>
        <v>0</v>
      </c>
    </row>
    <row r="15" spans="2:14" s="33" customFormat="1" x14ac:dyDescent="0.2">
      <c r="B15" s="53" t="s">
        <v>276</v>
      </c>
      <c r="C15" s="89">
        <v>149191</v>
      </c>
      <c r="D15" s="107" t="s">
        <v>71</v>
      </c>
      <c r="E15" s="3"/>
      <c r="F15" s="3"/>
      <c r="G15" s="17"/>
      <c r="H15" s="368">
        <v>10.75</v>
      </c>
      <c r="I15" s="91">
        <f t="shared" si="0"/>
        <v>0</v>
      </c>
    </row>
    <row r="16" spans="2:14" s="33" customFormat="1" x14ac:dyDescent="0.2">
      <c r="B16" s="53" t="s">
        <v>277</v>
      </c>
      <c r="C16" s="89">
        <v>196631</v>
      </c>
      <c r="D16" s="107" t="s">
        <v>71</v>
      </c>
      <c r="E16" s="3"/>
      <c r="F16" s="3"/>
      <c r="G16" s="17"/>
      <c r="H16" s="368">
        <v>34.75</v>
      </c>
      <c r="I16" s="91">
        <f t="shared" si="0"/>
        <v>0</v>
      </c>
    </row>
    <row r="17" spans="2:9" s="33" customFormat="1" x14ac:dyDescent="0.2">
      <c r="B17" s="53" t="s">
        <v>278</v>
      </c>
      <c r="C17" s="89">
        <v>105125</v>
      </c>
      <c r="D17" s="107" t="s">
        <v>71</v>
      </c>
      <c r="E17" s="3"/>
      <c r="F17" s="3"/>
      <c r="G17" s="17"/>
      <c r="H17" s="369">
        <v>12.75</v>
      </c>
      <c r="I17" s="91">
        <f t="shared" si="0"/>
        <v>0</v>
      </c>
    </row>
    <row r="18" spans="2:9" s="33" customFormat="1" x14ac:dyDescent="0.2">
      <c r="B18" s="53" t="s">
        <v>279</v>
      </c>
      <c r="C18" s="89">
        <v>150130</v>
      </c>
      <c r="D18" s="107" t="s">
        <v>71</v>
      </c>
      <c r="E18" s="3"/>
      <c r="F18" s="3"/>
      <c r="G18" s="17"/>
      <c r="H18" s="369">
        <v>13.95</v>
      </c>
      <c r="I18" s="91">
        <f t="shared" si="0"/>
        <v>0</v>
      </c>
    </row>
    <row r="19" spans="2:9" s="33" customFormat="1" x14ac:dyDescent="0.2">
      <c r="B19" s="53" t="s">
        <v>280</v>
      </c>
      <c r="C19" s="89">
        <v>121941</v>
      </c>
      <c r="D19" s="107" t="s">
        <v>71</v>
      </c>
      <c r="E19" s="3"/>
      <c r="F19" s="3"/>
      <c r="G19" s="17"/>
      <c r="H19" s="368">
        <v>10.95</v>
      </c>
      <c r="I19" s="91">
        <f t="shared" si="0"/>
        <v>0</v>
      </c>
    </row>
    <row r="20" spans="2:9" s="33" customFormat="1" x14ac:dyDescent="0.2">
      <c r="B20" s="53" t="s">
        <v>281</v>
      </c>
      <c r="C20" s="89">
        <v>148977</v>
      </c>
      <c r="D20" s="107" t="s">
        <v>71</v>
      </c>
      <c r="E20" s="3"/>
      <c r="F20" s="3"/>
      <c r="G20" s="17"/>
      <c r="H20" s="368">
        <v>13.75</v>
      </c>
      <c r="I20" s="91">
        <f t="shared" si="0"/>
        <v>0</v>
      </c>
    </row>
    <row r="21" spans="2:9" s="33" customFormat="1" x14ac:dyDescent="0.2">
      <c r="B21" s="53" t="s">
        <v>282</v>
      </c>
      <c r="C21" s="89">
        <v>149711</v>
      </c>
      <c r="D21" s="107" t="s">
        <v>71</v>
      </c>
      <c r="E21" s="3"/>
      <c r="F21" s="3"/>
      <c r="G21" s="17"/>
      <c r="H21" s="369">
        <v>13.75</v>
      </c>
      <c r="I21" s="91">
        <f t="shared" si="0"/>
        <v>0</v>
      </c>
    </row>
    <row r="22" spans="2:9" s="33" customFormat="1" x14ac:dyDescent="0.2">
      <c r="B22" s="53" t="s">
        <v>283</v>
      </c>
      <c r="C22" s="89">
        <v>149719</v>
      </c>
      <c r="D22" s="107" t="s">
        <v>71</v>
      </c>
      <c r="E22" s="3"/>
      <c r="F22" s="3"/>
      <c r="G22" s="17"/>
      <c r="H22" s="368">
        <v>14.95</v>
      </c>
      <c r="I22" s="91">
        <f t="shared" si="0"/>
        <v>0</v>
      </c>
    </row>
    <row r="23" spans="2:9" s="33" customFormat="1" x14ac:dyDescent="0.2">
      <c r="B23" s="53" t="s">
        <v>284</v>
      </c>
      <c r="C23" s="89">
        <v>112845</v>
      </c>
      <c r="D23" s="107" t="s">
        <v>71</v>
      </c>
      <c r="E23" s="3"/>
      <c r="F23" s="3"/>
      <c r="G23" s="17"/>
      <c r="H23" s="368">
        <v>9.4499999999999993</v>
      </c>
      <c r="I23" s="91">
        <f t="shared" si="0"/>
        <v>0</v>
      </c>
    </row>
    <row r="24" spans="2:9" s="33" customFormat="1" hidden="1" x14ac:dyDescent="0.2">
      <c r="B24" s="53" t="s">
        <v>285</v>
      </c>
      <c r="C24" s="89">
        <v>112854</v>
      </c>
      <c r="D24" s="107" t="s">
        <v>71</v>
      </c>
      <c r="E24" s="3"/>
      <c r="F24" s="3"/>
      <c r="G24" s="17"/>
      <c r="H24" s="368">
        <v>9.4499999999999993</v>
      </c>
      <c r="I24" s="91">
        <f t="shared" si="0"/>
        <v>0</v>
      </c>
    </row>
    <row r="25" spans="2:9" s="33" customFormat="1" x14ac:dyDescent="0.2">
      <c r="B25" s="53" t="s">
        <v>286</v>
      </c>
      <c r="C25" s="89">
        <v>112959</v>
      </c>
      <c r="D25" s="107" t="s">
        <v>71</v>
      </c>
      <c r="E25" s="3"/>
      <c r="F25" s="3"/>
      <c r="G25" s="17"/>
      <c r="H25" s="368">
        <v>28.45</v>
      </c>
      <c r="I25" s="91">
        <f t="shared" si="0"/>
        <v>0</v>
      </c>
    </row>
    <row r="26" spans="2:9" s="33" customFormat="1" x14ac:dyDescent="0.2">
      <c r="B26" s="53" t="s">
        <v>287</v>
      </c>
      <c r="C26" s="89">
        <v>114278</v>
      </c>
      <c r="D26" s="107" t="s">
        <v>71</v>
      </c>
      <c r="E26" s="3"/>
      <c r="F26" s="3"/>
      <c r="G26" s="17"/>
      <c r="H26" s="368">
        <v>17.45</v>
      </c>
      <c r="I26" s="91">
        <f t="shared" si="0"/>
        <v>0</v>
      </c>
    </row>
    <row r="27" spans="2:9" s="33" customFormat="1" x14ac:dyDescent="0.2">
      <c r="B27" s="53" t="s">
        <v>288</v>
      </c>
      <c r="C27" s="89">
        <v>149183</v>
      </c>
      <c r="D27" s="107" t="s">
        <v>71</v>
      </c>
      <c r="E27" s="3"/>
      <c r="F27" s="3"/>
      <c r="G27" s="17"/>
      <c r="H27" s="368">
        <v>18.75</v>
      </c>
      <c r="I27" s="91">
        <f t="shared" si="0"/>
        <v>0</v>
      </c>
    </row>
    <row r="28" spans="2:9" s="33" customFormat="1" x14ac:dyDescent="0.2">
      <c r="B28" s="53" t="s">
        <v>289</v>
      </c>
      <c r="C28" s="89">
        <v>149308</v>
      </c>
      <c r="D28" s="107" t="s">
        <v>71</v>
      </c>
      <c r="E28" s="3"/>
      <c r="F28" s="3"/>
      <c r="G28" s="17"/>
      <c r="H28" s="368">
        <v>25.95</v>
      </c>
      <c r="I28" s="91">
        <f t="shared" si="0"/>
        <v>0</v>
      </c>
    </row>
    <row r="29" spans="2:9" s="33" customFormat="1" x14ac:dyDescent="0.2">
      <c r="B29" s="53" t="s">
        <v>290</v>
      </c>
      <c r="C29" s="89">
        <v>148888</v>
      </c>
      <c r="D29" s="107" t="s">
        <v>71</v>
      </c>
      <c r="E29" s="3"/>
      <c r="F29" s="3"/>
      <c r="G29" s="17"/>
      <c r="H29" s="368">
        <v>27.75</v>
      </c>
      <c r="I29" s="91">
        <f t="shared" si="0"/>
        <v>0</v>
      </c>
    </row>
    <row r="30" spans="2:9" s="33" customFormat="1" x14ac:dyDescent="0.2">
      <c r="B30" s="53" t="s">
        <v>291</v>
      </c>
      <c r="C30" s="89">
        <v>149028</v>
      </c>
      <c r="D30" s="107" t="s">
        <v>71</v>
      </c>
      <c r="E30" s="3"/>
      <c r="F30" s="3"/>
      <c r="G30" s="17"/>
      <c r="H30" s="368">
        <v>26.75</v>
      </c>
      <c r="I30" s="91">
        <f t="shared" si="0"/>
        <v>0</v>
      </c>
    </row>
    <row r="31" spans="2:9" s="33" customFormat="1" x14ac:dyDescent="0.2">
      <c r="B31" s="53" t="s">
        <v>292</v>
      </c>
      <c r="C31" s="89">
        <v>149119</v>
      </c>
      <c r="D31" s="107" t="s">
        <v>71</v>
      </c>
      <c r="E31" s="3"/>
      <c r="F31" s="3"/>
      <c r="G31" s="17"/>
      <c r="H31" s="368">
        <v>42.5</v>
      </c>
      <c r="I31" s="91">
        <f t="shared" si="0"/>
        <v>0</v>
      </c>
    </row>
    <row r="32" spans="2:9" s="33" customFormat="1" x14ac:dyDescent="0.2">
      <c r="B32" s="53" t="s">
        <v>293</v>
      </c>
      <c r="C32" s="89">
        <v>105191</v>
      </c>
      <c r="D32" s="107" t="s">
        <v>71</v>
      </c>
      <c r="E32" s="3"/>
      <c r="F32" s="3"/>
      <c r="G32" s="17"/>
      <c r="H32" s="369">
        <v>13.75</v>
      </c>
      <c r="I32" s="91">
        <f t="shared" si="0"/>
        <v>0</v>
      </c>
    </row>
    <row r="33" spans="2:9" s="33" customFormat="1" x14ac:dyDescent="0.2">
      <c r="B33" s="53" t="s">
        <v>294</v>
      </c>
      <c r="C33" s="89">
        <v>149469</v>
      </c>
      <c r="D33" s="107" t="s">
        <v>71</v>
      </c>
      <c r="E33" s="3"/>
      <c r="F33" s="3"/>
      <c r="G33" s="17"/>
      <c r="H33" s="368">
        <v>12.95</v>
      </c>
      <c r="I33" s="91">
        <f t="shared" si="0"/>
        <v>0</v>
      </c>
    </row>
    <row r="34" spans="2:9" s="33" customFormat="1" x14ac:dyDescent="0.2">
      <c r="B34" s="228" t="s">
        <v>295</v>
      </c>
      <c r="C34" s="89">
        <v>102829</v>
      </c>
      <c r="D34" s="107" t="s">
        <v>71</v>
      </c>
      <c r="E34" s="3"/>
      <c r="F34" s="3"/>
      <c r="G34" s="17"/>
      <c r="H34" s="368">
        <v>13.25</v>
      </c>
      <c r="I34" s="91">
        <f t="shared" si="0"/>
        <v>0</v>
      </c>
    </row>
    <row r="35" spans="2:9" s="271" customFormat="1" ht="16" customHeight="1" x14ac:dyDescent="0.2">
      <c r="B35" s="93" t="s">
        <v>296</v>
      </c>
      <c r="C35" s="370"/>
      <c r="D35" s="371"/>
      <c r="E35" s="31"/>
      <c r="F35" s="31"/>
      <c r="G35" s="32"/>
      <c r="H35" s="372"/>
      <c r="I35" s="91">
        <f t="shared" si="0"/>
        <v>0</v>
      </c>
    </row>
    <row r="36" spans="2:9" s="33" customFormat="1" x14ac:dyDescent="0.2">
      <c r="B36" s="53" t="s">
        <v>297</v>
      </c>
      <c r="C36" s="89">
        <v>105156</v>
      </c>
      <c r="D36" s="107" t="s">
        <v>71</v>
      </c>
      <c r="E36" s="3"/>
      <c r="F36" s="3"/>
      <c r="G36" s="17"/>
      <c r="H36" s="369">
        <v>34.950000000000003</v>
      </c>
      <c r="I36" s="91">
        <f t="shared" si="0"/>
        <v>0</v>
      </c>
    </row>
    <row r="37" spans="2:9" s="33" customFormat="1" x14ac:dyDescent="0.2">
      <c r="B37" s="53" t="s">
        <v>298</v>
      </c>
      <c r="C37" s="89">
        <v>149313</v>
      </c>
      <c r="D37" s="107" t="s">
        <v>71</v>
      </c>
      <c r="E37" s="3"/>
      <c r="F37" s="3"/>
      <c r="G37" s="17"/>
      <c r="H37" s="369">
        <v>23.5</v>
      </c>
      <c r="I37" s="91">
        <f t="shared" si="0"/>
        <v>0</v>
      </c>
    </row>
    <row r="38" spans="2:9" s="33" customFormat="1" x14ac:dyDescent="0.2">
      <c r="B38" s="53" t="s">
        <v>299</v>
      </c>
      <c r="C38" s="89">
        <v>105147</v>
      </c>
      <c r="D38" s="107" t="s">
        <v>71</v>
      </c>
      <c r="E38" s="3"/>
      <c r="F38" s="3"/>
      <c r="G38" s="17"/>
      <c r="H38" s="368">
        <v>19.75</v>
      </c>
      <c r="I38" s="91">
        <f t="shared" si="0"/>
        <v>0</v>
      </c>
    </row>
    <row r="39" spans="2:9" s="33" customFormat="1" x14ac:dyDescent="0.2">
      <c r="B39" s="53" t="s">
        <v>300</v>
      </c>
      <c r="C39" s="89">
        <v>113536</v>
      </c>
      <c r="D39" s="107" t="s">
        <v>71</v>
      </c>
      <c r="E39" s="3"/>
      <c r="F39" s="3"/>
      <c r="G39" s="17"/>
      <c r="H39" s="369">
        <v>12.95</v>
      </c>
      <c r="I39" s="91">
        <f t="shared" si="0"/>
        <v>0</v>
      </c>
    </row>
    <row r="40" spans="2:9" s="33" customFormat="1" x14ac:dyDescent="0.2">
      <c r="B40" s="53" t="s">
        <v>301</v>
      </c>
      <c r="C40" s="89">
        <v>113569</v>
      </c>
      <c r="D40" s="107" t="s">
        <v>71</v>
      </c>
      <c r="E40" s="3"/>
      <c r="F40" s="3"/>
      <c r="G40" s="17"/>
      <c r="H40" s="368">
        <v>16.75</v>
      </c>
      <c r="I40" s="91">
        <f t="shared" si="0"/>
        <v>0</v>
      </c>
    </row>
    <row r="41" spans="2:9" s="33" customFormat="1" x14ac:dyDescent="0.2">
      <c r="B41" s="53" t="s">
        <v>302</v>
      </c>
      <c r="C41" s="89">
        <v>150369</v>
      </c>
      <c r="D41" s="107" t="s">
        <v>71</v>
      </c>
      <c r="E41" s="3"/>
      <c r="F41" s="3"/>
      <c r="G41" s="17"/>
      <c r="H41" s="368">
        <v>15.75</v>
      </c>
      <c r="I41" s="91">
        <f t="shared" si="0"/>
        <v>0</v>
      </c>
    </row>
    <row r="42" spans="2:9" s="33" customFormat="1" x14ac:dyDescent="0.2">
      <c r="B42" s="53" t="s">
        <v>303</v>
      </c>
      <c r="C42" s="89">
        <v>113629</v>
      </c>
      <c r="D42" s="107" t="s">
        <v>71</v>
      </c>
      <c r="E42" s="3"/>
      <c r="F42" s="3"/>
      <c r="G42" s="17"/>
      <c r="H42" s="368">
        <v>11.95</v>
      </c>
      <c r="I42" s="91">
        <f t="shared" si="0"/>
        <v>0</v>
      </c>
    </row>
    <row r="43" spans="2:9" s="33" customFormat="1" x14ac:dyDescent="0.2">
      <c r="B43" s="53" t="s">
        <v>304</v>
      </c>
      <c r="C43" s="89">
        <v>113602</v>
      </c>
      <c r="D43" s="107" t="s">
        <v>71</v>
      </c>
      <c r="E43" s="3"/>
      <c r="F43" s="3"/>
      <c r="G43" s="17"/>
      <c r="H43" s="369">
        <v>15.45</v>
      </c>
      <c r="I43" s="91">
        <f t="shared" si="0"/>
        <v>0</v>
      </c>
    </row>
    <row r="44" spans="2:9" s="33" customFormat="1" x14ac:dyDescent="0.2">
      <c r="B44" s="53" t="s">
        <v>305</v>
      </c>
      <c r="C44" s="89">
        <v>113485</v>
      </c>
      <c r="D44" s="107" t="s">
        <v>71</v>
      </c>
      <c r="E44" s="3"/>
      <c r="F44" s="3"/>
      <c r="G44" s="17"/>
      <c r="H44" s="369">
        <v>32.75</v>
      </c>
      <c r="I44" s="91">
        <f t="shared" si="0"/>
        <v>0</v>
      </c>
    </row>
    <row r="45" spans="2:9" s="33" customFormat="1" x14ac:dyDescent="0.2">
      <c r="B45" s="53" t="s">
        <v>306</v>
      </c>
      <c r="C45" s="89">
        <v>149915</v>
      </c>
      <c r="D45" s="107" t="s">
        <v>71</v>
      </c>
      <c r="E45" s="3"/>
      <c r="F45" s="3"/>
      <c r="G45" s="17"/>
      <c r="H45" s="369">
        <v>29.95</v>
      </c>
      <c r="I45" s="91">
        <f t="shared" si="0"/>
        <v>0</v>
      </c>
    </row>
    <row r="46" spans="2:9" s="33" customFormat="1" x14ac:dyDescent="0.2">
      <c r="B46" s="53" t="s">
        <v>307</v>
      </c>
      <c r="C46" s="89">
        <v>149149</v>
      </c>
      <c r="D46" s="107" t="s">
        <v>71</v>
      </c>
      <c r="E46" s="3"/>
      <c r="F46" s="3"/>
      <c r="G46" s="17"/>
      <c r="H46" s="368">
        <v>10.95</v>
      </c>
      <c r="I46" s="91">
        <f t="shared" si="0"/>
        <v>0</v>
      </c>
    </row>
    <row r="47" spans="2:9" s="33" customFormat="1" ht="16" customHeight="1" x14ac:dyDescent="0.2">
      <c r="B47" s="228" t="s">
        <v>308</v>
      </c>
      <c r="C47" s="107">
        <v>105147</v>
      </c>
      <c r="D47" s="107" t="s">
        <v>71</v>
      </c>
      <c r="E47" s="3"/>
      <c r="F47" s="3"/>
      <c r="G47" s="17"/>
      <c r="H47" s="373">
        <v>19.75</v>
      </c>
      <c r="I47" s="91">
        <f t="shared" si="0"/>
        <v>0</v>
      </c>
    </row>
    <row r="48" spans="2:9" s="33" customFormat="1" ht="16" customHeight="1" x14ac:dyDescent="0.2">
      <c r="B48" s="93" t="s">
        <v>309</v>
      </c>
      <c r="C48" s="370"/>
      <c r="D48" s="371"/>
      <c r="E48" s="31"/>
      <c r="F48" s="31"/>
      <c r="G48" s="32"/>
      <c r="H48" s="372"/>
      <c r="I48" s="94">
        <f t="shared" si="0"/>
        <v>0</v>
      </c>
    </row>
    <row r="49" spans="2:9" s="33" customFormat="1" x14ac:dyDescent="0.2">
      <c r="B49" s="53" t="s">
        <v>310</v>
      </c>
      <c r="C49" s="83">
        <v>149953</v>
      </c>
      <c r="D49" s="107" t="s">
        <v>71</v>
      </c>
      <c r="E49" s="3"/>
      <c r="F49" s="3"/>
      <c r="G49" s="17"/>
      <c r="H49" s="368">
        <v>12.75</v>
      </c>
      <c r="I49" s="91">
        <f t="shared" si="0"/>
        <v>0</v>
      </c>
    </row>
    <row r="50" spans="2:9" s="33" customFormat="1" x14ac:dyDescent="0.2">
      <c r="B50" s="53" t="s">
        <v>311</v>
      </c>
      <c r="C50" s="83">
        <v>149533</v>
      </c>
      <c r="D50" s="107" t="s">
        <v>71</v>
      </c>
      <c r="E50" s="3"/>
      <c r="F50" s="3"/>
      <c r="G50" s="17"/>
      <c r="H50" s="368">
        <v>13.45</v>
      </c>
      <c r="I50" s="91">
        <f t="shared" si="0"/>
        <v>0</v>
      </c>
    </row>
    <row r="51" spans="2:9" s="33" customFormat="1" x14ac:dyDescent="0.2">
      <c r="B51" s="53" t="s">
        <v>312</v>
      </c>
      <c r="C51" s="89">
        <v>168142</v>
      </c>
      <c r="D51" s="107" t="s">
        <v>71</v>
      </c>
      <c r="E51" s="3"/>
      <c r="F51" s="3"/>
      <c r="G51" s="17"/>
      <c r="H51" s="368">
        <v>11.75</v>
      </c>
      <c r="I51" s="91">
        <f t="shared" si="0"/>
        <v>0</v>
      </c>
    </row>
    <row r="52" spans="2:9" s="33" customFormat="1" x14ac:dyDescent="0.2">
      <c r="B52" s="53" t="s">
        <v>313</v>
      </c>
      <c r="C52" s="98">
        <v>112627</v>
      </c>
      <c r="D52" s="107" t="s">
        <v>71</v>
      </c>
      <c r="E52" s="3"/>
      <c r="F52" s="3"/>
      <c r="G52" s="17"/>
      <c r="H52" s="374">
        <v>10.75</v>
      </c>
      <c r="I52" s="91">
        <f t="shared" si="0"/>
        <v>0</v>
      </c>
    </row>
    <row r="53" spans="2:9" s="33" customFormat="1" x14ac:dyDescent="0.2">
      <c r="B53" s="53" t="s">
        <v>314</v>
      </c>
      <c r="C53" s="89">
        <v>149551</v>
      </c>
      <c r="D53" s="107" t="s">
        <v>71</v>
      </c>
      <c r="E53" s="3"/>
      <c r="F53" s="3"/>
      <c r="G53" s="17"/>
      <c r="H53" s="369">
        <v>15.95</v>
      </c>
      <c r="I53" s="91">
        <f t="shared" si="0"/>
        <v>0</v>
      </c>
    </row>
    <row r="54" spans="2:9" s="33" customFormat="1" x14ac:dyDescent="0.2">
      <c r="B54" s="53" t="s">
        <v>315</v>
      </c>
      <c r="C54" s="89">
        <v>52609</v>
      </c>
      <c r="D54" s="107" t="s">
        <v>71</v>
      </c>
      <c r="E54" s="3"/>
      <c r="F54" s="3"/>
      <c r="G54" s="17"/>
      <c r="H54" s="368">
        <v>9.25</v>
      </c>
      <c r="I54" s="91">
        <f t="shared" si="0"/>
        <v>0</v>
      </c>
    </row>
    <row r="55" spans="2:9" s="33" customFormat="1" x14ac:dyDescent="0.2">
      <c r="B55" s="53" t="s">
        <v>316</v>
      </c>
      <c r="C55" s="89">
        <v>149561</v>
      </c>
      <c r="D55" s="107" t="s">
        <v>71</v>
      </c>
      <c r="E55" s="3"/>
      <c r="F55" s="3"/>
      <c r="G55" s="17"/>
      <c r="H55" s="368">
        <v>9.25</v>
      </c>
      <c r="I55" s="91">
        <f t="shared" si="0"/>
        <v>0</v>
      </c>
    </row>
    <row r="56" spans="2:9" s="33" customFormat="1" x14ac:dyDescent="0.2">
      <c r="B56" s="53" t="s">
        <v>317</v>
      </c>
      <c r="C56" s="89">
        <v>112651</v>
      </c>
      <c r="D56" s="107" t="s">
        <v>71</v>
      </c>
      <c r="E56" s="3"/>
      <c r="F56" s="3"/>
      <c r="G56" s="17"/>
      <c r="H56" s="369">
        <v>14.75</v>
      </c>
      <c r="I56" s="91">
        <f t="shared" si="0"/>
        <v>0</v>
      </c>
    </row>
    <row r="57" spans="2:9" s="33" customFormat="1" x14ac:dyDescent="0.2">
      <c r="B57" s="53" t="s">
        <v>318</v>
      </c>
      <c r="C57" s="89">
        <v>49610</v>
      </c>
      <c r="D57" s="107" t="s">
        <v>71</v>
      </c>
      <c r="E57" s="3"/>
      <c r="F57" s="3"/>
      <c r="G57" s="17"/>
      <c r="H57" s="368">
        <v>12.75</v>
      </c>
      <c r="I57" s="91">
        <f t="shared" si="0"/>
        <v>0</v>
      </c>
    </row>
    <row r="58" spans="2:9" s="33" customFormat="1" x14ac:dyDescent="0.2">
      <c r="B58" s="53" t="s">
        <v>319</v>
      </c>
      <c r="C58" s="89">
        <v>113632</v>
      </c>
      <c r="D58" s="107" t="s">
        <v>71</v>
      </c>
      <c r="E58" s="3"/>
      <c r="F58" s="3"/>
      <c r="G58" s="17"/>
      <c r="H58" s="368">
        <v>9.25</v>
      </c>
      <c r="I58" s="91">
        <f t="shared" si="0"/>
        <v>0</v>
      </c>
    </row>
    <row r="59" spans="2:9" s="33" customFormat="1" x14ac:dyDescent="0.2">
      <c r="B59" s="53" t="s">
        <v>320</v>
      </c>
      <c r="C59" s="89">
        <v>149585</v>
      </c>
      <c r="D59" s="107" t="s">
        <v>71</v>
      </c>
      <c r="E59" s="3"/>
      <c r="F59" s="3"/>
      <c r="G59" s="17"/>
      <c r="H59" s="368">
        <v>11.75</v>
      </c>
      <c r="I59" s="91">
        <f>SUM(G59*H59)</f>
        <v>0</v>
      </c>
    </row>
    <row r="60" spans="2:9" s="33" customFormat="1" x14ac:dyDescent="0.2">
      <c r="B60" s="53" t="s">
        <v>321</v>
      </c>
      <c r="C60" s="89">
        <v>149485</v>
      </c>
      <c r="D60" s="107" t="s">
        <v>71</v>
      </c>
      <c r="E60" s="3"/>
      <c r="F60" s="3"/>
      <c r="G60" s="17"/>
      <c r="H60" s="368">
        <v>8.4499999999999993</v>
      </c>
      <c r="I60" s="91">
        <f t="shared" si="0"/>
        <v>0</v>
      </c>
    </row>
    <row r="61" spans="2:9" s="33" customFormat="1" x14ac:dyDescent="0.2">
      <c r="B61" s="53" t="s">
        <v>322</v>
      </c>
      <c r="C61" s="89">
        <v>106085</v>
      </c>
      <c r="D61" s="107" t="s">
        <v>71</v>
      </c>
      <c r="E61" s="3"/>
      <c r="F61" s="5"/>
      <c r="G61" s="18"/>
      <c r="H61" s="368">
        <v>9.25</v>
      </c>
      <c r="I61" s="91">
        <f t="shared" si="0"/>
        <v>0</v>
      </c>
    </row>
    <row r="62" spans="2:9" s="33" customFormat="1" x14ac:dyDescent="0.2">
      <c r="B62" s="298" t="s">
        <v>323</v>
      </c>
      <c r="C62" s="233">
        <v>112842</v>
      </c>
      <c r="D62" s="166" t="s">
        <v>71</v>
      </c>
      <c r="E62" s="5"/>
      <c r="F62" s="5"/>
      <c r="G62" s="18"/>
      <c r="H62" s="375">
        <v>9.25</v>
      </c>
      <c r="I62" s="360">
        <f t="shared" si="0"/>
        <v>0</v>
      </c>
    </row>
    <row r="63" spans="2:9" s="33" customFormat="1" ht="17" thickBot="1" x14ac:dyDescent="0.25">
      <c r="B63" s="376" t="s">
        <v>324</v>
      </c>
      <c r="C63" s="233">
        <v>112627</v>
      </c>
      <c r="D63" s="199" t="s">
        <v>71</v>
      </c>
      <c r="E63" s="23"/>
      <c r="F63" s="23"/>
      <c r="G63" s="24"/>
      <c r="H63" s="377">
        <v>10.75</v>
      </c>
      <c r="I63" s="360">
        <f t="shared" si="0"/>
        <v>0</v>
      </c>
    </row>
    <row r="64" spans="2:9" s="33" customFormat="1" ht="17" thickBot="1" x14ac:dyDescent="0.25">
      <c r="B64" s="102"/>
      <c r="C64" s="378"/>
      <c r="D64" s="379"/>
      <c r="E64" s="379"/>
      <c r="F64" s="379"/>
      <c r="G64" s="379"/>
      <c r="H64" s="380"/>
      <c r="I64" s="105">
        <f>SUM(I12:I63)</f>
        <v>0</v>
      </c>
    </row>
    <row r="65" spans="2:9" s="33" customFormat="1" ht="31" thickBot="1" x14ac:dyDescent="0.25">
      <c r="B65" s="381" t="s">
        <v>325</v>
      </c>
      <c r="C65" s="350" t="s">
        <v>65</v>
      </c>
      <c r="D65" s="76" t="s">
        <v>66</v>
      </c>
      <c r="E65" s="76" t="s">
        <v>67</v>
      </c>
      <c r="F65" s="76" t="s">
        <v>68</v>
      </c>
      <c r="G65" s="76" t="s">
        <v>69</v>
      </c>
      <c r="H65" s="77" t="s">
        <v>70</v>
      </c>
      <c r="I65" s="78" t="s">
        <v>25</v>
      </c>
    </row>
    <row r="66" spans="2:9" s="33" customFormat="1" x14ac:dyDescent="0.2">
      <c r="B66" s="97" t="s">
        <v>326</v>
      </c>
      <c r="C66" s="327">
        <v>148922</v>
      </c>
      <c r="D66" s="107" t="s">
        <v>71</v>
      </c>
      <c r="E66" s="3"/>
      <c r="F66" s="3"/>
      <c r="G66" s="17"/>
      <c r="H66" s="326">
        <v>6.95</v>
      </c>
      <c r="I66" s="91">
        <f>SUM(G66*H66)</f>
        <v>0</v>
      </c>
    </row>
    <row r="67" spans="2:9" s="33" customFormat="1" x14ac:dyDescent="0.2">
      <c r="B67" s="116" t="s">
        <v>327</v>
      </c>
      <c r="C67" s="327">
        <v>54912</v>
      </c>
      <c r="D67" s="252" t="s">
        <v>71</v>
      </c>
      <c r="E67" s="3"/>
      <c r="F67" s="3"/>
      <c r="G67" s="17"/>
      <c r="H67" s="326">
        <v>12.45</v>
      </c>
      <c r="I67" s="91">
        <f>SUM(G67*H67)</f>
        <v>0</v>
      </c>
    </row>
    <row r="68" spans="2:9" s="33" customFormat="1" x14ac:dyDescent="0.2">
      <c r="B68" s="97" t="s">
        <v>328</v>
      </c>
      <c r="C68" s="327">
        <v>149096</v>
      </c>
      <c r="D68" s="252" t="s">
        <v>71</v>
      </c>
      <c r="E68" s="2"/>
      <c r="F68" s="2"/>
      <c r="G68" s="16"/>
      <c r="H68" s="369">
        <v>14.75</v>
      </c>
      <c r="I68" s="85">
        <f t="shared" ref="I68:I84" si="1">SUM(G68*H68)</f>
        <v>0</v>
      </c>
    </row>
    <row r="69" spans="2:9" s="33" customFormat="1" x14ac:dyDescent="0.2">
      <c r="B69" s="97" t="s">
        <v>329</v>
      </c>
      <c r="C69" s="327">
        <v>150001</v>
      </c>
      <c r="D69" s="252" t="s">
        <v>71</v>
      </c>
      <c r="E69" s="3"/>
      <c r="F69" s="3"/>
      <c r="G69" s="17"/>
      <c r="H69" s="326">
        <v>12.75</v>
      </c>
      <c r="I69" s="91">
        <f t="shared" si="1"/>
        <v>0</v>
      </c>
    </row>
    <row r="70" spans="2:9" s="33" customFormat="1" x14ac:dyDescent="0.2">
      <c r="B70" s="97" t="s">
        <v>330</v>
      </c>
      <c r="C70" s="327">
        <v>170022</v>
      </c>
      <c r="D70" s="107" t="s">
        <v>71</v>
      </c>
      <c r="E70" s="3"/>
      <c r="F70" s="3"/>
      <c r="G70" s="17"/>
      <c r="H70" s="326">
        <v>6.95</v>
      </c>
      <c r="I70" s="91">
        <f t="shared" si="1"/>
        <v>0</v>
      </c>
    </row>
    <row r="71" spans="2:9" s="33" customFormat="1" x14ac:dyDescent="0.2">
      <c r="B71" s="97" t="s">
        <v>331</v>
      </c>
      <c r="C71" s="327">
        <v>149603</v>
      </c>
      <c r="D71" s="107" t="s">
        <v>71</v>
      </c>
      <c r="E71" s="3"/>
      <c r="F71" s="3"/>
      <c r="G71" s="17"/>
      <c r="H71" s="326">
        <v>5.25</v>
      </c>
      <c r="I71" s="91">
        <f t="shared" si="1"/>
        <v>0</v>
      </c>
    </row>
    <row r="72" spans="2:9" s="33" customFormat="1" x14ac:dyDescent="0.2">
      <c r="B72" s="97" t="s">
        <v>332</v>
      </c>
      <c r="C72" s="327">
        <v>105963</v>
      </c>
      <c r="D72" s="252" t="s">
        <v>71</v>
      </c>
      <c r="E72" s="3"/>
      <c r="F72" s="3"/>
      <c r="G72" s="17"/>
      <c r="H72" s="326">
        <v>7.75</v>
      </c>
      <c r="I72" s="91">
        <f t="shared" si="1"/>
        <v>0</v>
      </c>
    </row>
    <row r="73" spans="2:9" s="33" customFormat="1" x14ac:dyDescent="0.2">
      <c r="B73" s="97" t="s">
        <v>333</v>
      </c>
      <c r="C73" s="327">
        <v>130214</v>
      </c>
      <c r="D73" s="252" t="s">
        <v>71</v>
      </c>
      <c r="E73" s="3"/>
      <c r="F73" s="3"/>
      <c r="G73" s="17"/>
      <c r="H73" s="326">
        <v>9.4499999999999993</v>
      </c>
      <c r="I73" s="91">
        <f t="shared" si="1"/>
        <v>0</v>
      </c>
    </row>
    <row r="74" spans="2:9" s="33" customFormat="1" x14ac:dyDescent="0.2">
      <c r="B74" s="97" t="s">
        <v>334</v>
      </c>
      <c r="C74" s="327">
        <v>151763</v>
      </c>
      <c r="D74" s="107" t="s">
        <v>71</v>
      </c>
      <c r="E74" s="3"/>
      <c r="F74" s="3"/>
      <c r="G74" s="17"/>
      <c r="H74" s="326">
        <v>12.95</v>
      </c>
      <c r="I74" s="91">
        <f t="shared" si="1"/>
        <v>0</v>
      </c>
    </row>
    <row r="75" spans="2:9" s="33" customFormat="1" x14ac:dyDescent="0.2">
      <c r="B75" s="97" t="s">
        <v>335</v>
      </c>
      <c r="C75" s="327">
        <v>149601</v>
      </c>
      <c r="D75" s="107" t="s">
        <v>71</v>
      </c>
      <c r="E75" s="3"/>
      <c r="F75" s="3"/>
      <c r="G75" s="17"/>
      <c r="H75" s="326">
        <v>13.95</v>
      </c>
      <c r="I75" s="91">
        <f t="shared" si="1"/>
        <v>0</v>
      </c>
    </row>
    <row r="76" spans="2:9" s="33" customFormat="1" x14ac:dyDescent="0.2">
      <c r="B76" s="97" t="s">
        <v>336</v>
      </c>
      <c r="C76" s="327">
        <v>149599</v>
      </c>
      <c r="D76" s="107" t="s">
        <v>71</v>
      </c>
      <c r="E76" s="1"/>
      <c r="F76" s="3"/>
      <c r="G76" s="17"/>
      <c r="H76" s="326">
        <v>10.95</v>
      </c>
      <c r="I76" s="91">
        <f t="shared" si="1"/>
        <v>0</v>
      </c>
    </row>
    <row r="77" spans="2:9" s="33" customFormat="1" x14ac:dyDescent="0.2">
      <c r="B77" s="97" t="s">
        <v>337</v>
      </c>
      <c r="C77" s="327">
        <v>150302</v>
      </c>
      <c r="D77" s="107" t="s">
        <v>71</v>
      </c>
      <c r="E77" s="3"/>
      <c r="F77" s="3"/>
      <c r="G77" s="17"/>
      <c r="H77" s="326">
        <v>14.95</v>
      </c>
      <c r="I77" s="91">
        <f t="shared" si="1"/>
        <v>0</v>
      </c>
    </row>
    <row r="78" spans="2:9" s="33" customFormat="1" x14ac:dyDescent="0.2">
      <c r="B78" s="97" t="s">
        <v>338</v>
      </c>
      <c r="C78" s="327">
        <v>114083</v>
      </c>
      <c r="D78" s="252" t="s">
        <v>71</v>
      </c>
      <c r="E78" s="3"/>
      <c r="F78" s="3"/>
      <c r="G78" s="17"/>
      <c r="H78" s="326">
        <v>14.45</v>
      </c>
      <c r="I78" s="91">
        <f t="shared" si="1"/>
        <v>0</v>
      </c>
    </row>
    <row r="79" spans="2:9" s="33" customFormat="1" x14ac:dyDescent="0.2">
      <c r="B79" s="97" t="s">
        <v>339</v>
      </c>
      <c r="C79" s="327">
        <v>71726</v>
      </c>
      <c r="D79" s="107" t="s">
        <v>71</v>
      </c>
      <c r="E79" s="3"/>
      <c r="F79" s="3"/>
      <c r="G79" s="17"/>
      <c r="H79" s="326">
        <v>9.4499999999999993</v>
      </c>
      <c r="I79" s="91">
        <f t="shared" si="1"/>
        <v>0</v>
      </c>
    </row>
    <row r="80" spans="2:9" s="33" customFormat="1" x14ac:dyDescent="0.2">
      <c r="B80" s="116" t="s">
        <v>340</v>
      </c>
      <c r="C80" s="327">
        <v>113508</v>
      </c>
      <c r="D80" s="107" t="s">
        <v>71</v>
      </c>
      <c r="E80" s="3"/>
      <c r="F80" s="3"/>
      <c r="G80" s="17"/>
      <c r="H80" s="326">
        <v>9.4499999999999993</v>
      </c>
      <c r="I80" s="91">
        <f t="shared" si="1"/>
        <v>0</v>
      </c>
    </row>
    <row r="81" spans="2:9" s="33" customFormat="1" x14ac:dyDescent="0.2">
      <c r="B81" s="97" t="s">
        <v>341</v>
      </c>
      <c r="C81" s="327">
        <v>113363</v>
      </c>
      <c r="D81" s="107" t="s">
        <v>71</v>
      </c>
      <c r="E81" s="3"/>
      <c r="F81" s="3"/>
      <c r="G81" s="17"/>
      <c r="H81" s="326">
        <v>6.75</v>
      </c>
      <c r="I81" s="91">
        <f t="shared" si="1"/>
        <v>0</v>
      </c>
    </row>
    <row r="82" spans="2:9" s="33" customFormat="1" ht="16.5" customHeight="1" x14ac:dyDescent="0.2">
      <c r="B82" s="97" t="s">
        <v>342</v>
      </c>
      <c r="C82" s="327">
        <v>107739</v>
      </c>
      <c r="D82" s="107" t="s">
        <v>71</v>
      </c>
      <c r="E82" s="3"/>
      <c r="F82" s="3"/>
      <c r="G82" s="17"/>
      <c r="H82" s="326">
        <v>5.75</v>
      </c>
      <c r="I82" s="91">
        <f t="shared" si="1"/>
        <v>0</v>
      </c>
    </row>
    <row r="83" spans="2:9" s="33" customFormat="1" ht="16.5" customHeight="1" x14ac:dyDescent="0.2">
      <c r="B83" s="116" t="s">
        <v>343</v>
      </c>
      <c r="C83" s="327">
        <v>149035</v>
      </c>
      <c r="D83" s="107" t="s">
        <v>71</v>
      </c>
      <c r="E83" s="3"/>
      <c r="F83" s="3"/>
      <c r="G83" s="17"/>
      <c r="H83" s="309">
        <v>20.95</v>
      </c>
      <c r="I83" s="91">
        <f t="shared" si="1"/>
        <v>0</v>
      </c>
    </row>
    <row r="84" spans="2:9" s="33" customFormat="1" ht="17" thickBot="1" x14ac:dyDescent="0.25">
      <c r="B84" s="136" t="s">
        <v>344</v>
      </c>
      <c r="C84" s="327">
        <v>149132</v>
      </c>
      <c r="D84" s="107" t="s">
        <v>71</v>
      </c>
      <c r="E84" s="3"/>
      <c r="F84" s="3"/>
      <c r="G84" s="17"/>
      <c r="H84" s="309">
        <v>18.95</v>
      </c>
      <c r="I84" s="91">
        <f t="shared" si="1"/>
        <v>0</v>
      </c>
    </row>
    <row r="85" spans="2:9" s="33" customFormat="1" ht="17" thickBot="1" x14ac:dyDescent="0.25">
      <c r="B85" s="102"/>
      <c r="C85" s="382"/>
      <c r="D85" s="383"/>
      <c r="E85" s="383"/>
      <c r="F85" s="383"/>
      <c r="G85" s="118"/>
      <c r="H85" s="384"/>
      <c r="I85" s="105">
        <f>SUM(I66:I84)</f>
        <v>0</v>
      </c>
    </row>
    <row r="86" spans="2:9" s="33" customFormat="1" x14ac:dyDescent="0.2">
      <c r="C86" s="365"/>
      <c r="D86" s="270"/>
      <c r="E86" s="270"/>
      <c r="F86" s="270"/>
      <c r="G86" s="270"/>
      <c r="H86" s="270"/>
    </row>
    <row r="87" spans="2:9" s="33" customFormat="1" x14ac:dyDescent="0.2">
      <c r="C87" s="365"/>
      <c r="D87" s="270"/>
      <c r="E87" s="270"/>
      <c r="F87" s="270"/>
      <c r="G87" s="270"/>
      <c r="H87" s="270"/>
    </row>
    <row r="88" spans="2:9" s="33" customFormat="1" x14ac:dyDescent="0.2">
      <c r="C88" s="365"/>
      <c r="D88" s="270"/>
      <c r="E88" s="270"/>
      <c r="F88" s="270"/>
      <c r="G88" s="270"/>
      <c r="H88" s="270"/>
    </row>
    <row r="89" spans="2:9" s="33" customFormat="1" x14ac:dyDescent="0.2">
      <c r="C89" s="365"/>
      <c r="D89" s="270"/>
      <c r="E89" s="270"/>
      <c r="F89" s="270"/>
      <c r="G89" s="270"/>
      <c r="H89" s="270"/>
    </row>
    <row r="90" spans="2:9" s="33" customFormat="1" x14ac:dyDescent="0.2">
      <c r="C90" s="365"/>
      <c r="D90" s="270"/>
      <c r="E90" s="270"/>
      <c r="F90" s="270"/>
      <c r="G90" s="270"/>
      <c r="H90" s="270"/>
    </row>
    <row r="91" spans="2:9" s="33" customFormat="1" x14ac:dyDescent="0.2">
      <c r="C91" s="365"/>
      <c r="D91" s="270"/>
      <c r="E91" s="270"/>
      <c r="F91" s="270"/>
      <c r="G91" s="270"/>
      <c r="H91" s="270"/>
    </row>
    <row r="92" spans="2:9" s="33" customFormat="1" x14ac:dyDescent="0.2">
      <c r="C92" s="365"/>
      <c r="D92" s="270"/>
      <c r="E92" s="270"/>
      <c r="F92" s="270"/>
      <c r="G92" s="270"/>
      <c r="H92" s="270"/>
    </row>
    <row r="93" spans="2:9" s="33" customFormat="1" x14ac:dyDescent="0.2">
      <c r="C93" s="365"/>
      <c r="D93" s="270"/>
      <c r="E93" s="270"/>
      <c r="F93" s="270"/>
      <c r="G93" s="270"/>
      <c r="H93" s="270"/>
    </row>
    <row r="94" spans="2:9" s="33" customFormat="1" x14ac:dyDescent="0.2">
      <c r="C94" s="365"/>
      <c r="D94" s="270"/>
      <c r="E94" s="270"/>
      <c r="F94" s="270"/>
      <c r="G94" s="270"/>
      <c r="H94" s="270"/>
    </row>
    <row r="95" spans="2:9" s="33" customFormat="1" x14ac:dyDescent="0.2">
      <c r="C95" s="365"/>
      <c r="D95" s="270"/>
      <c r="E95" s="270"/>
      <c r="F95" s="270"/>
      <c r="G95" s="270"/>
      <c r="H95" s="270"/>
    </row>
    <row r="96" spans="2:9" s="33" customFormat="1" x14ac:dyDescent="0.2">
      <c r="C96" s="365"/>
      <c r="D96" s="270"/>
      <c r="E96" s="270"/>
      <c r="F96" s="270"/>
      <c r="G96" s="270"/>
      <c r="H96" s="270"/>
    </row>
    <row r="97" spans="3:8" s="33" customFormat="1" x14ac:dyDescent="0.2">
      <c r="C97" s="365"/>
      <c r="D97" s="270"/>
      <c r="E97" s="270"/>
      <c r="F97" s="270"/>
      <c r="G97" s="270"/>
      <c r="H97" s="270"/>
    </row>
    <row r="98" spans="3:8" s="33" customFormat="1" x14ac:dyDescent="0.2">
      <c r="C98" s="365"/>
      <c r="D98" s="270"/>
      <c r="E98" s="270"/>
      <c r="F98" s="270"/>
      <c r="G98" s="270"/>
      <c r="H98" s="270"/>
    </row>
    <row r="99" spans="3:8" s="33" customFormat="1" x14ac:dyDescent="0.2">
      <c r="C99" s="365"/>
      <c r="D99" s="270"/>
      <c r="E99" s="270"/>
      <c r="F99" s="270"/>
      <c r="G99" s="270"/>
      <c r="H99" s="270"/>
    </row>
    <row r="100" spans="3:8" s="33" customFormat="1" x14ac:dyDescent="0.2">
      <c r="C100" s="365"/>
      <c r="D100" s="270"/>
      <c r="E100" s="270"/>
      <c r="F100" s="270"/>
      <c r="G100" s="270"/>
      <c r="H100" s="270"/>
    </row>
    <row r="101" spans="3:8" s="33" customFormat="1" x14ac:dyDescent="0.2">
      <c r="C101" s="365"/>
      <c r="D101" s="270"/>
      <c r="E101" s="270"/>
      <c r="F101" s="270"/>
      <c r="G101" s="270"/>
      <c r="H101" s="270"/>
    </row>
    <row r="102" spans="3:8" s="33" customFormat="1" x14ac:dyDescent="0.2">
      <c r="C102" s="365"/>
      <c r="D102" s="270"/>
      <c r="E102" s="270"/>
      <c r="F102" s="270"/>
      <c r="G102" s="270"/>
      <c r="H102" s="270"/>
    </row>
    <row r="103" spans="3:8" s="33" customFormat="1" x14ac:dyDescent="0.2">
      <c r="C103" s="365"/>
      <c r="D103" s="270"/>
      <c r="E103" s="270"/>
      <c r="F103" s="270"/>
      <c r="G103" s="270"/>
      <c r="H103" s="270"/>
    </row>
    <row r="104" spans="3:8" s="33" customFormat="1" x14ac:dyDescent="0.2">
      <c r="C104" s="365"/>
      <c r="D104" s="270"/>
      <c r="E104" s="270"/>
      <c r="F104" s="270"/>
      <c r="G104" s="270"/>
      <c r="H104" s="270"/>
    </row>
    <row r="105" spans="3:8" s="33" customFormat="1" x14ac:dyDescent="0.2">
      <c r="C105" s="365"/>
      <c r="D105" s="270"/>
      <c r="E105" s="270"/>
      <c r="F105" s="270"/>
      <c r="G105" s="270"/>
      <c r="H105" s="270"/>
    </row>
    <row r="106" spans="3:8" s="33" customFormat="1" x14ac:dyDescent="0.2">
      <c r="C106" s="365"/>
      <c r="D106" s="270"/>
      <c r="E106" s="270"/>
      <c r="F106" s="270"/>
      <c r="G106" s="270"/>
      <c r="H106" s="270"/>
    </row>
    <row r="107" spans="3:8" s="33" customFormat="1" x14ac:dyDescent="0.2">
      <c r="C107" s="365"/>
      <c r="D107" s="270"/>
      <c r="E107" s="270"/>
      <c r="F107" s="270"/>
      <c r="G107" s="270"/>
      <c r="H107" s="270"/>
    </row>
    <row r="108" spans="3:8" s="33" customFormat="1" x14ac:dyDescent="0.2">
      <c r="C108" s="365"/>
      <c r="D108" s="270"/>
      <c r="E108" s="270"/>
      <c r="F108" s="270"/>
      <c r="G108" s="270"/>
      <c r="H108" s="270"/>
    </row>
    <row r="109" spans="3:8" s="33" customFormat="1" x14ac:dyDescent="0.2">
      <c r="C109" s="365"/>
      <c r="D109" s="270"/>
      <c r="E109" s="270"/>
      <c r="F109" s="270"/>
      <c r="G109" s="270"/>
      <c r="H109" s="270"/>
    </row>
    <row r="110" spans="3:8" s="33" customFormat="1" x14ac:dyDescent="0.2">
      <c r="C110" s="365"/>
      <c r="D110" s="270"/>
      <c r="E110" s="270"/>
      <c r="F110" s="270"/>
      <c r="G110" s="270"/>
      <c r="H110" s="270"/>
    </row>
    <row r="111" spans="3:8" s="33" customFormat="1" x14ac:dyDescent="0.2">
      <c r="C111" s="365"/>
      <c r="D111" s="270"/>
      <c r="E111" s="270"/>
      <c r="F111" s="270"/>
      <c r="G111" s="270"/>
      <c r="H111" s="270"/>
    </row>
    <row r="112" spans="3:8" s="33" customFormat="1" x14ac:dyDescent="0.2">
      <c r="C112" s="365"/>
      <c r="D112" s="270"/>
      <c r="E112" s="270"/>
      <c r="F112" s="270"/>
      <c r="G112" s="270"/>
      <c r="H112" s="270"/>
    </row>
    <row r="113" spans="3:8" s="33" customFormat="1" x14ac:dyDescent="0.2">
      <c r="C113" s="365"/>
      <c r="D113" s="270"/>
      <c r="E113" s="270"/>
      <c r="F113" s="270"/>
      <c r="G113" s="270"/>
      <c r="H113" s="270"/>
    </row>
    <row r="114" spans="3:8" s="33" customFormat="1" x14ac:dyDescent="0.2">
      <c r="C114" s="365"/>
      <c r="D114" s="270"/>
      <c r="E114" s="270"/>
      <c r="F114" s="270"/>
      <c r="G114" s="270"/>
      <c r="H114" s="270"/>
    </row>
    <row r="115" spans="3:8" s="33" customFormat="1" x14ac:dyDescent="0.2">
      <c r="C115" s="365"/>
      <c r="D115" s="270"/>
      <c r="E115" s="270"/>
      <c r="F115" s="270"/>
      <c r="G115" s="270"/>
      <c r="H115" s="270"/>
    </row>
    <row r="116" spans="3:8" s="33" customFormat="1" x14ac:dyDescent="0.2">
      <c r="C116" s="365"/>
      <c r="D116" s="270"/>
      <c r="E116" s="270"/>
      <c r="F116" s="270"/>
      <c r="G116" s="270"/>
      <c r="H116" s="270"/>
    </row>
    <row r="117" spans="3:8" s="33" customFormat="1" x14ac:dyDescent="0.2">
      <c r="C117" s="365"/>
      <c r="D117" s="270"/>
      <c r="E117" s="270"/>
      <c r="F117" s="270"/>
      <c r="G117" s="270"/>
      <c r="H117" s="270"/>
    </row>
    <row r="118" spans="3:8" s="120" customFormat="1" x14ac:dyDescent="0.2">
      <c r="C118" s="391"/>
      <c r="D118" s="129"/>
      <c r="E118" s="129"/>
      <c r="F118" s="129"/>
      <c r="G118" s="129"/>
      <c r="H118" s="129"/>
    </row>
    <row r="119" spans="3:8" s="120" customFormat="1" x14ac:dyDescent="0.2">
      <c r="C119" s="391"/>
      <c r="D119" s="129"/>
      <c r="E119" s="129"/>
      <c r="F119" s="129"/>
      <c r="G119" s="129"/>
      <c r="H119" s="129"/>
    </row>
    <row r="120" spans="3:8" s="120" customFormat="1" x14ac:dyDescent="0.2">
      <c r="C120" s="391"/>
      <c r="D120" s="129"/>
      <c r="E120" s="129"/>
      <c r="F120" s="129"/>
      <c r="G120" s="129"/>
      <c r="H120" s="129"/>
    </row>
    <row r="121" spans="3:8" s="120" customFormat="1" x14ac:dyDescent="0.2">
      <c r="C121" s="391"/>
      <c r="D121" s="129"/>
      <c r="E121" s="129"/>
      <c r="F121" s="129"/>
      <c r="G121" s="129"/>
      <c r="H121" s="129"/>
    </row>
    <row r="122" spans="3:8" s="120" customFormat="1" x14ac:dyDescent="0.2">
      <c r="C122" s="391"/>
      <c r="D122" s="129"/>
      <c r="E122" s="129"/>
      <c r="F122" s="129"/>
      <c r="G122" s="129"/>
      <c r="H122" s="129"/>
    </row>
    <row r="123" spans="3:8" s="120" customFormat="1" x14ac:dyDescent="0.2">
      <c r="C123" s="391"/>
      <c r="D123" s="129"/>
      <c r="E123" s="129"/>
      <c r="F123" s="129"/>
      <c r="G123" s="129"/>
      <c r="H123" s="129"/>
    </row>
    <row r="124" spans="3:8" s="120" customFormat="1" x14ac:dyDescent="0.2">
      <c r="C124" s="391"/>
      <c r="D124" s="129"/>
      <c r="E124" s="129"/>
      <c r="F124" s="129"/>
      <c r="G124" s="129"/>
      <c r="H124" s="129"/>
    </row>
    <row r="125" spans="3:8" s="120" customFormat="1" x14ac:dyDescent="0.2">
      <c r="C125" s="391"/>
      <c r="D125" s="129"/>
      <c r="E125" s="129"/>
      <c r="F125" s="129"/>
      <c r="G125" s="129"/>
      <c r="H125" s="129"/>
    </row>
    <row r="126" spans="3:8" s="120" customFormat="1" x14ac:dyDescent="0.2">
      <c r="C126" s="391"/>
      <c r="D126" s="129"/>
      <c r="E126" s="129"/>
      <c r="F126" s="129"/>
      <c r="G126" s="129"/>
      <c r="H126" s="129"/>
    </row>
    <row r="127" spans="3:8" s="120" customFormat="1" x14ac:dyDescent="0.2">
      <c r="C127" s="391"/>
      <c r="D127" s="129"/>
      <c r="E127" s="129"/>
      <c r="F127" s="129"/>
      <c r="G127" s="129"/>
      <c r="H127" s="129"/>
    </row>
    <row r="128" spans="3:8" s="120" customFormat="1" x14ac:dyDescent="0.2">
      <c r="C128" s="391"/>
      <c r="D128" s="129"/>
      <c r="E128" s="129"/>
      <c r="F128" s="129"/>
      <c r="G128" s="129"/>
      <c r="H128" s="129"/>
    </row>
    <row r="129" spans="3:8" s="120" customFormat="1" x14ac:dyDescent="0.2">
      <c r="C129" s="391"/>
      <c r="D129" s="129"/>
      <c r="E129" s="129"/>
      <c r="F129" s="129"/>
      <c r="G129" s="129"/>
      <c r="H129" s="129"/>
    </row>
    <row r="130" spans="3:8" s="120" customFormat="1" x14ac:dyDescent="0.2">
      <c r="C130" s="391"/>
      <c r="D130" s="129"/>
      <c r="E130" s="129"/>
      <c r="F130" s="129"/>
      <c r="G130" s="129"/>
      <c r="H130" s="129"/>
    </row>
    <row r="131" spans="3:8" s="120" customFormat="1" x14ac:dyDescent="0.2">
      <c r="C131" s="391"/>
      <c r="D131" s="129"/>
      <c r="E131" s="129"/>
      <c r="F131" s="129"/>
      <c r="G131" s="129"/>
      <c r="H131" s="129"/>
    </row>
    <row r="132" spans="3:8" s="120" customFormat="1" x14ac:dyDescent="0.2">
      <c r="C132" s="391"/>
      <c r="D132" s="129"/>
      <c r="E132" s="129"/>
      <c r="F132" s="129"/>
      <c r="G132" s="129"/>
      <c r="H132" s="129"/>
    </row>
    <row r="133" spans="3:8" s="120" customFormat="1" x14ac:dyDescent="0.2">
      <c r="C133" s="391"/>
      <c r="D133" s="129"/>
      <c r="E133" s="129"/>
      <c r="F133" s="129"/>
      <c r="G133" s="129"/>
      <c r="H133" s="129"/>
    </row>
    <row r="134" spans="3:8" s="120" customFormat="1" x14ac:dyDescent="0.2">
      <c r="C134" s="391"/>
      <c r="D134" s="129"/>
      <c r="E134" s="129"/>
      <c r="F134" s="129"/>
      <c r="G134" s="129"/>
      <c r="H134" s="129"/>
    </row>
    <row r="135" spans="3:8" s="120" customFormat="1" x14ac:dyDescent="0.2">
      <c r="C135" s="391"/>
      <c r="D135" s="129"/>
      <c r="E135" s="129"/>
      <c r="F135" s="129"/>
      <c r="G135" s="129"/>
      <c r="H135" s="129"/>
    </row>
    <row r="136" spans="3:8" s="120" customFormat="1" x14ac:dyDescent="0.2">
      <c r="C136" s="391"/>
      <c r="D136" s="129"/>
      <c r="E136" s="129"/>
      <c r="F136" s="129"/>
      <c r="G136" s="129"/>
      <c r="H136" s="129"/>
    </row>
    <row r="137" spans="3:8" s="120" customFormat="1" x14ac:dyDescent="0.2">
      <c r="C137" s="391"/>
      <c r="D137" s="129"/>
      <c r="E137" s="129"/>
      <c r="F137" s="129"/>
      <c r="G137" s="129"/>
      <c r="H137" s="129"/>
    </row>
    <row r="138" spans="3:8" s="120" customFormat="1" x14ac:dyDescent="0.2">
      <c r="C138" s="391"/>
      <c r="D138" s="129"/>
      <c r="E138" s="129"/>
      <c r="F138" s="129"/>
      <c r="G138" s="129"/>
      <c r="H138" s="129"/>
    </row>
    <row r="139" spans="3:8" s="120" customFormat="1" x14ac:dyDescent="0.2">
      <c r="C139" s="391"/>
      <c r="D139" s="129"/>
      <c r="E139" s="129"/>
      <c r="F139" s="129"/>
      <c r="G139" s="129"/>
      <c r="H139" s="129"/>
    </row>
    <row r="140" spans="3:8" s="120" customFormat="1" x14ac:dyDescent="0.2">
      <c r="C140" s="391"/>
      <c r="D140" s="129"/>
      <c r="E140" s="129"/>
      <c r="F140" s="129"/>
      <c r="G140" s="129"/>
      <c r="H140" s="129"/>
    </row>
    <row r="141" spans="3:8" s="120" customFormat="1" x14ac:dyDescent="0.2">
      <c r="C141" s="391"/>
      <c r="D141" s="129"/>
      <c r="E141" s="129"/>
      <c r="F141" s="129"/>
      <c r="G141" s="129"/>
      <c r="H141" s="129"/>
    </row>
    <row r="142" spans="3:8" s="120" customFormat="1" x14ac:dyDescent="0.2">
      <c r="C142" s="391"/>
      <c r="D142" s="129"/>
      <c r="E142" s="129"/>
      <c r="F142" s="129"/>
      <c r="G142" s="129"/>
      <c r="H142" s="129"/>
    </row>
    <row r="143" spans="3:8" s="120" customFormat="1" x14ac:dyDescent="0.2">
      <c r="C143" s="391"/>
      <c r="D143" s="129"/>
      <c r="E143" s="129"/>
      <c r="F143" s="129"/>
      <c r="G143" s="129"/>
      <c r="H143" s="129"/>
    </row>
    <row r="144" spans="3:8" s="120" customFormat="1" x14ac:dyDescent="0.2">
      <c r="C144" s="391"/>
      <c r="D144" s="129"/>
      <c r="E144" s="129"/>
      <c r="F144" s="129"/>
      <c r="G144" s="129"/>
      <c r="H144" s="129"/>
    </row>
    <row r="145" spans="3:8" s="120" customFormat="1" x14ac:dyDescent="0.2">
      <c r="C145" s="391"/>
      <c r="D145" s="129"/>
      <c r="E145" s="129"/>
      <c r="F145" s="129"/>
      <c r="G145" s="129"/>
      <c r="H145" s="129"/>
    </row>
    <row r="146" spans="3:8" s="120" customFormat="1" x14ac:dyDescent="0.2">
      <c r="C146" s="391"/>
      <c r="D146" s="129"/>
      <c r="E146" s="129"/>
      <c r="F146" s="129"/>
      <c r="G146" s="129"/>
      <c r="H146" s="129"/>
    </row>
    <row r="147" spans="3:8" s="120" customFormat="1" x14ac:dyDescent="0.2">
      <c r="C147" s="391"/>
      <c r="D147" s="129"/>
      <c r="E147" s="129"/>
      <c r="F147" s="129"/>
      <c r="G147" s="129"/>
      <c r="H147" s="129"/>
    </row>
    <row r="148" spans="3:8" s="120" customFormat="1" x14ac:dyDescent="0.2">
      <c r="C148" s="391"/>
      <c r="D148" s="129"/>
      <c r="E148" s="129"/>
      <c r="F148" s="129"/>
      <c r="G148" s="129"/>
      <c r="H148" s="129"/>
    </row>
    <row r="149" spans="3:8" s="120" customFormat="1" x14ac:dyDescent="0.2">
      <c r="C149" s="391"/>
      <c r="D149" s="129"/>
      <c r="E149" s="129"/>
      <c r="F149" s="129"/>
      <c r="G149" s="129"/>
      <c r="H149" s="129"/>
    </row>
    <row r="150" spans="3:8" s="120" customFormat="1" x14ac:dyDescent="0.2">
      <c r="C150" s="391"/>
      <c r="D150" s="129"/>
      <c r="E150" s="129"/>
      <c r="F150" s="129"/>
      <c r="G150" s="129"/>
      <c r="H150" s="129"/>
    </row>
    <row r="151" spans="3:8" s="120" customFormat="1" x14ac:dyDescent="0.2">
      <c r="C151" s="391"/>
      <c r="D151" s="129"/>
      <c r="E151" s="129"/>
      <c r="F151" s="129"/>
      <c r="G151" s="129"/>
      <c r="H151" s="129"/>
    </row>
    <row r="152" spans="3:8" s="120" customFormat="1" x14ac:dyDescent="0.2">
      <c r="C152" s="391"/>
      <c r="D152" s="129"/>
      <c r="E152" s="129"/>
      <c r="F152" s="129"/>
      <c r="G152" s="129"/>
      <c r="H152" s="129"/>
    </row>
    <row r="153" spans="3:8" s="120" customFormat="1" x14ac:dyDescent="0.2">
      <c r="C153" s="391"/>
      <c r="D153" s="129"/>
      <c r="E153" s="129"/>
      <c r="F153" s="129"/>
      <c r="G153" s="129"/>
      <c r="H153" s="129"/>
    </row>
    <row r="154" spans="3:8" s="120" customFormat="1" x14ac:dyDescent="0.2">
      <c r="C154" s="391"/>
      <c r="D154" s="129"/>
      <c r="E154" s="129"/>
      <c r="F154" s="129"/>
      <c r="G154" s="129"/>
      <c r="H154" s="129"/>
    </row>
    <row r="155" spans="3:8" s="120" customFormat="1" x14ac:dyDescent="0.2">
      <c r="C155" s="391"/>
      <c r="D155" s="129"/>
      <c r="E155" s="129"/>
      <c r="F155" s="129"/>
      <c r="G155" s="129"/>
      <c r="H155" s="129"/>
    </row>
    <row r="156" spans="3:8" s="120" customFormat="1" x14ac:dyDescent="0.2">
      <c r="C156" s="391"/>
      <c r="D156" s="129"/>
      <c r="E156" s="129"/>
      <c r="F156" s="129"/>
      <c r="G156" s="129"/>
      <c r="H156" s="129"/>
    </row>
    <row r="157" spans="3:8" s="120" customFormat="1" x14ac:dyDescent="0.2">
      <c r="C157" s="391"/>
      <c r="D157" s="129"/>
      <c r="E157" s="129"/>
      <c r="F157" s="129"/>
      <c r="G157" s="129"/>
      <c r="H157" s="129"/>
    </row>
    <row r="158" spans="3:8" s="120" customFormat="1" x14ac:dyDescent="0.2">
      <c r="C158" s="391"/>
      <c r="D158" s="129"/>
      <c r="E158" s="129"/>
      <c r="F158" s="129"/>
      <c r="G158" s="129"/>
      <c r="H158" s="129"/>
    </row>
    <row r="159" spans="3:8" s="120" customFormat="1" x14ac:dyDescent="0.2">
      <c r="C159" s="391"/>
      <c r="D159" s="129"/>
      <c r="E159" s="129"/>
      <c r="F159" s="129"/>
      <c r="G159" s="129"/>
      <c r="H159" s="129"/>
    </row>
    <row r="160" spans="3:8" s="120" customFormat="1" x14ac:dyDescent="0.2">
      <c r="C160" s="391"/>
      <c r="D160" s="129"/>
      <c r="E160" s="129"/>
      <c r="F160" s="129"/>
      <c r="G160" s="129"/>
      <c r="H160" s="129"/>
    </row>
    <row r="161" spans="3:8" s="120" customFormat="1" x14ac:dyDescent="0.2">
      <c r="C161" s="391"/>
      <c r="D161" s="129"/>
      <c r="E161" s="129"/>
      <c r="F161" s="129"/>
      <c r="G161" s="129"/>
      <c r="H161" s="129"/>
    </row>
    <row r="162" spans="3:8" s="120" customFormat="1" x14ac:dyDescent="0.2">
      <c r="C162" s="391"/>
      <c r="D162" s="129"/>
      <c r="E162" s="129"/>
      <c r="F162" s="129"/>
      <c r="G162" s="129"/>
      <c r="H162" s="129"/>
    </row>
    <row r="163" spans="3:8" s="120" customFormat="1" x14ac:dyDescent="0.2">
      <c r="C163" s="391"/>
      <c r="D163" s="129"/>
      <c r="E163" s="129"/>
      <c r="F163" s="129"/>
      <c r="G163" s="129"/>
      <c r="H163" s="129"/>
    </row>
    <row r="164" spans="3:8" s="120" customFormat="1" x14ac:dyDescent="0.2">
      <c r="C164" s="391"/>
      <c r="D164" s="129"/>
      <c r="E164" s="129"/>
      <c r="F164" s="129"/>
      <c r="G164" s="129"/>
      <c r="H164" s="129"/>
    </row>
    <row r="165" spans="3:8" s="120" customFormat="1" x14ac:dyDescent="0.2">
      <c r="C165" s="391"/>
      <c r="D165" s="129"/>
      <c r="E165" s="129"/>
      <c r="F165" s="129"/>
      <c r="G165" s="129"/>
      <c r="H165" s="129"/>
    </row>
    <row r="166" spans="3:8" s="120" customFormat="1" x14ac:dyDescent="0.2">
      <c r="C166" s="391"/>
      <c r="D166" s="129"/>
      <c r="E166" s="129"/>
      <c r="F166" s="129"/>
      <c r="G166" s="129"/>
      <c r="H166" s="129"/>
    </row>
    <row r="167" spans="3:8" s="120" customFormat="1" x14ac:dyDescent="0.2">
      <c r="C167" s="391"/>
      <c r="D167" s="129"/>
      <c r="E167" s="129"/>
      <c r="F167" s="129"/>
      <c r="G167" s="129"/>
      <c r="H167" s="129"/>
    </row>
    <row r="168" spans="3:8" s="120" customFormat="1" x14ac:dyDescent="0.2">
      <c r="C168" s="391"/>
      <c r="D168" s="129"/>
      <c r="E168" s="129"/>
      <c r="F168" s="129"/>
      <c r="G168" s="129"/>
      <c r="H168" s="129"/>
    </row>
    <row r="169" spans="3:8" s="120" customFormat="1" x14ac:dyDescent="0.2">
      <c r="C169" s="391"/>
      <c r="D169" s="129"/>
      <c r="E169" s="129"/>
      <c r="F169" s="129"/>
      <c r="G169" s="129"/>
      <c r="H169" s="129"/>
    </row>
    <row r="170" spans="3:8" s="120" customFormat="1" x14ac:dyDescent="0.2">
      <c r="C170" s="391"/>
      <c r="D170" s="129"/>
      <c r="E170" s="129"/>
      <c r="F170" s="129"/>
      <c r="G170" s="129"/>
      <c r="H170" s="129"/>
    </row>
    <row r="171" spans="3:8" s="120" customFormat="1" x14ac:dyDescent="0.2">
      <c r="C171" s="391"/>
      <c r="D171" s="129"/>
      <c r="E171" s="129"/>
      <c r="F171" s="129"/>
      <c r="G171" s="129"/>
      <c r="H171" s="129"/>
    </row>
    <row r="172" spans="3:8" s="120" customFormat="1" x14ac:dyDescent="0.2">
      <c r="C172" s="391"/>
      <c r="D172" s="129"/>
      <c r="E172" s="129"/>
      <c r="F172" s="129"/>
      <c r="G172" s="129"/>
      <c r="H172" s="129"/>
    </row>
    <row r="173" spans="3:8" s="120" customFormat="1" x14ac:dyDescent="0.2">
      <c r="C173" s="391"/>
      <c r="D173" s="129"/>
      <c r="E173" s="129"/>
      <c r="F173" s="129"/>
      <c r="G173" s="129"/>
      <c r="H173" s="129"/>
    </row>
    <row r="174" spans="3:8" s="120" customFormat="1" x14ac:dyDescent="0.2">
      <c r="C174" s="391"/>
      <c r="D174" s="129"/>
      <c r="E174" s="129"/>
      <c r="F174" s="129"/>
      <c r="G174" s="129"/>
      <c r="H174" s="129"/>
    </row>
    <row r="175" spans="3:8" s="120" customFormat="1" x14ac:dyDescent="0.2">
      <c r="C175" s="391"/>
      <c r="D175" s="129"/>
      <c r="E175" s="129"/>
      <c r="F175" s="129"/>
      <c r="G175" s="129"/>
      <c r="H175" s="129"/>
    </row>
    <row r="176" spans="3:8" s="120" customFormat="1" x14ac:dyDescent="0.2">
      <c r="C176" s="391"/>
      <c r="D176" s="129"/>
      <c r="E176" s="129"/>
      <c r="F176" s="129"/>
      <c r="G176" s="129"/>
      <c r="H176" s="129"/>
    </row>
    <row r="177" spans="3:8" s="120" customFormat="1" x14ac:dyDescent="0.2">
      <c r="C177" s="391"/>
      <c r="D177" s="129"/>
      <c r="E177" s="129"/>
      <c r="F177" s="129"/>
      <c r="G177" s="129"/>
      <c r="H177" s="129"/>
    </row>
    <row r="178" spans="3:8" s="120" customFormat="1" x14ac:dyDescent="0.2">
      <c r="C178" s="391"/>
      <c r="D178" s="129"/>
      <c r="E178" s="129"/>
      <c r="F178" s="129"/>
      <c r="G178" s="129"/>
      <c r="H178" s="129"/>
    </row>
    <row r="179" spans="3:8" s="120" customFormat="1" x14ac:dyDescent="0.2">
      <c r="C179" s="391"/>
      <c r="D179" s="129"/>
      <c r="E179" s="129"/>
      <c r="F179" s="129"/>
      <c r="G179" s="129"/>
      <c r="H179" s="129"/>
    </row>
    <row r="180" spans="3:8" s="120" customFormat="1" x14ac:dyDescent="0.2">
      <c r="C180" s="391"/>
      <c r="D180" s="129"/>
      <c r="E180" s="129"/>
      <c r="F180" s="129"/>
      <c r="G180" s="129"/>
      <c r="H180" s="129"/>
    </row>
    <row r="181" spans="3:8" s="120" customFormat="1" x14ac:dyDescent="0.2">
      <c r="C181" s="391"/>
      <c r="D181" s="129"/>
      <c r="E181" s="129"/>
      <c r="F181" s="129"/>
      <c r="G181" s="129"/>
      <c r="H181" s="129"/>
    </row>
    <row r="182" spans="3:8" s="120" customFormat="1" x14ac:dyDescent="0.2">
      <c r="C182" s="391"/>
      <c r="D182" s="129"/>
      <c r="E182" s="129"/>
      <c r="F182" s="129"/>
      <c r="G182" s="129"/>
      <c r="H182" s="129"/>
    </row>
    <row r="183" spans="3:8" s="120" customFormat="1" x14ac:dyDescent="0.2">
      <c r="C183" s="391"/>
      <c r="D183" s="129"/>
      <c r="E183" s="129"/>
      <c r="F183" s="129"/>
      <c r="G183" s="129"/>
      <c r="H183" s="129"/>
    </row>
    <row r="184" spans="3:8" s="120" customFormat="1" x14ac:dyDescent="0.2">
      <c r="C184" s="391"/>
      <c r="D184" s="129"/>
      <c r="E184" s="129"/>
      <c r="F184" s="129"/>
      <c r="G184" s="129"/>
      <c r="H184" s="129"/>
    </row>
    <row r="185" spans="3:8" s="120" customFormat="1" x14ac:dyDescent="0.2">
      <c r="C185" s="391"/>
      <c r="D185" s="129"/>
      <c r="E185" s="129"/>
      <c r="F185" s="129"/>
      <c r="G185" s="129"/>
      <c r="H185" s="129"/>
    </row>
    <row r="186" spans="3:8" s="120" customFormat="1" x14ac:dyDescent="0.2">
      <c r="C186" s="391"/>
      <c r="D186" s="129"/>
      <c r="E186" s="129"/>
      <c r="F186" s="129"/>
      <c r="G186" s="129"/>
      <c r="H186" s="129"/>
    </row>
    <row r="187" spans="3:8" s="120" customFormat="1" x14ac:dyDescent="0.2">
      <c r="C187" s="391"/>
      <c r="D187" s="129"/>
      <c r="E187" s="129"/>
      <c r="F187" s="129"/>
      <c r="G187" s="129"/>
      <c r="H187" s="129"/>
    </row>
    <row r="188" spans="3:8" s="120" customFormat="1" x14ac:dyDescent="0.2">
      <c r="C188" s="391"/>
      <c r="D188" s="129"/>
      <c r="E188" s="129"/>
      <c r="F188" s="129"/>
      <c r="G188" s="129"/>
      <c r="H188" s="129"/>
    </row>
    <row r="189" spans="3:8" s="120" customFormat="1" x14ac:dyDescent="0.2">
      <c r="C189" s="391"/>
      <c r="D189" s="129"/>
      <c r="E189" s="129"/>
      <c r="F189" s="129"/>
      <c r="G189" s="129"/>
      <c r="H189" s="129"/>
    </row>
    <row r="190" spans="3:8" s="120" customFormat="1" x14ac:dyDescent="0.2">
      <c r="C190" s="391"/>
      <c r="D190" s="129"/>
      <c r="E190" s="129"/>
      <c r="F190" s="129"/>
      <c r="G190" s="129"/>
      <c r="H190" s="129"/>
    </row>
    <row r="191" spans="3:8" s="120" customFormat="1" x14ac:dyDescent="0.2">
      <c r="C191" s="391"/>
      <c r="D191" s="129"/>
      <c r="E191" s="129"/>
      <c r="F191" s="129"/>
      <c r="G191" s="129"/>
      <c r="H191" s="129"/>
    </row>
    <row r="192" spans="3:8" s="120" customFormat="1" x14ac:dyDescent="0.2">
      <c r="C192" s="391"/>
      <c r="D192" s="129"/>
      <c r="E192" s="129"/>
      <c r="F192" s="129"/>
      <c r="G192" s="129"/>
      <c r="H192" s="129"/>
    </row>
    <row r="193" spans="3:8" s="120" customFormat="1" x14ac:dyDescent="0.2">
      <c r="C193" s="391"/>
      <c r="D193" s="129"/>
      <c r="E193" s="129"/>
      <c r="F193" s="129"/>
      <c r="G193" s="129"/>
      <c r="H193" s="129"/>
    </row>
    <row r="194" spans="3:8" s="120" customFormat="1" x14ac:dyDescent="0.2">
      <c r="C194" s="391"/>
      <c r="D194" s="129"/>
      <c r="E194" s="129"/>
      <c r="F194" s="129"/>
      <c r="G194" s="129"/>
      <c r="H194" s="129"/>
    </row>
    <row r="195" spans="3:8" s="120" customFormat="1" x14ac:dyDescent="0.2">
      <c r="C195" s="391"/>
      <c r="D195" s="129"/>
      <c r="E195" s="129"/>
      <c r="F195" s="129"/>
      <c r="G195" s="129"/>
      <c r="H195" s="129"/>
    </row>
    <row r="196" spans="3:8" s="120" customFormat="1" x14ac:dyDescent="0.2">
      <c r="C196" s="391"/>
      <c r="D196" s="129"/>
      <c r="E196" s="129"/>
      <c r="F196" s="129"/>
      <c r="G196" s="129"/>
      <c r="H196" s="129"/>
    </row>
    <row r="197" spans="3:8" s="120" customFormat="1" x14ac:dyDescent="0.2">
      <c r="C197" s="391"/>
      <c r="D197" s="129"/>
      <c r="E197" s="129"/>
      <c r="F197" s="129"/>
      <c r="G197" s="129"/>
      <c r="H197" s="129"/>
    </row>
    <row r="198" spans="3:8" s="120" customFormat="1" x14ac:dyDescent="0.2">
      <c r="C198" s="391"/>
      <c r="D198" s="129"/>
      <c r="E198" s="129"/>
      <c r="F198" s="129"/>
      <c r="G198" s="129"/>
      <c r="H198" s="129"/>
    </row>
    <row r="199" spans="3:8" s="120" customFormat="1" x14ac:dyDescent="0.2">
      <c r="C199" s="391"/>
      <c r="D199" s="129"/>
      <c r="E199" s="129"/>
      <c r="F199" s="129"/>
      <c r="G199" s="129"/>
      <c r="H199" s="129"/>
    </row>
    <row r="200" spans="3:8" s="120" customFormat="1" x14ac:dyDescent="0.2">
      <c r="C200" s="391"/>
      <c r="D200" s="129"/>
      <c r="E200" s="129"/>
      <c r="F200" s="129"/>
      <c r="G200" s="129"/>
      <c r="H200" s="129"/>
    </row>
    <row r="201" spans="3:8" s="120" customFormat="1" x14ac:dyDescent="0.2">
      <c r="C201" s="391"/>
      <c r="D201" s="129"/>
      <c r="E201" s="129"/>
      <c r="F201" s="129"/>
      <c r="G201" s="129"/>
      <c r="H201" s="129"/>
    </row>
    <row r="202" spans="3:8" s="120" customFormat="1" x14ac:dyDescent="0.2">
      <c r="C202" s="391"/>
      <c r="D202" s="129"/>
      <c r="E202" s="129"/>
      <c r="F202" s="129"/>
      <c r="G202" s="129"/>
      <c r="H202" s="129"/>
    </row>
    <row r="203" spans="3:8" s="120" customFormat="1" x14ac:dyDescent="0.2">
      <c r="C203" s="391"/>
      <c r="D203" s="129"/>
      <c r="E203" s="129"/>
      <c r="F203" s="129"/>
      <c r="G203" s="129"/>
      <c r="H203" s="129"/>
    </row>
    <row r="204" spans="3:8" s="120" customFormat="1" x14ac:dyDescent="0.2">
      <c r="C204" s="391"/>
      <c r="D204" s="129"/>
      <c r="E204" s="129"/>
      <c r="F204" s="129"/>
      <c r="G204" s="129"/>
      <c r="H204" s="129"/>
    </row>
    <row r="205" spans="3:8" s="120" customFormat="1" x14ac:dyDescent="0.2">
      <c r="C205" s="391"/>
      <c r="D205" s="129"/>
      <c r="E205" s="129"/>
      <c r="F205" s="129"/>
      <c r="G205" s="129"/>
      <c r="H205" s="129"/>
    </row>
    <row r="206" spans="3:8" s="120" customFormat="1" x14ac:dyDescent="0.2">
      <c r="C206" s="391"/>
      <c r="D206" s="129"/>
      <c r="E206" s="129"/>
      <c r="F206" s="129"/>
      <c r="G206" s="129"/>
      <c r="H206" s="129"/>
    </row>
    <row r="207" spans="3:8" s="120" customFormat="1" x14ac:dyDescent="0.2">
      <c r="C207" s="391"/>
      <c r="D207" s="129"/>
      <c r="E207" s="129"/>
      <c r="F207" s="129"/>
      <c r="G207" s="129"/>
      <c r="H207" s="129"/>
    </row>
    <row r="208" spans="3:8" s="120" customFormat="1" x14ac:dyDescent="0.2">
      <c r="C208" s="391"/>
      <c r="D208" s="129"/>
      <c r="E208" s="129"/>
      <c r="F208" s="129"/>
      <c r="G208" s="129"/>
      <c r="H208" s="129"/>
    </row>
    <row r="209" spans="3:8" s="120" customFormat="1" x14ac:dyDescent="0.2">
      <c r="C209" s="391"/>
      <c r="D209" s="129"/>
      <c r="E209" s="129"/>
      <c r="F209" s="129"/>
      <c r="G209" s="129"/>
      <c r="H209" s="129"/>
    </row>
    <row r="210" spans="3:8" s="120" customFormat="1" x14ac:dyDescent="0.2">
      <c r="C210" s="391"/>
      <c r="D210" s="129"/>
      <c r="E210" s="129"/>
      <c r="F210" s="129"/>
      <c r="G210" s="129"/>
      <c r="H210" s="129"/>
    </row>
    <row r="211" spans="3:8" s="120" customFormat="1" x14ac:dyDescent="0.2">
      <c r="C211" s="391"/>
      <c r="D211" s="129"/>
      <c r="E211" s="129"/>
      <c r="F211" s="129"/>
      <c r="G211" s="129"/>
      <c r="H211" s="129"/>
    </row>
    <row r="212" spans="3:8" s="120" customFormat="1" x14ac:dyDescent="0.2">
      <c r="C212" s="391"/>
      <c r="D212" s="129"/>
      <c r="E212" s="129"/>
      <c r="F212" s="129"/>
      <c r="G212" s="129"/>
      <c r="H212" s="129"/>
    </row>
    <row r="213" spans="3:8" s="120" customFormat="1" x14ac:dyDescent="0.2">
      <c r="C213" s="391"/>
      <c r="D213" s="129"/>
      <c r="E213" s="129"/>
      <c r="F213" s="129"/>
      <c r="G213" s="129"/>
      <c r="H213" s="129"/>
    </row>
    <row r="214" spans="3:8" s="120" customFormat="1" x14ac:dyDescent="0.2">
      <c r="C214" s="391"/>
      <c r="D214" s="129"/>
      <c r="E214" s="129"/>
      <c r="F214" s="129"/>
      <c r="G214" s="129"/>
      <c r="H214" s="129"/>
    </row>
    <row r="215" spans="3:8" s="120" customFormat="1" x14ac:dyDescent="0.2">
      <c r="C215" s="391"/>
      <c r="D215" s="129"/>
      <c r="E215" s="129"/>
      <c r="F215" s="129"/>
      <c r="G215" s="129"/>
      <c r="H215" s="129"/>
    </row>
    <row r="216" spans="3:8" s="120" customFormat="1" x14ac:dyDescent="0.2">
      <c r="C216" s="391"/>
      <c r="D216" s="129"/>
      <c r="E216" s="129"/>
      <c r="F216" s="129"/>
      <c r="G216" s="129"/>
      <c r="H216" s="129"/>
    </row>
    <row r="217" spans="3:8" s="120" customFormat="1" x14ac:dyDescent="0.2">
      <c r="C217" s="391"/>
      <c r="D217" s="129"/>
      <c r="E217" s="129"/>
      <c r="F217" s="129"/>
      <c r="G217" s="129"/>
      <c r="H217" s="129"/>
    </row>
    <row r="218" spans="3:8" s="120" customFormat="1" x14ac:dyDescent="0.2">
      <c r="C218" s="391"/>
      <c r="D218" s="129"/>
      <c r="E218" s="129"/>
      <c r="F218" s="129"/>
      <c r="G218" s="129"/>
      <c r="H218" s="129"/>
    </row>
    <row r="219" spans="3:8" s="120" customFormat="1" x14ac:dyDescent="0.2">
      <c r="C219" s="391"/>
      <c r="D219" s="129"/>
      <c r="E219" s="129"/>
      <c r="F219" s="129"/>
      <c r="G219" s="129"/>
      <c r="H219" s="129"/>
    </row>
    <row r="220" spans="3:8" s="120" customFormat="1" x14ac:dyDescent="0.2">
      <c r="C220" s="391"/>
      <c r="D220" s="129"/>
      <c r="E220" s="129"/>
      <c r="F220" s="129"/>
      <c r="G220" s="129"/>
      <c r="H220" s="129"/>
    </row>
    <row r="221" spans="3:8" s="120" customFormat="1" x14ac:dyDescent="0.2">
      <c r="C221" s="391"/>
      <c r="D221" s="129"/>
      <c r="E221" s="129"/>
      <c r="F221" s="129"/>
      <c r="G221" s="129"/>
      <c r="H221" s="129"/>
    </row>
    <row r="222" spans="3:8" s="120" customFormat="1" x14ac:dyDescent="0.2">
      <c r="C222" s="391"/>
      <c r="D222" s="129"/>
      <c r="E222" s="129"/>
      <c r="F222" s="129"/>
      <c r="G222" s="129"/>
      <c r="H222" s="129"/>
    </row>
    <row r="223" spans="3:8" s="120" customFormat="1" x14ac:dyDescent="0.2">
      <c r="C223" s="391"/>
      <c r="D223" s="129"/>
      <c r="E223" s="129"/>
      <c r="F223" s="129"/>
      <c r="G223" s="129"/>
      <c r="H223" s="129"/>
    </row>
    <row r="224" spans="3:8" s="120" customFormat="1" x14ac:dyDescent="0.2">
      <c r="C224" s="391"/>
      <c r="D224" s="129"/>
      <c r="E224" s="129"/>
      <c r="F224" s="129"/>
      <c r="G224" s="129"/>
      <c r="H224" s="129"/>
    </row>
    <row r="225" spans="3:8" s="120" customFormat="1" x14ac:dyDescent="0.2">
      <c r="C225" s="391"/>
      <c r="D225" s="129"/>
      <c r="E225" s="129"/>
      <c r="F225" s="129"/>
      <c r="G225" s="129"/>
      <c r="H225" s="129"/>
    </row>
    <row r="226" spans="3:8" s="120" customFormat="1" x14ac:dyDescent="0.2">
      <c r="C226" s="391"/>
      <c r="D226" s="129"/>
      <c r="E226" s="129"/>
      <c r="F226" s="129"/>
      <c r="G226" s="129"/>
      <c r="H226" s="129"/>
    </row>
    <row r="227" spans="3:8" s="120" customFormat="1" x14ac:dyDescent="0.2">
      <c r="C227" s="391"/>
      <c r="D227" s="129"/>
      <c r="E227" s="129"/>
      <c r="F227" s="129"/>
      <c r="G227" s="129"/>
      <c r="H227" s="129"/>
    </row>
    <row r="228" spans="3:8" s="120" customFormat="1" x14ac:dyDescent="0.2">
      <c r="C228" s="391"/>
      <c r="D228" s="129"/>
      <c r="E228" s="129"/>
      <c r="F228" s="129"/>
      <c r="G228" s="129"/>
      <c r="H228" s="129"/>
    </row>
    <row r="229" spans="3:8" s="120" customFormat="1" x14ac:dyDescent="0.2">
      <c r="C229" s="391"/>
      <c r="D229" s="129"/>
      <c r="E229" s="129"/>
      <c r="F229" s="129"/>
      <c r="G229" s="129"/>
      <c r="H229" s="129"/>
    </row>
    <row r="230" spans="3:8" s="120" customFormat="1" x14ac:dyDescent="0.2">
      <c r="C230" s="391"/>
      <c r="D230" s="129"/>
      <c r="E230" s="129"/>
      <c r="F230" s="129"/>
      <c r="G230" s="129"/>
      <c r="H230" s="129"/>
    </row>
    <row r="231" spans="3:8" s="120" customFormat="1" x14ac:dyDescent="0.2">
      <c r="C231" s="391"/>
      <c r="D231" s="129"/>
      <c r="E231" s="129"/>
      <c r="F231" s="129"/>
      <c r="G231" s="129"/>
      <c r="H231" s="129"/>
    </row>
    <row r="232" spans="3:8" s="120" customFormat="1" x14ac:dyDescent="0.2">
      <c r="C232" s="391"/>
      <c r="D232" s="129"/>
      <c r="E232" s="129"/>
      <c r="F232" s="129"/>
      <c r="G232" s="129"/>
      <c r="H232" s="129"/>
    </row>
    <row r="233" spans="3:8" s="120" customFormat="1" x14ac:dyDescent="0.2">
      <c r="C233" s="391"/>
      <c r="D233" s="129"/>
      <c r="E233" s="129"/>
      <c r="F233" s="129"/>
      <c r="G233" s="129"/>
      <c r="H233" s="129"/>
    </row>
    <row r="234" spans="3:8" s="120" customFormat="1" x14ac:dyDescent="0.2">
      <c r="C234" s="391"/>
      <c r="D234" s="129"/>
      <c r="E234" s="129"/>
      <c r="F234" s="129"/>
      <c r="G234" s="129"/>
      <c r="H234" s="129"/>
    </row>
    <row r="235" spans="3:8" s="120" customFormat="1" x14ac:dyDescent="0.2">
      <c r="C235" s="391"/>
      <c r="D235" s="129"/>
      <c r="E235" s="129"/>
      <c r="F235" s="129"/>
      <c r="G235" s="129"/>
      <c r="H235" s="129"/>
    </row>
    <row r="236" spans="3:8" s="120" customFormat="1" x14ac:dyDescent="0.2">
      <c r="C236" s="391"/>
      <c r="D236" s="129"/>
      <c r="E236" s="129"/>
      <c r="F236" s="129"/>
      <c r="G236" s="129"/>
      <c r="H236" s="129"/>
    </row>
    <row r="237" spans="3:8" s="120" customFormat="1" x14ac:dyDescent="0.2">
      <c r="C237" s="391"/>
      <c r="D237" s="129"/>
      <c r="E237" s="129"/>
      <c r="F237" s="129"/>
      <c r="G237" s="129"/>
      <c r="H237" s="129"/>
    </row>
    <row r="238" spans="3:8" s="120" customFormat="1" x14ac:dyDescent="0.2">
      <c r="C238" s="391"/>
      <c r="D238" s="129"/>
      <c r="E238" s="129"/>
      <c r="F238" s="129"/>
      <c r="G238" s="129"/>
      <c r="H238" s="129"/>
    </row>
    <row r="239" spans="3:8" s="120" customFormat="1" x14ac:dyDescent="0.2">
      <c r="C239" s="391"/>
      <c r="D239" s="129"/>
      <c r="E239" s="129"/>
      <c r="F239" s="129"/>
      <c r="G239" s="129"/>
      <c r="H239" s="129"/>
    </row>
    <row r="240" spans="3:8" s="120" customFormat="1" x14ac:dyDescent="0.2">
      <c r="C240" s="391"/>
      <c r="D240" s="129"/>
      <c r="E240" s="129"/>
      <c r="F240" s="129"/>
      <c r="G240" s="129"/>
      <c r="H240" s="129"/>
    </row>
    <row r="241" spans="3:8" s="120" customFormat="1" x14ac:dyDescent="0.2">
      <c r="C241" s="391"/>
      <c r="D241" s="129"/>
      <c r="E241" s="129"/>
      <c r="F241" s="129"/>
      <c r="G241" s="129"/>
      <c r="H241" s="129"/>
    </row>
    <row r="242" spans="3:8" s="120" customFormat="1" x14ac:dyDescent="0.2">
      <c r="C242" s="391"/>
      <c r="D242" s="129"/>
      <c r="E242" s="129"/>
      <c r="F242" s="129"/>
      <c r="G242" s="129"/>
      <c r="H242" s="129"/>
    </row>
    <row r="243" spans="3:8" s="120" customFormat="1" x14ac:dyDescent="0.2">
      <c r="C243" s="391"/>
      <c r="D243" s="129"/>
      <c r="E243" s="129"/>
      <c r="F243" s="129"/>
      <c r="G243" s="129"/>
      <c r="H243" s="129"/>
    </row>
    <row r="244" spans="3:8" s="120" customFormat="1" x14ac:dyDescent="0.2">
      <c r="C244" s="391"/>
      <c r="D244" s="129"/>
      <c r="E244" s="129"/>
      <c r="F244" s="129"/>
      <c r="G244" s="129"/>
      <c r="H244" s="129"/>
    </row>
    <row r="245" spans="3:8" s="120" customFormat="1" x14ac:dyDescent="0.2">
      <c r="C245" s="391"/>
      <c r="D245" s="129"/>
      <c r="E245" s="129"/>
      <c r="F245" s="129"/>
      <c r="G245" s="129"/>
      <c r="H245" s="129"/>
    </row>
    <row r="246" spans="3:8" s="120" customFormat="1" x14ac:dyDescent="0.2">
      <c r="C246" s="391"/>
      <c r="D246" s="129"/>
      <c r="E246" s="129"/>
      <c r="F246" s="129"/>
      <c r="G246" s="129"/>
      <c r="H246" s="129"/>
    </row>
    <row r="247" spans="3:8" s="120" customFormat="1" x14ac:dyDescent="0.2">
      <c r="C247" s="391"/>
      <c r="D247" s="129"/>
      <c r="E247" s="129"/>
      <c r="F247" s="129"/>
      <c r="G247" s="129"/>
      <c r="H247" s="129"/>
    </row>
    <row r="248" spans="3:8" s="120" customFormat="1" x14ac:dyDescent="0.2">
      <c r="C248" s="391"/>
      <c r="D248" s="129"/>
      <c r="E248" s="129"/>
      <c r="F248" s="129"/>
      <c r="G248" s="129"/>
      <c r="H248" s="129"/>
    </row>
    <row r="249" spans="3:8" s="120" customFormat="1" x14ac:dyDescent="0.2">
      <c r="C249" s="391"/>
      <c r="D249" s="129"/>
      <c r="E249" s="129"/>
      <c r="F249" s="129"/>
      <c r="G249" s="129"/>
      <c r="H249" s="129"/>
    </row>
    <row r="250" spans="3:8" s="120" customFormat="1" x14ac:dyDescent="0.2">
      <c r="C250" s="391"/>
      <c r="D250" s="129"/>
      <c r="E250" s="129"/>
      <c r="F250" s="129"/>
      <c r="G250" s="129"/>
      <c r="H250" s="129"/>
    </row>
    <row r="251" spans="3:8" s="120" customFormat="1" x14ac:dyDescent="0.2">
      <c r="C251" s="391"/>
      <c r="D251" s="129"/>
      <c r="E251" s="129"/>
      <c r="F251" s="129"/>
      <c r="G251" s="129"/>
      <c r="H251" s="129"/>
    </row>
    <row r="252" spans="3:8" s="120" customFormat="1" x14ac:dyDescent="0.2">
      <c r="C252" s="391"/>
      <c r="D252" s="129"/>
      <c r="E252" s="129"/>
      <c r="F252" s="129"/>
      <c r="G252" s="129"/>
      <c r="H252" s="129"/>
    </row>
    <row r="253" spans="3:8" s="120" customFormat="1" x14ac:dyDescent="0.2">
      <c r="C253" s="391"/>
      <c r="D253" s="129"/>
      <c r="E253" s="129"/>
      <c r="F253" s="129"/>
      <c r="G253" s="129"/>
      <c r="H253" s="129"/>
    </row>
    <row r="254" spans="3:8" s="120" customFormat="1" x14ac:dyDescent="0.2">
      <c r="C254" s="391"/>
      <c r="D254" s="129"/>
      <c r="E254" s="129"/>
      <c r="F254" s="129"/>
      <c r="G254" s="129"/>
      <c r="H254" s="129"/>
    </row>
    <row r="255" spans="3:8" s="120" customFormat="1" x14ac:dyDescent="0.2">
      <c r="C255" s="391"/>
      <c r="D255" s="129"/>
      <c r="E255" s="129"/>
      <c r="F255" s="129"/>
      <c r="G255" s="129"/>
      <c r="H255" s="129"/>
    </row>
    <row r="256" spans="3:8" s="120" customFormat="1" x14ac:dyDescent="0.2">
      <c r="C256" s="391"/>
      <c r="D256" s="129"/>
      <c r="E256" s="129"/>
      <c r="F256" s="129"/>
      <c r="G256" s="129"/>
      <c r="H256" s="129"/>
    </row>
    <row r="257" spans="3:8" s="120" customFormat="1" x14ac:dyDescent="0.2">
      <c r="C257" s="391"/>
      <c r="D257" s="129"/>
      <c r="E257" s="129"/>
      <c r="F257" s="129"/>
      <c r="G257" s="129"/>
      <c r="H257" s="129"/>
    </row>
    <row r="258" spans="3:8" s="120" customFormat="1" x14ac:dyDescent="0.2">
      <c r="C258" s="391"/>
      <c r="D258" s="129"/>
      <c r="E258" s="129"/>
      <c r="F258" s="129"/>
      <c r="G258" s="129"/>
      <c r="H258" s="129"/>
    </row>
    <row r="259" spans="3:8" s="120" customFormat="1" x14ac:dyDescent="0.2">
      <c r="C259" s="391"/>
      <c r="D259" s="129"/>
      <c r="E259" s="129"/>
      <c r="F259" s="129"/>
      <c r="G259" s="129"/>
      <c r="H259" s="129"/>
    </row>
    <row r="260" spans="3:8" s="120" customFormat="1" x14ac:dyDescent="0.2">
      <c r="C260" s="391"/>
      <c r="D260" s="129"/>
      <c r="E260" s="129"/>
      <c r="F260" s="129"/>
      <c r="G260" s="129"/>
      <c r="H260" s="129"/>
    </row>
    <row r="261" spans="3:8" s="120" customFormat="1" x14ac:dyDescent="0.2">
      <c r="C261" s="391"/>
      <c r="D261" s="129"/>
      <c r="E261" s="129"/>
      <c r="F261" s="129"/>
      <c r="G261" s="129"/>
      <c r="H261" s="129"/>
    </row>
    <row r="262" spans="3:8" s="120" customFormat="1" x14ac:dyDescent="0.2">
      <c r="C262" s="391"/>
      <c r="D262" s="129"/>
      <c r="E262" s="129"/>
      <c r="F262" s="129"/>
      <c r="G262" s="129"/>
      <c r="H262" s="129"/>
    </row>
    <row r="263" spans="3:8" s="120" customFormat="1" x14ac:dyDescent="0.2">
      <c r="C263" s="391"/>
      <c r="D263" s="129"/>
      <c r="E263" s="129"/>
      <c r="F263" s="129"/>
      <c r="G263" s="129"/>
      <c r="H263" s="129"/>
    </row>
    <row r="264" spans="3:8" s="120" customFormat="1" x14ac:dyDescent="0.2">
      <c r="C264" s="391"/>
      <c r="D264" s="129"/>
      <c r="E264" s="129"/>
      <c r="F264" s="129"/>
      <c r="G264" s="129"/>
      <c r="H264" s="129"/>
    </row>
    <row r="265" spans="3:8" s="120" customFormat="1" x14ac:dyDescent="0.2">
      <c r="C265" s="391"/>
      <c r="D265" s="129"/>
      <c r="E265" s="129"/>
      <c r="F265" s="129"/>
      <c r="G265" s="129"/>
      <c r="H265" s="129"/>
    </row>
    <row r="266" spans="3:8" s="120" customFormat="1" x14ac:dyDescent="0.2">
      <c r="C266" s="391"/>
      <c r="D266" s="129"/>
      <c r="E266" s="129"/>
      <c r="F266" s="129"/>
      <c r="G266" s="129"/>
      <c r="H266" s="129"/>
    </row>
    <row r="267" spans="3:8" s="120" customFormat="1" x14ac:dyDescent="0.2">
      <c r="C267" s="391"/>
      <c r="D267" s="129"/>
      <c r="E267" s="129"/>
      <c r="F267" s="129"/>
      <c r="G267" s="129"/>
      <c r="H267" s="129"/>
    </row>
    <row r="268" spans="3:8" s="120" customFormat="1" x14ac:dyDescent="0.2">
      <c r="C268" s="391"/>
      <c r="D268" s="129"/>
      <c r="E268" s="129"/>
      <c r="F268" s="129"/>
      <c r="G268" s="129"/>
      <c r="H268" s="129"/>
    </row>
    <row r="269" spans="3:8" s="120" customFormat="1" x14ac:dyDescent="0.2">
      <c r="C269" s="391"/>
      <c r="D269" s="129"/>
      <c r="E269" s="129"/>
      <c r="F269" s="129"/>
      <c r="G269" s="129"/>
      <c r="H269" s="129"/>
    </row>
    <row r="270" spans="3:8" s="120" customFormat="1" x14ac:dyDescent="0.2">
      <c r="C270" s="391"/>
      <c r="D270" s="129"/>
      <c r="E270" s="129"/>
      <c r="F270" s="129"/>
      <c r="G270" s="129"/>
      <c r="H270" s="129"/>
    </row>
    <row r="271" spans="3:8" s="120" customFormat="1" x14ac:dyDescent="0.2">
      <c r="C271" s="391"/>
      <c r="D271" s="129"/>
      <c r="E271" s="129"/>
      <c r="F271" s="129"/>
      <c r="G271" s="129"/>
      <c r="H271" s="129"/>
    </row>
    <row r="272" spans="3:8" s="120" customFormat="1" x14ac:dyDescent="0.2">
      <c r="C272" s="391"/>
      <c r="D272" s="129"/>
      <c r="E272" s="129"/>
      <c r="F272" s="129"/>
      <c r="G272" s="129"/>
      <c r="H272" s="129"/>
    </row>
    <row r="273" spans="3:8" s="120" customFormat="1" x14ac:dyDescent="0.2">
      <c r="C273" s="391"/>
      <c r="D273" s="129"/>
      <c r="E273" s="129"/>
      <c r="F273" s="129"/>
      <c r="G273" s="129"/>
      <c r="H273" s="129"/>
    </row>
    <row r="274" spans="3:8" s="120" customFormat="1" x14ac:dyDescent="0.2">
      <c r="C274" s="391"/>
      <c r="D274" s="129"/>
      <c r="E274" s="129"/>
      <c r="F274" s="129"/>
      <c r="G274" s="129"/>
      <c r="H274" s="129"/>
    </row>
    <row r="275" spans="3:8" s="120" customFormat="1" x14ac:dyDescent="0.2">
      <c r="C275" s="391"/>
      <c r="D275" s="129"/>
      <c r="E275" s="129"/>
      <c r="F275" s="129"/>
      <c r="G275" s="129"/>
      <c r="H275" s="129"/>
    </row>
    <row r="276" spans="3:8" s="120" customFormat="1" x14ac:dyDescent="0.2">
      <c r="C276" s="391"/>
      <c r="D276" s="129"/>
      <c r="E276" s="129"/>
      <c r="F276" s="129"/>
      <c r="G276" s="129"/>
      <c r="H276" s="129"/>
    </row>
    <row r="277" spans="3:8" s="120" customFormat="1" x14ac:dyDescent="0.2">
      <c r="C277" s="391"/>
      <c r="D277" s="129"/>
      <c r="E277" s="129"/>
      <c r="F277" s="129"/>
      <c r="G277" s="129"/>
      <c r="H277" s="129"/>
    </row>
    <row r="278" spans="3:8" s="120" customFormat="1" x14ac:dyDescent="0.2">
      <c r="C278" s="391"/>
      <c r="D278" s="129"/>
      <c r="E278" s="129"/>
      <c r="F278" s="129"/>
      <c r="G278" s="129"/>
      <c r="H278" s="129"/>
    </row>
    <row r="279" spans="3:8" s="120" customFormat="1" x14ac:dyDescent="0.2">
      <c r="C279" s="391"/>
      <c r="D279" s="129"/>
      <c r="E279" s="129"/>
      <c r="F279" s="129"/>
      <c r="G279" s="129"/>
      <c r="H279" s="129"/>
    </row>
    <row r="280" spans="3:8" s="120" customFormat="1" x14ac:dyDescent="0.2">
      <c r="C280" s="391"/>
      <c r="D280" s="129"/>
      <c r="E280" s="129"/>
      <c r="F280" s="129"/>
      <c r="G280" s="129"/>
      <c r="H280" s="129"/>
    </row>
    <row r="281" spans="3:8" s="120" customFormat="1" x14ac:dyDescent="0.2">
      <c r="C281" s="391"/>
      <c r="D281" s="129"/>
      <c r="E281" s="129"/>
      <c r="F281" s="129"/>
      <c r="G281" s="129"/>
      <c r="H281" s="129"/>
    </row>
    <row r="282" spans="3:8" s="120" customFormat="1" x14ac:dyDescent="0.2">
      <c r="C282" s="391"/>
      <c r="D282" s="129"/>
      <c r="E282" s="129"/>
      <c r="F282" s="129"/>
      <c r="G282" s="129"/>
      <c r="H282" s="129"/>
    </row>
    <row r="283" spans="3:8" s="120" customFormat="1" x14ac:dyDescent="0.2">
      <c r="C283" s="391"/>
      <c r="D283" s="129"/>
      <c r="E283" s="129"/>
      <c r="F283" s="129"/>
      <c r="G283" s="129"/>
      <c r="H283" s="129"/>
    </row>
    <row r="284" spans="3:8" s="120" customFormat="1" x14ac:dyDescent="0.2">
      <c r="C284" s="391"/>
      <c r="D284" s="129"/>
      <c r="E284" s="129"/>
      <c r="F284" s="129"/>
      <c r="G284" s="129"/>
      <c r="H284" s="129"/>
    </row>
    <row r="285" spans="3:8" s="120" customFormat="1" x14ac:dyDescent="0.2">
      <c r="C285" s="391"/>
      <c r="D285" s="129"/>
      <c r="E285" s="129"/>
      <c r="F285" s="129"/>
      <c r="G285" s="129"/>
      <c r="H285" s="129"/>
    </row>
    <row r="286" spans="3:8" s="120" customFormat="1" x14ac:dyDescent="0.2">
      <c r="C286" s="391"/>
      <c r="D286" s="129"/>
      <c r="E286" s="129"/>
      <c r="F286" s="129"/>
      <c r="G286" s="129"/>
      <c r="H286" s="129"/>
    </row>
    <row r="287" spans="3:8" s="120" customFormat="1" x14ac:dyDescent="0.2">
      <c r="C287" s="391"/>
      <c r="D287" s="129"/>
      <c r="E287" s="129"/>
      <c r="F287" s="129"/>
      <c r="G287" s="129"/>
      <c r="H287" s="129"/>
    </row>
    <row r="288" spans="3:8" s="120" customFormat="1" x14ac:dyDescent="0.2">
      <c r="C288" s="391"/>
      <c r="D288" s="129"/>
      <c r="E288" s="129"/>
      <c r="F288" s="129"/>
      <c r="G288" s="129"/>
      <c r="H288" s="129"/>
    </row>
    <row r="289" spans="3:8" s="120" customFormat="1" x14ac:dyDescent="0.2">
      <c r="C289" s="391"/>
      <c r="D289" s="129"/>
      <c r="E289" s="129"/>
      <c r="F289" s="129"/>
      <c r="G289" s="129"/>
      <c r="H289" s="129"/>
    </row>
    <row r="290" spans="3:8" s="120" customFormat="1" x14ac:dyDescent="0.2">
      <c r="C290" s="391"/>
      <c r="D290" s="129"/>
      <c r="E290" s="129"/>
      <c r="F290" s="129"/>
      <c r="G290" s="129"/>
      <c r="H290" s="129"/>
    </row>
    <row r="291" spans="3:8" s="120" customFormat="1" x14ac:dyDescent="0.2">
      <c r="C291" s="391"/>
      <c r="D291" s="129"/>
      <c r="E291" s="129"/>
      <c r="F291" s="129"/>
      <c r="G291" s="129"/>
      <c r="H291" s="129"/>
    </row>
    <row r="292" spans="3:8" s="120" customFormat="1" x14ac:dyDescent="0.2">
      <c r="C292" s="391"/>
      <c r="D292" s="129"/>
      <c r="E292" s="129"/>
      <c r="F292" s="129"/>
      <c r="G292" s="129"/>
      <c r="H292" s="129"/>
    </row>
    <row r="293" spans="3:8" s="120" customFormat="1" x14ac:dyDescent="0.2">
      <c r="C293" s="391"/>
      <c r="D293" s="129"/>
      <c r="E293" s="129"/>
      <c r="F293" s="129"/>
      <c r="G293" s="129"/>
      <c r="H293" s="129"/>
    </row>
    <row r="294" spans="3:8" s="120" customFormat="1" x14ac:dyDescent="0.2">
      <c r="C294" s="391"/>
      <c r="D294" s="129"/>
      <c r="E294" s="129"/>
      <c r="F294" s="129"/>
      <c r="G294" s="129"/>
      <c r="H294" s="129"/>
    </row>
    <row r="295" spans="3:8" s="120" customFormat="1" x14ac:dyDescent="0.2">
      <c r="C295" s="391"/>
      <c r="D295" s="129"/>
      <c r="E295" s="129"/>
      <c r="F295" s="129"/>
      <c r="G295" s="129"/>
      <c r="H295" s="129"/>
    </row>
    <row r="296" spans="3:8" s="120" customFormat="1" x14ac:dyDescent="0.2">
      <c r="C296" s="391"/>
      <c r="D296" s="129"/>
      <c r="E296" s="129"/>
      <c r="F296" s="129"/>
      <c r="G296" s="129"/>
      <c r="H296" s="129"/>
    </row>
    <row r="297" spans="3:8" s="120" customFormat="1" x14ac:dyDescent="0.2">
      <c r="C297" s="391"/>
      <c r="D297" s="129"/>
      <c r="E297" s="129"/>
      <c r="F297" s="129"/>
      <c r="G297" s="129"/>
      <c r="H297" s="129"/>
    </row>
    <row r="298" spans="3:8" s="120" customFormat="1" x14ac:dyDescent="0.2">
      <c r="C298" s="391"/>
      <c r="D298" s="129"/>
      <c r="E298" s="129"/>
      <c r="F298" s="129"/>
      <c r="G298" s="129"/>
      <c r="H298" s="129"/>
    </row>
    <row r="299" spans="3:8" s="120" customFormat="1" x14ac:dyDescent="0.2">
      <c r="C299" s="391"/>
      <c r="D299" s="129"/>
      <c r="E299" s="129"/>
      <c r="F299" s="129"/>
      <c r="G299" s="129"/>
      <c r="H299" s="129"/>
    </row>
    <row r="300" spans="3:8" s="120" customFormat="1" x14ac:dyDescent="0.2">
      <c r="C300" s="391"/>
      <c r="D300" s="129"/>
      <c r="E300" s="129"/>
      <c r="F300" s="129"/>
      <c r="G300" s="129"/>
      <c r="H300" s="129"/>
    </row>
    <row r="301" spans="3:8" s="120" customFormat="1" x14ac:dyDescent="0.2">
      <c r="C301" s="391"/>
      <c r="D301" s="129"/>
      <c r="E301" s="129"/>
      <c r="F301" s="129"/>
      <c r="G301" s="129"/>
      <c r="H301" s="129"/>
    </row>
    <row r="302" spans="3:8" s="120" customFormat="1" x14ac:dyDescent="0.2">
      <c r="C302" s="391"/>
      <c r="D302" s="129"/>
      <c r="E302" s="129"/>
      <c r="F302" s="129"/>
      <c r="G302" s="129"/>
      <c r="H302" s="129"/>
    </row>
    <row r="303" spans="3:8" s="120" customFormat="1" x14ac:dyDescent="0.2">
      <c r="C303" s="391"/>
      <c r="D303" s="129"/>
      <c r="E303" s="129"/>
      <c r="F303" s="129"/>
      <c r="G303" s="129"/>
      <c r="H303" s="129"/>
    </row>
    <row r="304" spans="3:8" s="120" customFormat="1" x14ac:dyDescent="0.2">
      <c r="C304" s="391"/>
      <c r="D304" s="129"/>
      <c r="E304" s="129"/>
      <c r="F304" s="129"/>
      <c r="G304" s="129"/>
      <c r="H304" s="129"/>
    </row>
    <row r="305" spans="3:8" s="120" customFormat="1" x14ac:dyDescent="0.2">
      <c r="C305" s="391"/>
      <c r="D305" s="129"/>
      <c r="E305" s="129"/>
      <c r="F305" s="129"/>
      <c r="G305" s="129"/>
      <c r="H305" s="129"/>
    </row>
    <row r="306" spans="3:8" s="120" customFormat="1" x14ac:dyDescent="0.2">
      <c r="C306" s="391"/>
      <c r="D306" s="129"/>
      <c r="E306" s="129"/>
      <c r="F306" s="129"/>
      <c r="G306" s="129"/>
      <c r="H306" s="129"/>
    </row>
    <row r="307" spans="3:8" s="120" customFormat="1" x14ac:dyDescent="0.2">
      <c r="C307" s="391"/>
      <c r="D307" s="129"/>
      <c r="E307" s="129"/>
      <c r="F307" s="129"/>
      <c r="G307" s="129"/>
      <c r="H307" s="129"/>
    </row>
    <row r="308" spans="3:8" s="120" customFormat="1" x14ac:dyDescent="0.2">
      <c r="C308" s="391"/>
      <c r="D308" s="129"/>
      <c r="E308" s="129"/>
      <c r="F308" s="129"/>
      <c r="G308" s="129"/>
      <c r="H308" s="129"/>
    </row>
    <row r="309" spans="3:8" s="120" customFormat="1" x14ac:dyDescent="0.2">
      <c r="C309" s="391"/>
      <c r="D309" s="129"/>
      <c r="E309" s="129"/>
      <c r="F309" s="129"/>
      <c r="G309" s="129"/>
      <c r="H309" s="129"/>
    </row>
    <row r="310" spans="3:8" s="120" customFormat="1" x14ac:dyDescent="0.2">
      <c r="C310" s="391"/>
      <c r="D310" s="129"/>
      <c r="E310" s="129"/>
      <c r="F310" s="129"/>
      <c r="G310" s="129"/>
      <c r="H310" s="129"/>
    </row>
    <row r="311" spans="3:8" s="120" customFormat="1" x14ac:dyDescent="0.2">
      <c r="C311" s="391"/>
      <c r="D311" s="129"/>
      <c r="E311" s="129"/>
      <c r="F311" s="129"/>
      <c r="G311" s="129"/>
      <c r="H311" s="129"/>
    </row>
    <row r="312" spans="3:8" s="120" customFormat="1" x14ac:dyDescent="0.2">
      <c r="C312" s="391"/>
      <c r="D312" s="129"/>
      <c r="E312" s="129"/>
      <c r="F312" s="129"/>
      <c r="G312" s="129"/>
      <c r="H312" s="129"/>
    </row>
    <row r="313" spans="3:8" s="120" customFormat="1" x14ac:dyDescent="0.2">
      <c r="C313" s="391"/>
      <c r="D313" s="129"/>
      <c r="E313" s="129"/>
      <c r="F313" s="129"/>
      <c r="G313" s="129"/>
      <c r="H313" s="129"/>
    </row>
    <row r="314" spans="3:8" s="120" customFormat="1" x14ac:dyDescent="0.2">
      <c r="C314" s="391"/>
      <c r="D314" s="129"/>
      <c r="E314" s="129"/>
      <c r="F314" s="129"/>
      <c r="G314" s="129"/>
      <c r="H314" s="129"/>
    </row>
    <row r="315" spans="3:8" s="120" customFormat="1" x14ac:dyDescent="0.2">
      <c r="C315" s="391"/>
      <c r="D315" s="129"/>
      <c r="E315" s="129"/>
      <c r="F315" s="129"/>
      <c r="G315" s="129"/>
      <c r="H315" s="129"/>
    </row>
    <row r="316" spans="3:8" s="120" customFormat="1" x14ac:dyDescent="0.2">
      <c r="C316" s="391"/>
      <c r="D316" s="129"/>
      <c r="E316" s="129"/>
      <c r="F316" s="129"/>
      <c r="G316" s="129"/>
      <c r="H316" s="129"/>
    </row>
    <row r="317" spans="3:8" s="120" customFormat="1" x14ac:dyDescent="0.2">
      <c r="C317" s="391"/>
      <c r="D317" s="129"/>
      <c r="E317" s="129"/>
      <c r="F317" s="129"/>
      <c r="G317" s="129"/>
      <c r="H317" s="129"/>
    </row>
    <row r="318" spans="3:8" s="120" customFormat="1" x14ac:dyDescent="0.2">
      <c r="C318" s="391"/>
      <c r="D318" s="129"/>
      <c r="E318" s="129"/>
      <c r="F318" s="129"/>
      <c r="G318" s="129"/>
      <c r="H318" s="129"/>
    </row>
    <row r="319" spans="3:8" s="120" customFormat="1" x14ac:dyDescent="0.2">
      <c r="C319" s="391"/>
      <c r="D319" s="129"/>
      <c r="E319" s="129"/>
      <c r="F319" s="129"/>
      <c r="G319" s="129"/>
      <c r="H319" s="129"/>
    </row>
    <row r="320" spans="3:8" s="120" customFormat="1" x14ac:dyDescent="0.2">
      <c r="C320" s="391"/>
      <c r="D320" s="129"/>
      <c r="E320" s="129"/>
      <c r="F320" s="129"/>
      <c r="G320" s="129"/>
      <c r="H320" s="129"/>
    </row>
    <row r="321" spans="3:8" s="120" customFormat="1" x14ac:dyDescent="0.2">
      <c r="C321" s="391"/>
      <c r="D321" s="129"/>
      <c r="E321" s="129"/>
      <c r="F321" s="129"/>
      <c r="G321" s="129"/>
      <c r="H321" s="129"/>
    </row>
    <row r="322" spans="3:8" s="120" customFormat="1" x14ac:dyDescent="0.2">
      <c r="C322" s="391"/>
      <c r="D322" s="129"/>
      <c r="E322" s="129"/>
      <c r="F322" s="129"/>
      <c r="G322" s="129"/>
      <c r="H322" s="129"/>
    </row>
    <row r="323" spans="3:8" s="120" customFormat="1" x14ac:dyDescent="0.2">
      <c r="C323" s="391"/>
      <c r="D323" s="129"/>
      <c r="E323" s="129"/>
      <c r="F323" s="129"/>
      <c r="G323" s="129"/>
      <c r="H323" s="129"/>
    </row>
    <row r="324" spans="3:8" s="120" customFormat="1" x14ac:dyDescent="0.2">
      <c r="C324" s="391"/>
      <c r="D324" s="129"/>
      <c r="E324" s="129"/>
      <c r="F324" s="129"/>
      <c r="G324" s="129"/>
      <c r="H324" s="129"/>
    </row>
    <row r="325" spans="3:8" s="120" customFormat="1" x14ac:dyDescent="0.2">
      <c r="C325" s="391"/>
      <c r="D325" s="129"/>
      <c r="E325" s="129"/>
      <c r="F325" s="129"/>
      <c r="G325" s="129"/>
      <c r="H325" s="129"/>
    </row>
    <row r="326" spans="3:8" s="120" customFormat="1" x14ac:dyDescent="0.2">
      <c r="C326" s="391"/>
      <c r="D326" s="129"/>
      <c r="E326" s="129"/>
      <c r="F326" s="129"/>
      <c r="G326" s="129"/>
      <c r="H326" s="129"/>
    </row>
    <row r="327" spans="3:8" s="120" customFormat="1" x14ac:dyDescent="0.2">
      <c r="C327" s="391"/>
      <c r="D327" s="129"/>
      <c r="E327" s="129"/>
      <c r="F327" s="129"/>
      <c r="G327" s="129"/>
      <c r="H327" s="129"/>
    </row>
    <row r="328" spans="3:8" s="120" customFormat="1" x14ac:dyDescent="0.2">
      <c r="C328" s="391"/>
      <c r="D328" s="129"/>
      <c r="E328" s="129"/>
      <c r="F328" s="129"/>
      <c r="G328" s="129"/>
      <c r="H328" s="129"/>
    </row>
    <row r="329" spans="3:8" s="120" customFormat="1" x14ac:dyDescent="0.2">
      <c r="C329" s="391"/>
      <c r="D329" s="129"/>
      <c r="E329" s="129"/>
      <c r="F329" s="129"/>
      <c r="G329" s="129"/>
      <c r="H329" s="129"/>
    </row>
    <row r="330" spans="3:8" s="120" customFormat="1" x14ac:dyDescent="0.2">
      <c r="C330" s="391"/>
      <c r="D330" s="129"/>
      <c r="E330" s="129"/>
      <c r="F330" s="129"/>
      <c r="G330" s="129"/>
      <c r="H330" s="129"/>
    </row>
    <row r="331" spans="3:8" s="120" customFormat="1" x14ac:dyDescent="0.2">
      <c r="C331" s="391"/>
      <c r="D331" s="129"/>
      <c r="E331" s="129"/>
      <c r="F331" s="129"/>
      <c r="G331" s="129"/>
      <c r="H331" s="129"/>
    </row>
    <row r="332" spans="3:8" s="120" customFormat="1" x14ac:dyDescent="0.2">
      <c r="C332" s="391"/>
      <c r="D332" s="129"/>
      <c r="E332" s="129"/>
      <c r="F332" s="129"/>
      <c r="G332" s="129"/>
      <c r="H332" s="129"/>
    </row>
    <row r="333" spans="3:8" s="120" customFormat="1" x14ac:dyDescent="0.2">
      <c r="C333" s="391"/>
      <c r="D333" s="129"/>
      <c r="E333" s="129"/>
      <c r="F333" s="129"/>
      <c r="G333" s="129"/>
      <c r="H333" s="129"/>
    </row>
    <row r="334" spans="3:8" s="120" customFormat="1" x14ac:dyDescent="0.2">
      <c r="C334" s="391"/>
      <c r="D334" s="129"/>
      <c r="E334" s="129"/>
      <c r="F334" s="129"/>
      <c r="G334" s="129"/>
      <c r="H334" s="129"/>
    </row>
    <row r="335" spans="3:8" s="120" customFormat="1" x14ac:dyDescent="0.2">
      <c r="C335" s="391"/>
      <c r="D335" s="129"/>
      <c r="E335" s="129"/>
      <c r="F335" s="129"/>
      <c r="G335" s="129"/>
      <c r="H335" s="129"/>
    </row>
    <row r="336" spans="3:8" s="120" customFormat="1" x14ac:dyDescent="0.2">
      <c r="C336" s="391"/>
      <c r="D336" s="129"/>
      <c r="E336" s="129"/>
      <c r="F336" s="129"/>
      <c r="G336" s="129"/>
      <c r="H336" s="129"/>
    </row>
    <row r="337" spans="3:8" s="120" customFormat="1" x14ac:dyDescent="0.2">
      <c r="C337" s="391"/>
      <c r="D337" s="129"/>
      <c r="E337" s="129"/>
      <c r="F337" s="129"/>
      <c r="G337" s="129"/>
      <c r="H337" s="129"/>
    </row>
    <row r="338" spans="3:8" s="120" customFormat="1" x14ac:dyDescent="0.2">
      <c r="C338" s="391"/>
      <c r="D338" s="129"/>
      <c r="E338" s="129"/>
      <c r="F338" s="129"/>
      <c r="G338" s="129"/>
      <c r="H338" s="129"/>
    </row>
    <row r="339" spans="3:8" s="120" customFormat="1" x14ac:dyDescent="0.2">
      <c r="C339" s="391"/>
      <c r="D339" s="129"/>
      <c r="E339" s="129"/>
      <c r="F339" s="129"/>
      <c r="G339" s="129"/>
      <c r="H339" s="129"/>
    </row>
    <row r="340" spans="3:8" s="120" customFormat="1" x14ac:dyDescent="0.2">
      <c r="C340" s="391"/>
      <c r="D340" s="129"/>
      <c r="E340" s="129"/>
      <c r="F340" s="129"/>
      <c r="G340" s="129"/>
      <c r="H340" s="129"/>
    </row>
    <row r="341" spans="3:8" s="120" customFormat="1" x14ac:dyDescent="0.2">
      <c r="C341" s="391"/>
      <c r="D341" s="129"/>
      <c r="E341" s="129"/>
      <c r="F341" s="129"/>
      <c r="G341" s="129"/>
      <c r="H341" s="129"/>
    </row>
    <row r="342" spans="3:8" s="120" customFormat="1" x14ac:dyDescent="0.2">
      <c r="C342" s="391"/>
      <c r="D342" s="129"/>
      <c r="E342" s="129"/>
      <c r="F342" s="129"/>
      <c r="G342" s="129"/>
      <c r="H342" s="129"/>
    </row>
    <row r="343" spans="3:8" s="120" customFormat="1" x14ac:dyDescent="0.2">
      <c r="C343" s="391"/>
      <c r="D343" s="129"/>
      <c r="E343" s="129"/>
      <c r="F343" s="129"/>
      <c r="G343" s="129"/>
      <c r="H343" s="129"/>
    </row>
    <row r="344" spans="3:8" s="120" customFormat="1" x14ac:dyDescent="0.2">
      <c r="C344" s="391"/>
      <c r="D344" s="129"/>
      <c r="E344" s="129"/>
      <c r="F344" s="129"/>
      <c r="G344" s="129"/>
      <c r="H344" s="129"/>
    </row>
    <row r="345" spans="3:8" s="120" customFormat="1" x14ac:dyDescent="0.2">
      <c r="C345" s="391"/>
      <c r="D345" s="129"/>
      <c r="E345" s="129"/>
      <c r="F345" s="129"/>
      <c r="G345" s="129"/>
      <c r="H345" s="129"/>
    </row>
    <row r="346" spans="3:8" s="120" customFormat="1" x14ac:dyDescent="0.2">
      <c r="C346" s="391"/>
      <c r="D346" s="129"/>
      <c r="E346" s="129"/>
      <c r="F346" s="129"/>
      <c r="G346" s="129"/>
      <c r="H346" s="129"/>
    </row>
    <row r="347" spans="3:8" s="120" customFormat="1" x14ac:dyDescent="0.2">
      <c r="C347" s="391"/>
      <c r="D347" s="129"/>
      <c r="E347" s="129"/>
      <c r="F347" s="129"/>
      <c r="G347" s="129"/>
      <c r="H347" s="129"/>
    </row>
    <row r="348" spans="3:8" s="120" customFormat="1" x14ac:dyDescent="0.2">
      <c r="C348" s="391"/>
      <c r="D348" s="129"/>
      <c r="E348" s="129"/>
      <c r="F348" s="129"/>
      <c r="G348" s="129"/>
      <c r="H348" s="129"/>
    </row>
    <row r="349" spans="3:8" s="120" customFormat="1" x14ac:dyDescent="0.2">
      <c r="C349" s="391"/>
      <c r="D349" s="129"/>
      <c r="E349" s="129"/>
      <c r="F349" s="129"/>
      <c r="G349" s="129"/>
      <c r="H349" s="129"/>
    </row>
    <row r="350" spans="3:8" s="120" customFormat="1" x14ac:dyDescent="0.2">
      <c r="C350" s="391"/>
      <c r="D350" s="129"/>
      <c r="E350" s="129"/>
      <c r="F350" s="129"/>
      <c r="G350" s="129"/>
      <c r="H350" s="129"/>
    </row>
    <row r="351" spans="3:8" s="120" customFormat="1" x14ac:dyDescent="0.2">
      <c r="C351" s="391"/>
      <c r="D351" s="129"/>
      <c r="E351" s="129"/>
      <c r="F351" s="129"/>
      <c r="G351" s="129"/>
      <c r="H351" s="129"/>
    </row>
    <row r="352" spans="3:8" s="120" customFormat="1" x14ac:dyDescent="0.2">
      <c r="C352" s="391"/>
      <c r="D352" s="129"/>
      <c r="E352" s="129"/>
      <c r="F352" s="129"/>
      <c r="G352" s="129"/>
      <c r="H352" s="129"/>
    </row>
    <row r="353" spans="3:8" s="120" customFormat="1" x14ac:dyDescent="0.2">
      <c r="C353" s="391"/>
      <c r="D353" s="129"/>
      <c r="E353" s="129"/>
      <c r="F353" s="129"/>
      <c r="G353" s="129"/>
      <c r="H353" s="129"/>
    </row>
    <row r="354" spans="3:8" s="120" customFormat="1" x14ac:dyDescent="0.2">
      <c r="C354" s="391"/>
      <c r="D354" s="129"/>
      <c r="E354" s="129"/>
      <c r="F354" s="129"/>
      <c r="G354" s="129"/>
      <c r="H354" s="129"/>
    </row>
    <row r="355" spans="3:8" s="120" customFormat="1" x14ac:dyDescent="0.2">
      <c r="C355" s="391"/>
      <c r="D355" s="129"/>
      <c r="E355" s="129"/>
      <c r="F355" s="129"/>
      <c r="G355" s="129"/>
      <c r="H355" s="129"/>
    </row>
    <row r="356" spans="3:8" s="120" customFormat="1" x14ac:dyDescent="0.2">
      <c r="C356" s="391"/>
      <c r="D356" s="129"/>
      <c r="E356" s="129"/>
      <c r="F356" s="129"/>
      <c r="G356" s="129"/>
      <c r="H356" s="129"/>
    </row>
    <row r="357" spans="3:8" s="120" customFormat="1" x14ac:dyDescent="0.2">
      <c r="C357" s="391"/>
      <c r="D357" s="129"/>
      <c r="E357" s="129"/>
      <c r="F357" s="129"/>
      <c r="G357" s="129"/>
      <c r="H357" s="129"/>
    </row>
    <row r="358" spans="3:8" s="120" customFormat="1" x14ac:dyDescent="0.2">
      <c r="C358" s="391"/>
      <c r="D358" s="129"/>
      <c r="E358" s="129"/>
      <c r="F358" s="129"/>
      <c r="G358" s="129"/>
      <c r="H358" s="129"/>
    </row>
    <row r="359" spans="3:8" s="120" customFormat="1" x14ac:dyDescent="0.2">
      <c r="C359" s="391"/>
      <c r="D359" s="129"/>
      <c r="E359" s="129"/>
      <c r="F359" s="129"/>
      <c r="G359" s="129"/>
      <c r="H359" s="129"/>
    </row>
    <row r="360" spans="3:8" s="120" customFormat="1" x14ac:dyDescent="0.2">
      <c r="C360" s="391"/>
      <c r="D360" s="129"/>
      <c r="E360" s="129"/>
      <c r="F360" s="129"/>
      <c r="G360" s="129"/>
      <c r="H360" s="129"/>
    </row>
    <row r="361" spans="3:8" s="120" customFormat="1" x14ac:dyDescent="0.2">
      <c r="C361" s="391"/>
      <c r="D361" s="129"/>
      <c r="E361" s="129"/>
      <c r="F361" s="129"/>
      <c r="G361" s="129"/>
      <c r="H361" s="129"/>
    </row>
    <row r="362" spans="3:8" s="120" customFormat="1" x14ac:dyDescent="0.2">
      <c r="C362" s="391"/>
      <c r="D362" s="129"/>
      <c r="E362" s="129"/>
      <c r="F362" s="129"/>
      <c r="G362" s="129"/>
      <c r="H362" s="129"/>
    </row>
    <row r="363" spans="3:8" s="120" customFormat="1" x14ac:dyDescent="0.2">
      <c r="C363" s="391"/>
      <c r="D363" s="129"/>
      <c r="E363" s="129"/>
      <c r="F363" s="129"/>
      <c r="G363" s="129"/>
      <c r="H363" s="129"/>
    </row>
    <row r="364" spans="3:8" s="120" customFormat="1" x14ac:dyDescent="0.2">
      <c r="C364" s="391"/>
      <c r="D364" s="129"/>
      <c r="E364" s="129"/>
      <c r="F364" s="129"/>
      <c r="G364" s="129"/>
      <c r="H364" s="129"/>
    </row>
    <row r="365" spans="3:8" s="120" customFormat="1" x14ac:dyDescent="0.2">
      <c r="C365" s="391"/>
      <c r="D365" s="129"/>
      <c r="E365" s="129"/>
      <c r="F365" s="129"/>
      <c r="G365" s="129"/>
      <c r="H365" s="129"/>
    </row>
    <row r="366" spans="3:8" s="120" customFormat="1" x14ac:dyDescent="0.2">
      <c r="C366" s="391"/>
      <c r="D366" s="129"/>
      <c r="E366" s="129"/>
      <c r="F366" s="129"/>
      <c r="G366" s="129"/>
      <c r="H366" s="129"/>
    </row>
    <row r="367" spans="3:8" s="120" customFormat="1" x14ac:dyDescent="0.2">
      <c r="C367" s="391"/>
      <c r="D367" s="129"/>
      <c r="E367" s="129"/>
      <c r="F367" s="129"/>
      <c r="G367" s="129"/>
      <c r="H367" s="129"/>
    </row>
    <row r="368" spans="3:8" s="120" customFormat="1" x14ac:dyDescent="0.2">
      <c r="C368" s="391"/>
      <c r="D368" s="129"/>
      <c r="E368" s="129"/>
      <c r="F368" s="129"/>
      <c r="G368" s="129"/>
      <c r="H368" s="129"/>
    </row>
    <row r="369" spans="3:8" s="120" customFormat="1" x14ac:dyDescent="0.2">
      <c r="C369" s="391"/>
      <c r="D369" s="129"/>
      <c r="E369" s="129"/>
      <c r="F369" s="129"/>
      <c r="G369" s="129"/>
      <c r="H369" s="129"/>
    </row>
    <row r="370" spans="3:8" s="120" customFormat="1" x14ac:dyDescent="0.2">
      <c r="C370" s="391"/>
      <c r="D370" s="129"/>
      <c r="E370" s="129"/>
      <c r="F370" s="129"/>
      <c r="G370" s="129"/>
      <c r="H370" s="129"/>
    </row>
    <row r="371" spans="3:8" s="120" customFormat="1" x14ac:dyDescent="0.2">
      <c r="C371" s="391"/>
      <c r="D371" s="129"/>
      <c r="E371" s="129"/>
      <c r="F371" s="129"/>
      <c r="G371" s="129"/>
      <c r="H371" s="129"/>
    </row>
    <row r="372" spans="3:8" s="120" customFormat="1" x14ac:dyDescent="0.2">
      <c r="C372" s="391"/>
      <c r="D372" s="129"/>
      <c r="E372" s="129"/>
      <c r="F372" s="129"/>
      <c r="G372" s="129"/>
      <c r="H372" s="129"/>
    </row>
    <row r="373" spans="3:8" s="120" customFormat="1" x14ac:dyDescent="0.2">
      <c r="C373" s="391"/>
      <c r="D373" s="129"/>
      <c r="E373" s="129"/>
      <c r="F373" s="129"/>
      <c r="G373" s="129"/>
      <c r="H373" s="129"/>
    </row>
    <row r="374" spans="3:8" s="120" customFormat="1" x14ac:dyDescent="0.2">
      <c r="C374" s="391"/>
      <c r="D374" s="129"/>
      <c r="E374" s="129"/>
      <c r="F374" s="129"/>
      <c r="G374" s="129"/>
      <c r="H374" s="129"/>
    </row>
    <row r="375" spans="3:8" s="120" customFormat="1" x14ac:dyDescent="0.2">
      <c r="C375" s="391"/>
      <c r="D375" s="129"/>
      <c r="E375" s="129"/>
      <c r="F375" s="129"/>
      <c r="G375" s="129"/>
      <c r="H375" s="129"/>
    </row>
    <row r="376" spans="3:8" s="120" customFormat="1" x14ac:dyDescent="0.2">
      <c r="C376" s="391"/>
      <c r="D376" s="129"/>
      <c r="E376" s="129"/>
      <c r="F376" s="129"/>
      <c r="G376" s="129"/>
      <c r="H376" s="129"/>
    </row>
    <row r="377" spans="3:8" s="120" customFormat="1" x14ac:dyDescent="0.2">
      <c r="C377" s="391"/>
      <c r="D377" s="129"/>
      <c r="E377" s="129"/>
      <c r="F377" s="129"/>
      <c r="G377" s="129"/>
      <c r="H377" s="129"/>
    </row>
    <row r="378" spans="3:8" s="120" customFormat="1" x14ac:dyDescent="0.2">
      <c r="C378" s="391"/>
      <c r="D378" s="129"/>
      <c r="E378" s="129"/>
      <c r="F378" s="129"/>
      <c r="G378" s="129"/>
      <c r="H378" s="129"/>
    </row>
    <row r="379" spans="3:8" s="120" customFormat="1" x14ac:dyDescent="0.2">
      <c r="C379" s="391"/>
      <c r="D379" s="129"/>
      <c r="E379" s="129"/>
      <c r="F379" s="129"/>
      <c r="G379" s="129"/>
      <c r="H379" s="129"/>
    </row>
    <row r="380" spans="3:8" s="120" customFormat="1" x14ac:dyDescent="0.2">
      <c r="C380" s="391"/>
      <c r="D380" s="129"/>
      <c r="E380" s="129"/>
      <c r="F380" s="129"/>
      <c r="G380" s="129"/>
      <c r="H380" s="129"/>
    </row>
    <row r="381" spans="3:8" s="120" customFormat="1" x14ac:dyDescent="0.2">
      <c r="C381" s="391"/>
      <c r="D381" s="129"/>
      <c r="E381" s="129"/>
      <c r="F381" s="129"/>
      <c r="G381" s="129"/>
      <c r="H381" s="129"/>
    </row>
    <row r="382" spans="3:8" s="120" customFormat="1" x14ac:dyDescent="0.2">
      <c r="C382" s="391"/>
      <c r="D382" s="129"/>
      <c r="E382" s="129"/>
      <c r="F382" s="129"/>
      <c r="G382" s="129"/>
      <c r="H382" s="129"/>
    </row>
    <row r="383" spans="3:8" s="120" customFormat="1" x14ac:dyDescent="0.2">
      <c r="C383" s="391"/>
      <c r="D383" s="129"/>
      <c r="E383" s="129"/>
      <c r="F383" s="129"/>
      <c r="G383" s="129"/>
      <c r="H383" s="129"/>
    </row>
    <row r="384" spans="3:8" s="120" customFormat="1" x14ac:dyDescent="0.2">
      <c r="C384" s="391"/>
      <c r="D384" s="129"/>
      <c r="E384" s="129"/>
      <c r="F384" s="129"/>
      <c r="G384" s="129"/>
      <c r="H384" s="129"/>
    </row>
    <row r="385" spans="3:8" s="120" customFormat="1" x14ac:dyDescent="0.2">
      <c r="C385" s="391"/>
      <c r="D385" s="129"/>
      <c r="E385" s="129"/>
      <c r="F385" s="129"/>
      <c r="G385" s="129"/>
      <c r="H385" s="129"/>
    </row>
    <row r="386" spans="3:8" s="120" customFormat="1" x14ac:dyDescent="0.2">
      <c r="C386" s="391"/>
      <c r="D386" s="129"/>
      <c r="E386" s="129"/>
      <c r="F386" s="129"/>
      <c r="G386" s="129"/>
      <c r="H386" s="129"/>
    </row>
    <row r="387" spans="3:8" s="120" customFormat="1" x14ac:dyDescent="0.2">
      <c r="C387" s="391"/>
      <c r="D387" s="129"/>
      <c r="E387" s="129"/>
      <c r="F387" s="129"/>
      <c r="G387" s="129"/>
      <c r="H387" s="129"/>
    </row>
    <row r="388" spans="3:8" s="120" customFormat="1" x14ac:dyDescent="0.2">
      <c r="C388" s="391"/>
      <c r="D388" s="129"/>
      <c r="E388" s="129"/>
      <c r="F388" s="129"/>
      <c r="G388" s="129"/>
      <c r="H388" s="129"/>
    </row>
    <row r="389" spans="3:8" s="120" customFormat="1" x14ac:dyDescent="0.2">
      <c r="C389" s="391"/>
      <c r="D389" s="129"/>
      <c r="E389" s="129"/>
      <c r="F389" s="129"/>
      <c r="G389" s="129"/>
      <c r="H389" s="129"/>
    </row>
    <row r="390" spans="3:8" s="120" customFormat="1" x14ac:dyDescent="0.2">
      <c r="C390" s="391"/>
      <c r="D390" s="129"/>
      <c r="E390" s="129"/>
      <c r="F390" s="129"/>
      <c r="G390" s="129"/>
      <c r="H390" s="129"/>
    </row>
    <row r="391" spans="3:8" s="120" customFormat="1" x14ac:dyDescent="0.2">
      <c r="C391" s="391"/>
      <c r="D391" s="129"/>
      <c r="E391" s="129"/>
      <c r="F391" s="129"/>
      <c r="G391" s="129"/>
      <c r="H391" s="129"/>
    </row>
    <row r="392" spans="3:8" s="120" customFormat="1" x14ac:dyDescent="0.2">
      <c r="C392" s="391"/>
      <c r="D392" s="129"/>
      <c r="E392" s="129"/>
      <c r="F392" s="129"/>
      <c r="G392" s="129"/>
      <c r="H392" s="129"/>
    </row>
    <row r="393" spans="3:8" s="120" customFormat="1" x14ac:dyDescent="0.2">
      <c r="C393" s="391"/>
      <c r="D393" s="129"/>
      <c r="E393" s="129"/>
      <c r="F393" s="129"/>
      <c r="G393" s="129"/>
      <c r="H393" s="129"/>
    </row>
    <row r="394" spans="3:8" s="120" customFormat="1" x14ac:dyDescent="0.2">
      <c r="C394" s="391"/>
      <c r="D394" s="129"/>
      <c r="E394" s="129"/>
      <c r="F394" s="129"/>
      <c r="G394" s="129"/>
      <c r="H394" s="129"/>
    </row>
    <row r="395" spans="3:8" s="120" customFormat="1" x14ac:dyDescent="0.2">
      <c r="C395" s="391"/>
      <c r="D395" s="129"/>
      <c r="E395" s="129"/>
      <c r="F395" s="129"/>
      <c r="G395" s="129"/>
      <c r="H395" s="129"/>
    </row>
    <row r="396" spans="3:8" s="120" customFormat="1" x14ac:dyDescent="0.2">
      <c r="C396" s="391"/>
      <c r="D396" s="129"/>
      <c r="E396" s="129"/>
      <c r="F396" s="129"/>
      <c r="G396" s="129"/>
      <c r="H396" s="129"/>
    </row>
    <row r="397" spans="3:8" s="120" customFormat="1" x14ac:dyDescent="0.2">
      <c r="C397" s="391"/>
      <c r="D397" s="129"/>
      <c r="E397" s="129"/>
      <c r="F397" s="129"/>
      <c r="G397" s="129"/>
      <c r="H397" s="129"/>
    </row>
    <row r="398" spans="3:8" s="120" customFormat="1" x14ac:dyDescent="0.2">
      <c r="C398" s="391"/>
      <c r="D398" s="129"/>
      <c r="E398" s="129"/>
      <c r="F398" s="129"/>
      <c r="G398" s="129"/>
      <c r="H398" s="129"/>
    </row>
    <row r="399" spans="3:8" s="120" customFormat="1" x14ac:dyDescent="0.2">
      <c r="C399" s="391"/>
      <c r="D399" s="129"/>
      <c r="E399" s="129"/>
      <c r="F399" s="129"/>
      <c r="G399" s="129"/>
      <c r="H399" s="129"/>
    </row>
    <row r="400" spans="3:8" s="120" customFormat="1" x14ac:dyDescent="0.2">
      <c r="C400" s="391"/>
      <c r="D400" s="129"/>
      <c r="E400" s="129"/>
      <c r="F400" s="129"/>
      <c r="G400" s="129"/>
      <c r="H400" s="129"/>
    </row>
    <row r="401" spans="3:8" s="120" customFormat="1" x14ac:dyDescent="0.2">
      <c r="C401" s="391"/>
      <c r="D401" s="129"/>
      <c r="E401" s="129"/>
      <c r="F401" s="129"/>
      <c r="G401" s="129"/>
      <c r="H401" s="129"/>
    </row>
    <row r="402" spans="3:8" s="120" customFormat="1" x14ac:dyDescent="0.2">
      <c r="C402" s="391"/>
      <c r="D402" s="129"/>
      <c r="E402" s="129"/>
      <c r="F402" s="129"/>
      <c r="G402" s="129"/>
      <c r="H402" s="129"/>
    </row>
    <row r="403" spans="3:8" s="120" customFormat="1" x14ac:dyDescent="0.2">
      <c r="C403" s="391"/>
      <c r="D403" s="129"/>
      <c r="E403" s="129"/>
      <c r="F403" s="129"/>
      <c r="G403" s="129"/>
      <c r="H403" s="129"/>
    </row>
    <row r="404" spans="3:8" s="120" customFormat="1" x14ac:dyDescent="0.2">
      <c r="C404" s="391"/>
      <c r="D404" s="129"/>
      <c r="E404" s="129"/>
      <c r="F404" s="129"/>
      <c r="G404" s="129"/>
      <c r="H404" s="129"/>
    </row>
    <row r="405" spans="3:8" s="120" customFormat="1" x14ac:dyDescent="0.2">
      <c r="C405" s="391"/>
      <c r="D405" s="129"/>
      <c r="E405" s="129"/>
      <c r="F405" s="129"/>
      <c r="G405" s="129"/>
      <c r="H405" s="129"/>
    </row>
    <row r="406" spans="3:8" s="120" customFormat="1" x14ac:dyDescent="0.2">
      <c r="C406" s="391"/>
      <c r="D406" s="129"/>
      <c r="E406" s="129"/>
      <c r="F406" s="129"/>
      <c r="G406" s="129"/>
      <c r="H406" s="129"/>
    </row>
    <row r="407" spans="3:8" s="120" customFormat="1" x14ac:dyDescent="0.2">
      <c r="C407" s="391"/>
      <c r="D407" s="129"/>
      <c r="E407" s="129"/>
      <c r="F407" s="129"/>
      <c r="G407" s="129"/>
      <c r="H407" s="129"/>
    </row>
    <row r="408" spans="3:8" s="120" customFormat="1" x14ac:dyDescent="0.2">
      <c r="C408" s="391"/>
      <c r="D408" s="129"/>
      <c r="E408" s="129"/>
      <c r="F408" s="129"/>
      <c r="G408" s="129"/>
      <c r="H408" s="129"/>
    </row>
    <row r="409" spans="3:8" s="120" customFormat="1" x14ac:dyDescent="0.2">
      <c r="C409" s="391"/>
      <c r="D409" s="129"/>
      <c r="E409" s="129"/>
      <c r="F409" s="129"/>
      <c r="G409" s="129"/>
      <c r="H409" s="129"/>
    </row>
    <row r="410" spans="3:8" s="120" customFormat="1" x14ac:dyDescent="0.2">
      <c r="C410" s="391"/>
      <c r="D410" s="129"/>
      <c r="E410" s="129"/>
      <c r="F410" s="129"/>
      <c r="G410" s="129"/>
      <c r="H410" s="129"/>
    </row>
    <row r="411" spans="3:8" s="120" customFormat="1" x14ac:dyDescent="0.2">
      <c r="C411" s="391"/>
      <c r="D411" s="129"/>
      <c r="E411" s="129"/>
      <c r="F411" s="129"/>
      <c r="G411" s="129"/>
      <c r="H411" s="129"/>
    </row>
    <row r="412" spans="3:8" s="120" customFormat="1" x14ac:dyDescent="0.2">
      <c r="C412" s="391"/>
      <c r="D412" s="129"/>
      <c r="E412" s="129"/>
      <c r="F412" s="129"/>
      <c r="G412" s="129"/>
      <c r="H412" s="129"/>
    </row>
    <row r="413" spans="3:8" s="120" customFormat="1" x14ac:dyDescent="0.2">
      <c r="C413" s="391"/>
      <c r="D413" s="129"/>
      <c r="E413" s="129"/>
      <c r="F413" s="129"/>
      <c r="G413" s="129"/>
      <c r="H413" s="129"/>
    </row>
    <row r="414" spans="3:8" s="120" customFormat="1" x14ac:dyDescent="0.2">
      <c r="C414" s="391"/>
      <c r="D414" s="129"/>
      <c r="E414" s="129"/>
      <c r="F414" s="129"/>
      <c r="G414" s="129"/>
      <c r="H414" s="129"/>
    </row>
    <row r="415" spans="3:8" s="120" customFormat="1" x14ac:dyDescent="0.2">
      <c r="C415" s="391"/>
      <c r="D415" s="129"/>
      <c r="E415" s="129"/>
      <c r="F415" s="129"/>
      <c r="G415" s="129"/>
      <c r="H415" s="129"/>
    </row>
    <row r="416" spans="3:8" s="120" customFormat="1" x14ac:dyDescent="0.2">
      <c r="C416" s="391"/>
      <c r="D416" s="129"/>
      <c r="E416" s="129"/>
      <c r="F416" s="129"/>
      <c r="G416" s="129"/>
      <c r="H416" s="129"/>
    </row>
    <row r="417" spans="3:8" s="120" customFormat="1" x14ac:dyDescent="0.2">
      <c r="C417" s="391"/>
      <c r="D417" s="129"/>
      <c r="E417" s="129"/>
      <c r="F417" s="129"/>
      <c r="G417" s="129"/>
      <c r="H417" s="129"/>
    </row>
    <row r="418" spans="3:8" s="120" customFormat="1" x14ac:dyDescent="0.2">
      <c r="C418" s="391"/>
      <c r="D418" s="129"/>
      <c r="E418" s="129"/>
      <c r="F418" s="129"/>
      <c r="G418" s="129"/>
      <c r="H418" s="129"/>
    </row>
    <row r="419" spans="3:8" s="120" customFormat="1" x14ac:dyDescent="0.2">
      <c r="C419" s="391"/>
      <c r="D419" s="129"/>
      <c r="E419" s="129"/>
      <c r="F419" s="129"/>
      <c r="G419" s="129"/>
      <c r="H419" s="129"/>
    </row>
    <row r="420" spans="3:8" s="120" customFormat="1" x14ac:dyDescent="0.2">
      <c r="C420" s="391"/>
      <c r="D420" s="129"/>
      <c r="E420" s="129"/>
      <c r="F420" s="129"/>
      <c r="G420" s="129"/>
      <c r="H420" s="129"/>
    </row>
    <row r="421" spans="3:8" s="120" customFormat="1" x14ac:dyDescent="0.2">
      <c r="C421" s="391"/>
      <c r="D421" s="129"/>
      <c r="E421" s="129"/>
      <c r="F421" s="129"/>
      <c r="G421" s="129"/>
      <c r="H421" s="129"/>
    </row>
    <row r="422" spans="3:8" s="120" customFormat="1" x14ac:dyDescent="0.2">
      <c r="C422" s="391"/>
      <c r="D422" s="129"/>
      <c r="E422" s="129"/>
      <c r="F422" s="129"/>
      <c r="G422" s="129"/>
      <c r="H422" s="129"/>
    </row>
    <row r="423" spans="3:8" s="120" customFormat="1" x14ac:dyDescent="0.2">
      <c r="C423" s="391"/>
      <c r="D423" s="129"/>
      <c r="E423" s="129"/>
      <c r="F423" s="129"/>
      <c r="G423" s="129"/>
      <c r="H423" s="129"/>
    </row>
    <row r="424" spans="3:8" s="120" customFormat="1" x14ac:dyDescent="0.2">
      <c r="C424" s="391"/>
      <c r="D424" s="129"/>
      <c r="E424" s="129"/>
      <c r="F424" s="129"/>
      <c r="G424" s="129"/>
      <c r="H424" s="129"/>
    </row>
    <row r="425" spans="3:8" s="120" customFormat="1" x14ac:dyDescent="0.2">
      <c r="C425" s="391"/>
      <c r="D425" s="129"/>
      <c r="E425" s="129"/>
      <c r="F425" s="129"/>
      <c r="G425" s="129"/>
      <c r="H425" s="129"/>
    </row>
    <row r="426" spans="3:8" s="120" customFormat="1" x14ac:dyDescent="0.2">
      <c r="C426" s="391"/>
      <c r="D426" s="129"/>
      <c r="E426" s="129"/>
      <c r="F426" s="129"/>
      <c r="G426" s="129"/>
      <c r="H426" s="129"/>
    </row>
    <row r="427" spans="3:8" s="120" customFormat="1" x14ac:dyDescent="0.2">
      <c r="C427" s="391"/>
      <c r="D427" s="129"/>
      <c r="E427" s="129"/>
      <c r="F427" s="129"/>
      <c r="G427" s="129"/>
      <c r="H427" s="129"/>
    </row>
    <row r="428" spans="3:8" s="120" customFormat="1" x14ac:dyDescent="0.2">
      <c r="C428" s="391"/>
      <c r="D428" s="129"/>
      <c r="E428" s="129"/>
      <c r="F428" s="129"/>
      <c r="G428" s="129"/>
      <c r="H428" s="129"/>
    </row>
    <row r="429" spans="3:8" s="120" customFormat="1" x14ac:dyDescent="0.2">
      <c r="C429" s="391"/>
      <c r="D429" s="129"/>
      <c r="E429" s="129"/>
      <c r="F429" s="129"/>
      <c r="G429" s="129"/>
      <c r="H429" s="129"/>
    </row>
    <row r="430" spans="3:8" s="120" customFormat="1" x14ac:dyDescent="0.2">
      <c r="C430" s="391"/>
      <c r="D430" s="129"/>
      <c r="E430" s="129"/>
      <c r="F430" s="129"/>
      <c r="G430" s="129"/>
      <c r="H430" s="129"/>
    </row>
    <row r="431" spans="3:8" s="120" customFormat="1" x14ac:dyDescent="0.2">
      <c r="C431" s="391"/>
      <c r="D431" s="129"/>
      <c r="E431" s="129"/>
      <c r="F431" s="129"/>
      <c r="G431" s="129"/>
      <c r="H431" s="129"/>
    </row>
    <row r="432" spans="3:8" s="120" customFormat="1" x14ac:dyDescent="0.2">
      <c r="C432" s="391"/>
      <c r="D432" s="129"/>
      <c r="E432" s="129"/>
      <c r="F432" s="129"/>
      <c r="G432" s="129"/>
      <c r="H432" s="129"/>
    </row>
    <row r="433" spans="3:8" s="120" customFormat="1" x14ac:dyDescent="0.2">
      <c r="C433" s="391"/>
      <c r="D433" s="129"/>
      <c r="E433" s="129"/>
      <c r="F433" s="129"/>
      <c r="G433" s="129"/>
      <c r="H433" s="129"/>
    </row>
    <row r="434" spans="3:8" s="120" customFormat="1" x14ac:dyDescent="0.2">
      <c r="C434" s="391"/>
      <c r="D434" s="129"/>
      <c r="E434" s="129"/>
      <c r="F434" s="129"/>
      <c r="G434" s="129"/>
      <c r="H434" s="129"/>
    </row>
    <row r="435" spans="3:8" s="120" customFormat="1" x14ac:dyDescent="0.2">
      <c r="C435" s="391"/>
      <c r="D435" s="129"/>
      <c r="E435" s="129"/>
      <c r="F435" s="129"/>
      <c r="G435" s="129"/>
      <c r="H435" s="129"/>
    </row>
    <row r="436" spans="3:8" s="120" customFormat="1" x14ac:dyDescent="0.2">
      <c r="C436" s="391"/>
      <c r="D436" s="129"/>
      <c r="E436" s="129"/>
      <c r="F436" s="129"/>
      <c r="G436" s="129"/>
      <c r="H436" s="129"/>
    </row>
    <row r="437" spans="3:8" s="120" customFormat="1" x14ac:dyDescent="0.2">
      <c r="C437" s="391"/>
      <c r="D437" s="129"/>
      <c r="E437" s="129"/>
      <c r="F437" s="129"/>
      <c r="G437" s="129"/>
      <c r="H437" s="129"/>
    </row>
    <row r="438" spans="3:8" s="120" customFormat="1" x14ac:dyDescent="0.2">
      <c r="C438" s="391"/>
      <c r="D438" s="129"/>
      <c r="E438" s="129"/>
      <c r="F438" s="129"/>
      <c r="G438" s="129"/>
      <c r="H438" s="129"/>
    </row>
    <row r="439" spans="3:8" s="120" customFormat="1" x14ac:dyDescent="0.2">
      <c r="C439" s="391"/>
      <c r="D439" s="129"/>
      <c r="E439" s="129"/>
      <c r="F439" s="129"/>
      <c r="G439" s="129"/>
      <c r="H439" s="129"/>
    </row>
    <row r="440" spans="3:8" s="120" customFormat="1" x14ac:dyDescent="0.2">
      <c r="C440" s="391"/>
      <c r="D440" s="129"/>
      <c r="E440" s="129"/>
      <c r="F440" s="129"/>
      <c r="G440" s="129"/>
      <c r="H440" s="129"/>
    </row>
    <row r="441" spans="3:8" s="120" customFormat="1" x14ac:dyDescent="0.2">
      <c r="C441" s="391"/>
      <c r="D441" s="129"/>
      <c r="E441" s="129"/>
      <c r="F441" s="129"/>
      <c r="G441" s="129"/>
      <c r="H441" s="129"/>
    </row>
    <row r="442" spans="3:8" s="120" customFormat="1" x14ac:dyDescent="0.2">
      <c r="C442" s="391"/>
      <c r="D442" s="129"/>
      <c r="E442" s="129"/>
      <c r="F442" s="129"/>
      <c r="G442" s="129"/>
      <c r="H442" s="129"/>
    </row>
    <row r="443" spans="3:8" s="120" customFormat="1" x14ac:dyDescent="0.2">
      <c r="C443" s="391"/>
      <c r="D443" s="129"/>
      <c r="E443" s="129"/>
      <c r="F443" s="129"/>
      <c r="G443" s="129"/>
      <c r="H443" s="129"/>
    </row>
    <row r="444" spans="3:8" s="120" customFormat="1" x14ac:dyDescent="0.2">
      <c r="C444" s="391"/>
      <c r="D444" s="129"/>
      <c r="E444" s="129"/>
      <c r="F444" s="129"/>
      <c r="G444" s="129"/>
      <c r="H444" s="129"/>
    </row>
    <row r="445" spans="3:8" s="120" customFormat="1" x14ac:dyDescent="0.2">
      <c r="C445" s="391"/>
      <c r="D445" s="129"/>
      <c r="E445" s="129"/>
      <c r="F445" s="129"/>
      <c r="G445" s="129"/>
      <c r="H445" s="129"/>
    </row>
    <row r="446" spans="3:8" s="120" customFormat="1" x14ac:dyDescent="0.2">
      <c r="C446" s="391"/>
      <c r="D446" s="129"/>
      <c r="E446" s="129"/>
      <c r="F446" s="129"/>
      <c r="G446" s="129"/>
      <c r="H446" s="129"/>
    </row>
    <row r="447" spans="3:8" s="120" customFormat="1" x14ac:dyDescent="0.2">
      <c r="C447" s="391"/>
      <c r="D447" s="129"/>
      <c r="E447" s="129"/>
      <c r="F447" s="129"/>
      <c r="G447" s="129"/>
      <c r="H447" s="129"/>
    </row>
    <row r="448" spans="3:8" s="120" customFormat="1" x14ac:dyDescent="0.2">
      <c r="C448" s="391"/>
      <c r="D448" s="129"/>
      <c r="E448" s="129"/>
      <c r="F448" s="129"/>
      <c r="G448" s="129"/>
      <c r="H448" s="129"/>
    </row>
    <row r="449" spans="3:8" s="120" customFormat="1" x14ac:dyDescent="0.2">
      <c r="C449" s="391"/>
      <c r="D449" s="129"/>
      <c r="E449" s="129"/>
      <c r="F449" s="129"/>
      <c r="G449" s="129"/>
      <c r="H449" s="129"/>
    </row>
    <row r="450" spans="3:8" s="120" customFormat="1" x14ac:dyDescent="0.2">
      <c r="C450" s="391"/>
      <c r="D450" s="129"/>
      <c r="E450" s="129"/>
      <c r="F450" s="129"/>
      <c r="G450" s="129"/>
      <c r="H450" s="129"/>
    </row>
    <row r="451" spans="3:8" s="120" customFormat="1" x14ac:dyDescent="0.2">
      <c r="C451" s="391"/>
      <c r="D451" s="129"/>
      <c r="E451" s="129"/>
      <c r="F451" s="129"/>
      <c r="G451" s="129"/>
      <c r="H451" s="129"/>
    </row>
    <row r="452" spans="3:8" s="120" customFormat="1" x14ac:dyDescent="0.2">
      <c r="C452" s="391"/>
      <c r="D452" s="129"/>
      <c r="E452" s="129"/>
      <c r="F452" s="129"/>
      <c r="G452" s="129"/>
      <c r="H452" s="129"/>
    </row>
    <row r="453" spans="3:8" s="120" customFormat="1" x14ac:dyDescent="0.2">
      <c r="C453" s="391"/>
      <c r="D453" s="129"/>
      <c r="E453" s="129"/>
      <c r="F453" s="129"/>
      <c r="G453" s="129"/>
      <c r="H453" s="129"/>
    </row>
    <row r="454" spans="3:8" s="120" customFormat="1" x14ac:dyDescent="0.2">
      <c r="C454" s="391"/>
      <c r="D454" s="129"/>
      <c r="E454" s="129"/>
      <c r="F454" s="129"/>
      <c r="G454" s="129"/>
      <c r="H454" s="129"/>
    </row>
    <row r="455" spans="3:8" s="120" customFormat="1" x14ac:dyDescent="0.2">
      <c r="C455" s="391"/>
      <c r="D455" s="129"/>
      <c r="E455" s="129"/>
      <c r="F455" s="129"/>
      <c r="G455" s="129"/>
      <c r="H455" s="129"/>
    </row>
    <row r="456" spans="3:8" s="120" customFormat="1" x14ac:dyDescent="0.2">
      <c r="C456" s="391"/>
      <c r="D456" s="129"/>
      <c r="E456" s="129"/>
      <c r="F456" s="129"/>
      <c r="G456" s="129"/>
      <c r="H456" s="129"/>
    </row>
    <row r="457" spans="3:8" s="120" customFormat="1" x14ac:dyDescent="0.2">
      <c r="C457" s="391"/>
      <c r="D457" s="129"/>
      <c r="E457" s="129"/>
      <c r="F457" s="129"/>
      <c r="G457" s="129"/>
      <c r="H457" s="129"/>
    </row>
    <row r="458" spans="3:8" s="120" customFormat="1" x14ac:dyDescent="0.2">
      <c r="C458" s="391"/>
      <c r="D458" s="129"/>
      <c r="E458" s="129"/>
      <c r="F458" s="129"/>
      <c r="G458" s="129"/>
      <c r="H458" s="129"/>
    </row>
    <row r="459" spans="3:8" s="120" customFormat="1" x14ac:dyDescent="0.2">
      <c r="C459" s="391"/>
      <c r="D459" s="129"/>
      <c r="E459" s="129"/>
      <c r="F459" s="129"/>
      <c r="G459" s="129"/>
      <c r="H459" s="129"/>
    </row>
    <row r="460" spans="3:8" s="120" customFormat="1" x14ac:dyDescent="0.2">
      <c r="C460" s="391"/>
      <c r="D460" s="129"/>
      <c r="E460" s="129"/>
      <c r="F460" s="129"/>
      <c r="G460" s="129"/>
      <c r="H460" s="129"/>
    </row>
    <row r="461" spans="3:8" s="120" customFormat="1" x14ac:dyDescent="0.2">
      <c r="C461" s="391"/>
      <c r="D461" s="129"/>
      <c r="E461" s="129"/>
      <c r="F461" s="129"/>
      <c r="G461" s="129"/>
      <c r="H461" s="129"/>
    </row>
    <row r="462" spans="3:8" s="120" customFormat="1" x14ac:dyDescent="0.2">
      <c r="C462" s="391"/>
      <c r="D462" s="129"/>
      <c r="E462" s="129"/>
      <c r="F462" s="129"/>
      <c r="G462" s="129"/>
      <c r="H462" s="129"/>
    </row>
    <row r="463" spans="3:8" s="120" customFormat="1" x14ac:dyDescent="0.2">
      <c r="C463" s="391"/>
      <c r="D463" s="129"/>
      <c r="E463" s="129"/>
      <c r="F463" s="129"/>
      <c r="G463" s="129"/>
      <c r="H463" s="129"/>
    </row>
    <row r="464" spans="3:8" s="120" customFormat="1" x14ac:dyDescent="0.2">
      <c r="C464" s="391"/>
      <c r="D464" s="129"/>
      <c r="E464" s="129"/>
      <c r="F464" s="129"/>
      <c r="G464" s="129"/>
      <c r="H464" s="129"/>
    </row>
    <row r="465" spans="3:8" s="120" customFormat="1" x14ac:dyDescent="0.2">
      <c r="C465" s="391"/>
      <c r="D465" s="129"/>
      <c r="E465" s="129"/>
      <c r="F465" s="129"/>
      <c r="G465" s="129"/>
      <c r="H465" s="129"/>
    </row>
    <row r="466" spans="3:8" s="120" customFormat="1" x14ac:dyDescent="0.2">
      <c r="C466" s="391"/>
      <c r="D466" s="129"/>
      <c r="E466" s="129"/>
      <c r="F466" s="129"/>
      <c r="G466" s="129"/>
      <c r="H466" s="129"/>
    </row>
    <row r="467" spans="3:8" s="120" customFormat="1" x14ac:dyDescent="0.2">
      <c r="C467" s="391"/>
      <c r="D467" s="129"/>
      <c r="E467" s="129"/>
      <c r="F467" s="129"/>
      <c r="G467" s="129"/>
      <c r="H467" s="129"/>
    </row>
    <row r="468" spans="3:8" s="120" customFormat="1" x14ac:dyDescent="0.2">
      <c r="C468" s="391"/>
      <c r="D468" s="129"/>
      <c r="E468" s="129"/>
      <c r="F468" s="129"/>
      <c r="G468" s="129"/>
      <c r="H468" s="129"/>
    </row>
    <row r="469" spans="3:8" s="120" customFormat="1" x14ac:dyDescent="0.2">
      <c r="C469" s="391"/>
      <c r="D469" s="129"/>
      <c r="E469" s="129"/>
      <c r="F469" s="129"/>
      <c r="G469" s="129"/>
      <c r="H469" s="129"/>
    </row>
    <row r="470" spans="3:8" s="120" customFormat="1" x14ac:dyDescent="0.2">
      <c r="C470" s="391"/>
      <c r="D470" s="129"/>
      <c r="E470" s="129"/>
      <c r="F470" s="129"/>
      <c r="G470" s="129"/>
      <c r="H470" s="129"/>
    </row>
    <row r="471" spans="3:8" s="120" customFormat="1" x14ac:dyDescent="0.2">
      <c r="C471" s="391"/>
      <c r="D471" s="129"/>
      <c r="E471" s="129"/>
      <c r="F471" s="129"/>
      <c r="G471" s="129"/>
      <c r="H471" s="129"/>
    </row>
    <row r="472" spans="3:8" s="120" customFormat="1" x14ac:dyDescent="0.2">
      <c r="C472" s="391"/>
      <c r="D472" s="129"/>
      <c r="E472" s="129"/>
      <c r="F472" s="129"/>
      <c r="G472" s="129"/>
      <c r="H472" s="129"/>
    </row>
    <row r="473" spans="3:8" s="120" customFormat="1" x14ac:dyDescent="0.2">
      <c r="C473" s="391"/>
      <c r="D473" s="129"/>
      <c r="E473" s="129"/>
      <c r="F473" s="129"/>
      <c r="G473" s="129"/>
      <c r="H473" s="129"/>
    </row>
    <row r="474" spans="3:8" s="120" customFormat="1" x14ac:dyDescent="0.2">
      <c r="C474" s="391"/>
      <c r="D474" s="129"/>
      <c r="E474" s="129"/>
      <c r="F474" s="129"/>
      <c r="G474" s="129"/>
      <c r="H474" s="129"/>
    </row>
    <row r="475" spans="3:8" s="120" customFormat="1" x14ac:dyDescent="0.2">
      <c r="C475" s="391"/>
      <c r="D475" s="129"/>
      <c r="E475" s="129"/>
      <c r="F475" s="129"/>
      <c r="G475" s="129"/>
      <c r="H475" s="129"/>
    </row>
    <row r="476" spans="3:8" s="120" customFormat="1" x14ac:dyDescent="0.2">
      <c r="C476" s="391"/>
      <c r="D476" s="129"/>
      <c r="E476" s="129"/>
      <c r="F476" s="129"/>
      <c r="G476" s="129"/>
      <c r="H476" s="129"/>
    </row>
    <row r="477" spans="3:8" s="120" customFormat="1" x14ac:dyDescent="0.2">
      <c r="C477" s="391"/>
      <c r="D477" s="129"/>
      <c r="E477" s="129"/>
      <c r="F477" s="129"/>
      <c r="G477" s="129"/>
      <c r="H477" s="129"/>
    </row>
    <row r="478" spans="3:8" s="120" customFormat="1" x14ac:dyDescent="0.2">
      <c r="C478" s="391"/>
      <c r="D478" s="129"/>
      <c r="E478" s="129"/>
      <c r="F478" s="129"/>
      <c r="G478" s="129"/>
      <c r="H478" s="129"/>
    </row>
    <row r="479" spans="3:8" s="120" customFormat="1" x14ac:dyDescent="0.2">
      <c r="C479" s="391"/>
      <c r="D479" s="129"/>
      <c r="E479" s="129"/>
      <c r="F479" s="129"/>
      <c r="G479" s="129"/>
      <c r="H479" s="129"/>
    </row>
    <row r="480" spans="3:8" s="120" customFormat="1" x14ac:dyDescent="0.2">
      <c r="C480" s="391"/>
      <c r="D480" s="129"/>
      <c r="E480" s="129"/>
      <c r="F480" s="129"/>
      <c r="G480" s="129"/>
      <c r="H480" s="129"/>
    </row>
    <row r="481" spans="3:8" s="120" customFormat="1" x14ac:dyDescent="0.2">
      <c r="C481" s="391"/>
      <c r="D481" s="129"/>
      <c r="E481" s="129"/>
      <c r="F481" s="129"/>
      <c r="G481" s="129"/>
      <c r="H481" s="129"/>
    </row>
    <row r="482" spans="3:8" s="120" customFormat="1" x14ac:dyDescent="0.2">
      <c r="C482" s="391"/>
      <c r="D482" s="129"/>
      <c r="E482" s="129"/>
      <c r="F482" s="129"/>
      <c r="G482" s="129"/>
      <c r="H482" s="129"/>
    </row>
    <row r="483" spans="3:8" s="120" customFormat="1" x14ac:dyDescent="0.2">
      <c r="C483" s="391"/>
      <c r="D483" s="129"/>
      <c r="E483" s="129"/>
      <c r="F483" s="129"/>
      <c r="G483" s="129"/>
      <c r="H483" s="129"/>
    </row>
    <row r="484" spans="3:8" s="120" customFormat="1" x14ac:dyDescent="0.2">
      <c r="C484" s="391"/>
      <c r="D484" s="129"/>
      <c r="E484" s="129"/>
      <c r="F484" s="129"/>
      <c r="G484" s="129"/>
      <c r="H484" s="129"/>
    </row>
    <row r="485" spans="3:8" s="120" customFormat="1" x14ac:dyDescent="0.2">
      <c r="C485" s="391"/>
      <c r="D485" s="129"/>
      <c r="E485" s="129"/>
      <c r="F485" s="129"/>
      <c r="G485" s="129"/>
      <c r="H485" s="129"/>
    </row>
    <row r="486" spans="3:8" s="120" customFormat="1" x14ac:dyDescent="0.2">
      <c r="C486" s="391"/>
      <c r="D486" s="129"/>
      <c r="E486" s="129"/>
      <c r="F486" s="129"/>
      <c r="G486" s="129"/>
      <c r="H486" s="129"/>
    </row>
    <row r="487" spans="3:8" s="120" customFormat="1" x14ac:dyDescent="0.2">
      <c r="C487" s="391"/>
      <c r="D487" s="129"/>
      <c r="E487" s="129"/>
      <c r="F487" s="129"/>
      <c r="G487" s="129"/>
      <c r="H487" s="129"/>
    </row>
    <row r="488" spans="3:8" s="120" customFormat="1" x14ac:dyDescent="0.2">
      <c r="C488" s="391"/>
      <c r="D488" s="129"/>
      <c r="E488" s="129"/>
      <c r="F488" s="129"/>
      <c r="G488" s="129"/>
      <c r="H488" s="129"/>
    </row>
    <row r="489" spans="3:8" s="120" customFormat="1" x14ac:dyDescent="0.2">
      <c r="C489" s="391"/>
      <c r="D489" s="129"/>
      <c r="E489" s="129"/>
      <c r="F489" s="129"/>
      <c r="G489" s="129"/>
      <c r="H489" s="129"/>
    </row>
    <row r="490" spans="3:8" s="120" customFormat="1" x14ac:dyDescent="0.2">
      <c r="C490" s="391"/>
      <c r="D490" s="129"/>
      <c r="E490" s="129"/>
      <c r="F490" s="129"/>
      <c r="G490" s="129"/>
      <c r="H490" s="129"/>
    </row>
    <row r="491" spans="3:8" s="120" customFormat="1" x14ac:dyDescent="0.2">
      <c r="C491" s="391"/>
      <c r="D491" s="129"/>
      <c r="E491" s="129"/>
      <c r="F491" s="129"/>
      <c r="G491" s="129"/>
      <c r="H491" s="129"/>
    </row>
    <row r="492" spans="3:8" s="120" customFormat="1" x14ac:dyDescent="0.2">
      <c r="C492" s="391"/>
      <c r="D492" s="129"/>
      <c r="E492" s="129"/>
      <c r="F492" s="129"/>
      <c r="G492" s="129"/>
      <c r="H492" s="129"/>
    </row>
    <row r="493" spans="3:8" s="120" customFormat="1" x14ac:dyDescent="0.2">
      <c r="C493" s="391"/>
      <c r="D493" s="129"/>
      <c r="E493" s="129"/>
      <c r="F493" s="129"/>
      <c r="G493" s="129"/>
      <c r="H493" s="129"/>
    </row>
    <row r="494" spans="3:8" s="120" customFormat="1" x14ac:dyDescent="0.2">
      <c r="C494" s="391"/>
      <c r="D494" s="129"/>
      <c r="E494" s="129"/>
      <c r="F494" s="129"/>
      <c r="G494" s="129"/>
      <c r="H494" s="129"/>
    </row>
    <row r="495" spans="3:8" s="120" customFormat="1" x14ac:dyDescent="0.2">
      <c r="C495" s="391"/>
      <c r="D495" s="129"/>
      <c r="E495" s="129"/>
      <c r="F495" s="129"/>
      <c r="G495" s="129"/>
      <c r="H495" s="129"/>
    </row>
    <row r="496" spans="3:8" s="120" customFormat="1" x14ac:dyDescent="0.2">
      <c r="C496" s="391"/>
      <c r="D496" s="129"/>
      <c r="E496" s="129"/>
      <c r="F496" s="129"/>
      <c r="G496" s="129"/>
      <c r="H496" s="129"/>
    </row>
    <row r="497" spans="3:8" s="120" customFormat="1" x14ac:dyDescent="0.2">
      <c r="C497" s="391"/>
      <c r="D497" s="129"/>
      <c r="E497" s="129"/>
      <c r="F497" s="129"/>
      <c r="G497" s="129"/>
      <c r="H497" s="129"/>
    </row>
    <row r="498" spans="3:8" s="120" customFormat="1" x14ac:dyDescent="0.2">
      <c r="C498" s="391"/>
      <c r="D498" s="129"/>
      <c r="E498" s="129"/>
      <c r="F498" s="129"/>
      <c r="G498" s="129"/>
      <c r="H498" s="129"/>
    </row>
    <row r="499" spans="3:8" s="120" customFormat="1" x14ac:dyDescent="0.2">
      <c r="C499" s="391"/>
      <c r="D499" s="129"/>
      <c r="E499" s="129"/>
      <c r="F499" s="129"/>
      <c r="G499" s="129"/>
      <c r="H499" s="129"/>
    </row>
    <row r="500" spans="3:8" s="120" customFormat="1" x14ac:dyDescent="0.2">
      <c r="C500" s="391"/>
      <c r="D500" s="129"/>
      <c r="E500" s="129"/>
      <c r="F500" s="129"/>
      <c r="G500" s="129"/>
      <c r="H500" s="129"/>
    </row>
    <row r="501" spans="3:8" s="120" customFormat="1" x14ac:dyDescent="0.2">
      <c r="C501" s="391"/>
      <c r="D501" s="129"/>
      <c r="E501" s="129"/>
      <c r="F501" s="129"/>
      <c r="G501" s="129"/>
      <c r="H501" s="129"/>
    </row>
    <row r="502" spans="3:8" s="120" customFormat="1" x14ac:dyDescent="0.2">
      <c r="C502" s="391"/>
      <c r="D502" s="129"/>
      <c r="E502" s="129"/>
      <c r="F502" s="129"/>
      <c r="G502" s="129"/>
      <c r="H502" s="129"/>
    </row>
    <row r="503" spans="3:8" s="120" customFormat="1" x14ac:dyDescent="0.2">
      <c r="C503" s="391"/>
      <c r="D503" s="129"/>
      <c r="E503" s="129"/>
      <c r="F503" s="129"/>
      <c r="G503" s="129"/>
      <c r="H503" s="129"/>
    </row>
    <row r="504" spans="3:8" s="120" customFormat="1" x14ac:dyDescent="0.2">
      <c r="C504" s="391"/>
      <c r="D504" s="129"/>
      <c r="E504" s="129"/>
      <c r="F504" s="129"/>
      <c r="G504" s="129"/>
      <c r="H504" s="129"/>
    </row>
    <row r="505" spans="3:8" s="120" customFormat="1" x14ac:dyDescent="0.2">
      <c r="C505" s="391"/>
      <c r="D505" s="129"/>
      <c r="E505" s="129"/>
      <c r="F505" s="129"/>
      <c r="G505" s="129"/>
      <c r="H505" s="129"/>
    </row>
    <row r="506" spans="3:8" s="120" customFormat="1" x14ac:dyDescent="0.2">
      <c r="C506" s="391"/>
      <c r="D506" s="129"/>
      <c r="E506" s="129"/>
      <c r="F506" s="129"/>
      <c r="G506" s="129"/>
      <c r="H506" s="129"/>
    </row>
    <row r="507" spans="3:8" s="120" customFormat="1" x14ac:dyDescent="0.2">
      <c r="C507" s="391"/>
      <c r="D507" s="129"/>
      <c r="E507" s="129"/>
      <c r="F507" s="129"/>
      <c r="G507" s="129"/>
      <c r="H507" s="129"/>
    </row>
    <row r="508" spans="3:8" s="120" customFormat="1" x14ac:dyDescent="0.2">
      <c r="C508" s="391"/>
      <c r="D508" s="129"/>
      <c r="E508" s="129"/>
      <c r="F508" s="129"/>
      <c r="G508" s="129"/>
      <c r="H508" s="129"/>
    </row>
    <row r="509" spans="3:8" s="120" customFormat="1" x14ac:dyDescent="0.2">
      <c r="C509" s="391"/>
      <c r="D509" s="129"/>
      <c r="E509" s="129"/>
      <c r="F509" s="129"/>
      <c r="G509" s="129"/>
      <c r="H509" s="129"/>
    </row>
    <row r="510" spans="3:8" s="120" customFormat="1" x14ac:dyDescent="0.2">
      <c r="C510" s="391"/>
      <c r="D510" s="129"/>
      <c r="E510" s="129"/>
      <c r="F510" s="129"/>
      <c r="G510" s="129"/>
      <c r="H510" s="129"/>
    </row>
    <row r="511" spans="3:8" s="120" customFormat="1" x14ac:dyDescent="0.2">
      <c r="C511" s="391"/>
      <c r="D511" s="129"/>
      <c r="E511" s="129"/>
      <c r="F511" s="129"/>
      <c r="G511" s="129"/>
      <c r="H511" s="129"/>
    </row>
    <row r="512" spans="3:8" s="120" customFormat="1" x14ac:dyDescent="0.2">
      <c r="C512" s="391"/>
      <c r="D512" s="129"/>
      <c r="E512" s="129"/>
      <c r="F512" s="129"/>
      <c r="G512" s="129"/>
      <c r="H512" s="129"/>
    </row>
    <row r="513" spans="3:8" s="120" customFormat="1" x14ac:dyDescent="0.2">
      <c r="C513" s="391"/>
      <c r="D513" s="129"/>
      <c r="E513" s="129"/>
      <c r="F513" s="129"/>
      <c r="G513" s="129"/>
      <c r="H513" s="129"/>
    </row>
    <row r="514" spans="3:8" s="120" customFormat="1" x14ac:dyDescent="0.2">
      <c r="C514" s="391"/>
      <c r="D514" s="129"/>
      <c r="E514" s="129"/>
      <c r="F514" s="129"/>
      <c r="G514" s="129"/>
      <c r="H514" s="129"/>
    </row>
    <row r="515" spans="3:8" s="120" customFormat="1" x14ac:dyDescent="0.2">
      <c r="C515" s="391"/>
      <c r="D515" s="129"/>
      <c r="E515" s="129"/>
      <c r="F515" s="129"/>
      <c r="G515" s="129"/>
      <c r="H515" s="129"/>
    </row>
    <row r="516" spans="3:8" s="120" customFormat="1" x14ac:dyDescent="0.2">
      <c r="C516" s="391"/>
      <c r="D516" s="129"/>
      <c r="E516" s="129"/>
      <c r="F516" s="129"/>
      <c r="G516" s="129"/>
      <c r="H516" s="129"/>
    </row>
    <row r="517" spans="3:8" s="120" customFormat="1" x14ac:dyDescent="0.2">
      <c r="C517" s="391"/>
      <c r="D517" s="129"/>
      <c r="E517" s="129"/>
      <c r="F517" s="129"/>
      <c r="G517" s="129"/>
      <c r="H517" s="129"/>
    </row>
    <row r="518" spans="3:8" s="120" customFormat="1" x14ac:dyDescent="0.2">
      <c r="C518" s="391"/>
      <c r="D518" s="129"/>
      <c r="E518" s="129"/>
      <c r="F518" s="129"/>
      <c r="G518" s="129"/>
      <c r="H518" s="129"/>
    </row>
    <row r="519" spans="3:8" s="120" customFormat="1" x14ac:dyDescent="0.2">
      <c r="C519" s="391"/>
      <c r="D519" s="129"/>
      <c r="E519" s="129"/>
      <c r="F519" s="129"/>
      <c r="G519" s="129"/>
      <c r="H519" s="129"/>
    </row>
    <row r="520" spans="3:8" s="120" customFormat="1" x14ac:dyDescent="0.2">
      <c r="C520" s="391"/>
      <c r="D520" s="129"/>
      <c r="E520" s="129"/>
      <c r="F520" s="129"/>
      <c r="G520" s="129"/>
      <c r="H520" s="129"/>
    </row>
    <row r="521" spans="3:8" s="120" customFormat="1" x14ac:dyDescent="0.2">
      <c r="C521" s="391"/>
      <c r="D521" s="129"/>
      <c r="E521" s="129"/>
      <c r="F521" s="129"/>
      <c r="G521" s="129"/>
      <c r="H521" s="129"/>
    </row>
    <row r="522" spans="3:8" s="120" customFormat="1" x14ac:dyDescent="0.2">
      <c r="C522" s="391"/>
      <c r="D522" s="129"/>
      <c r="E522" s="129"/>
      <c r="F522" s="129"/>
      <c r="G522" s="129"/>
      <c r="H522" s="129"/>
    </row>
    <row r="523" spans="3:8" s="120" customFormat="1" x14ac:dyDescent="0.2">
      <c r="C523" s="391"/>
      <c r="D523" s="129"/>
      <c r="E523" s="129"/>
      <c r="F523" s="129"/>
      <c r="G523" s="129"/>
      <c r="H523" s="129"/>
    </row>
    <row r="524" spans="3:8" s="120" customFormat="1" x14ac:dyDescent="0.2">
      <c r="C524" s="391"/>
      <c r="D524" s="129"/>
      <c r="E524" s="129"/>
      <c r="F524" s="129"/>
      <c r="G524" s="129"/>
      <c r="H524" s="129"/>
    </row>
    <row r="525" spans="3:8" s="120" customFormat="1" x14ac:dyDescent="0.2">
      <c r="C525" s="391"/>
      <c r="D525" s="129"/>
      <c r="E525" s="129"/>
      <c r="F525" s="129"/>
      <c r="G525" s="129"/>
      <c r="H525" s="129"/>
    </row>
    <row r="526" spans="3:8" s="120" customFormat="1" x14ac:dyDescent="0.2">
      <c r="C526" s="391"/>
      <c r="D526" s="129"/>
      <c r="E526" s="129"/>
      <c r="F526" s="129"/>
      <c r="G526" s="129"/>
      <c r="H526" s="129"/>
    </row>
    <row r="527" spans="3:8" s="120" customFormat="1" x14ac:dyDescent="0.2">
      <c r="C527" s="391"/>
      <c r="D527" s="129"/>
      <c r="E527" s="129"/>
      <c r="F527" s="129"/>
      <c r="G527" s="129"/>
      <c r="H527" s="129"/>
    </row>
    <row r="528" spans="3:8" s="120" customFormat="1" x14ac:dyDescent="0.2">
      <c r="C528" s="391"/>
      <c r="D528" s="129"/>
      <c r="E528" s="129"/>
      <c r="F528" s="129"/>
      <c r="G528" s="129"/>
      <c r="H528" s="129"/>
    </row>
    <row r="529" spans="3:8" s="120" customFormat="1" x14ac:dyDescent="0.2">
      <c r="C529" s="391"/>
      <c r="D529" s="129"/>
      <c r="E529" s="129"/>
      <c r="F529" s="129"/>
      <c r="G529" s="129"/>
      <c r="H529" s="129"/>
    </row>
    <row r="530" spans="3:8" s="120" customFormat="1" x14ac:dyDescent="0.2">
      <c r="C530" s="391"/>
      <c r="D530" s="129"/>
      <c r="E530" s="129"/>
      <c r="F530" s="129"/>
      <c r="G530" s="129"/>
      <c r="H530" s="129"/>
    </row>
    <row r="531" spans="3:8" s="120" customFormat="1" x14ac:dyDescent="0.2">
      <c r="C531" s="391"/>
      <c r="D531" s="129"/>
      <c r="E531" s="129"/>
      <c r="F531" s="129"/>
      <c r="G531" s="129"/>
      <c r="H531" s="129"/>
    </row>
    <row r="532" spans="3:8" s="120" customFormat="1" x14ac:dyDescent="0.2">
      <c r="C532" s="391"/>
      <c r="D532" s="129"/>
      <c r="E532" s="129"/>
      <c r="F532" s="129"/>
      <c r="G532" s="129"/>
      <c r="H532" s="129"/>
    </row>
    <row r="533" spans="3:8" s="120" customFormat="1" x14ac:dyDescent="0.2">
      <c r="C533" s="391"/>
      <c r="D533" s="129"/>
      <c r="E533" s="129"/>
      <c r="F533" s="129"/>
      <c r="G533" s="129"/>
      <c r="H533" s="129"/>
    </row>
    <row r="534" spans="3:8" s="120" customFormat="1" x14ac:dyDescent="0.2">
      <c r="C534" s="391"/>
      <c r="D534" s="129"/>
      <c r="E534" s="129"/>
      <c r="F534" s="129"/>
      <c r="G534" s="129"/>
      <c r="H534" s="129"/>
    </row>
    <row r="535" spans="3:8" s="120" customFormat="1" x14ac:dyDescent="0.2">
      <c r="C535" s="391"/>
      <c r="D535" s="129"/>
      <c r="E535" s="129"/>
      <c r="F535" s="129"/>
      <c r="G535" s="129"/>
      <c r="H535" s="129"/>
    </row>
    <row r="536" spans="3:8" s="120" customFormat="1" x14ac:dyDescent="0.2">
      <c r="C536" s="391"/>
      <c r="D536" s="129"/>
      <c r="E536" s="129"/>
      <c r="F536" s="129"/>
      <c r="G536" s="129"/>
      <c r="H536" s="129"/>
    </row>
    <row r="537" spans="3:8" s="120" customFormat="1" x14ac:dyDescent="0.2">
      <c r="C537" s="391"/>
      <c r="D537" s="129"/>
      <c r="E537" s="129"/>
      <c r="F537" s="129"/>
      <c r="G537" s="129"/>
      <c r="H537" s="129"/>
    </row>
    <row r="538" spans="3:8" s="120" customFormat="1" x14ac:dyDescent="0.2">
      <c r="C538" s="391"/>
      <c r="D538" s="129"/>
      <c r="E538" s="129"/>
      <c r="F538" s="129"/>
      <c r="G538" s="129"/>
      <c r="H538" s="129"/>
    </row>
    <row r="539" spans="3:8" s="120" customFormat="1" x14ac:dyDescent="0.2">
      <c r="C539" s="391"/>
      <c r="D539" s="129"/>
      <c r="E539" s="129"/>
      <c r="F539" s="129"/>
      <c r="G539" s="129"/>
      <c r="H539" s="129"/>
    </row>
    <row r="540" spans="3:8" s="120" customFormat="1" x14ac:dyDescent="0.2">
      <c r="C540" s="391"/>
      <c r="D540" s="129"/>
      <c r="E540" s="129"/>
      <c r="F540" s="129"/>
      <c r="G540" s="129"/>
      <c r="H540" s="129"/>
    </row>
    <row r="541" spans="3:8" s="120" customFormat="1" x14ac:dyDescent="0.2">
      <c r="C541" s="391"/>
      <c r="D541" s="129"/>
      <c r="E541" s="129"/>
      <c r="F541" s="129"/>
      <c r="G541" s="129"/>
      <c r="H541" s="129"/>
    </row>
    <row r="542" spans="3:8" s="120" customFormat="1" x14ac:dyDescent="0.2">
      <c r="C542" s="391"/>
      <c r="D542" s="129"/>
      <c r="E542" s="129"/>
      <c r="F542" s="129"/>
      <c r="G542" s="129"/>
      <c r="H542" s="129"/>
    </row>
    <row r="543" spans="3:8" s="120" customFormat="1" x14ac:dyDescent="0.2">
      <c r="C543" s="391"/>
      <c r="D543" s="129"/>
      <c r="E543" s="129"/>
      <c r="F543" s="129"/>
      <c r="G543" s="129"/>
      <c r="H543" s="129"/>
    </row>
    <row r="544" spans="3:8" s="120" customFormat="1" x14ac:dyDescent="0.2">
      <c r="C544" s="391"/>
      <c r="D544" s="129"/>
      <c r="E544" s="129"/>
      <c r="F544" s="129"/>
      <c r="G544" s="129"/>
      <c r="H544" s="129"/>
    </row>
    <row r="545" spans="3:8" s="120" customFormat="1" x14ac:dyDescent="0.2">
      <c r="C545" s="391"/>
      <c r="D545" s="129"/>
      <c r="E545" s="129"/>
      <c r="F545" s="129"/>
      <c r="G545" s="129"/>
      <c r="H545" s="129"/>
    </row>
    <row r="546" spans="3:8" s="120" customFormat="1" x14ac:dyDescent="0.2">
      <c r="C546" s="391"/>
      <c r="D546" s="129"/>
      <c r="E546" s="129"/>
      <c r="F546" s="129"/>
      <c r="G546" s="129"/>
      <c r="H546" s="129"/>
    </row>
    <row r="547" spans="3:8" s="120" customFormat="1" x14ac:dyDescent="0.2">
      <c r="C547" s="391"/>
      <c r="D547" s="129"/>
      <c r="E547" s="129"/>
      <c r="F547" s="129"/>
      <c r="G547" s="129"/>
      <c r="H547" s="129"/>
    </row>
    <row r="548" spans="3:8" s="120" customFormat="1" x14ac:dyDescent="0.2">
      <c r="C548" s="391"/>
      <c r="D548" s="129"/>
      <c r="E548" s="129"/>
      <c r="F548" s="129"/>
      <c r="G548" s="129"/>
      <c r="H548" s="129"/>
    </row>
    <row r="549" spans="3:8" s="120" customFormat="1" x14ac:dyDescent="0.2">
      <c r="C549" s="391"/>
      <c r="D549" s="129"/>
      <c r="E549" s="129"/>
      <c r="F549" s="129"/>
      <c r="G549" s="129"/>
      <c r="H549" s="129"/>
    </row>
    <row r="550" spans="3:8" s="120" customFormat="1" x14ac:dyDescent="0.2">
      <c r="C550" s="391"/>
      <c r="D550" s="129"/>
      <c r="E550" s="129"/>
      <c r="F550" s="129"/>
      <c r="G550" s="129"/>
      <c r="H550" s="129"/>
    </row>
    <row r="551" spans="3:8" s="120" customFormat="1" x14ac:dyDescent="0.2">
      <c r="C551" s="391"/>
      <c r="D551" s="129"/>
      <c r="E551" s="129"/>
      <c r="F551" s="129"/>
      <c r="G551" s="129"/>
      <c r="H551" s="129"/>
    </row>
    <row r="552" spans="3:8" s="120" customFormat="1" x14ac:dyDescent="0.2">
      <c r="C552" s="391"/>
      <c r="D552" s="129"/>
      <c r="E552" s="129"/>
      <c r="F552" s="129"/>
      <c r="G552" s="129"/>
      <c r="H552" s="129"/>
    </row>
    <row r="553" spans="3:8" s="120" customFormat="1" x14ac:dyDescent="0.2">
      <c r="C553" s="391"/>
      <c r="D553" s="129"/>
      <c r="E553" s="129"/>
      <c r="F553" s="129"/>
      <c r="G553" s="129"/>
      <c r="H553" s="129"/>
    </row>
    <row r="554" spans="3:8" s="120" customFormat="1" x14ac:dyDescent="0.2">
      <c r="C554" s="391"/>
      <c r="D554" s="129"/>
      <c r="E554" s="129"/>
      <c r="F554" s="129"/>
      <c r="G554" s="129"/>
      <c r="H554" s="129"/>
    </row>
    <row r="555" spans="3:8" s="120" customFormat="1" x14ac:dyDescent="0.2">
      <c r="C555" s="391"/>
      <c r="D555" s="129"/>
      <c r="E555" s="129"/>
      <c r="F555" s="129"/>
      <c r="G555" s="129"/>
      <c r="H555" s="129"/>
    </row>
    <row r="556" spans="3:8" s="120" customFormat="1" x14ac:dyDescent="0.2">
      <c r="C556" s="391"/>
      <c r="D556" s="129"/>
      <c r="E556" s="129"/>
      <c r="F556" s="129"/>
      <c r="G556" s="129"/>
      <c r="H556" s="129"/>
    </row>
    <row r="557" spans="3:8" s="120" customFormat="1" x14ac:dyDescent="0.2">
      <c r="C557" s="391"/>
      <c r="D557" s="129"/>
      <c r="E557" s="129"/>
      <c r="F557" s="129"/>
      <c r="G557" s="129"/>
      <c r="H557" s="129"/>
    </row>
    <row r="558" spans="3:8" s="120" customFormat="1" x14ac:dyDescent="0.2">
      <c r="C558" s="391"/>
      <c r="D558" s="129"/>
      <c r="E558" s="129"/>
      <c r="F558" s="129"/>
      <c r="G558" s="129"/>
      <c r="H558" s="129"/>
    </row>
    <row r="559" spans="3:8" s="120" customFormat="1" x14ac:dyDescent="0.2">
      <c r="C559" s="391"/>
      <c r="D559" s="129"/>
      <c r="E559" s="129"/>
      <c r="F559" s="129"/>
      <c r="G559" s="129"/>
      <c r="H559" s="129"/>
    </row>
    <row r="560" spans="3:8" s="120" customFormat="1" x14ac:dyDescent="0.2">
      <c r="C560" s="391"/>
      <c r="D560" s="129"/>
      <c r="E560" s="129"/>
      <c r="F560" s="129"/>
      <c r="G560" s="129"/>
      <c r="H560" s="129"/>
    </row>
    <row r="561" spans="3:8" s="120" customFormat="1" x14ac:dyDescent="0.2">
      <c r="C561" s="391"/>
      <c r="D561" s="129"/>
      <c r="E561" s="129"/>
      <c r="F561" s="129"/>
      <c r="G561" s="129"/>
      <c r="H561" s="129"/>
    </row>
    <row r="562" spans="3:8" s="120" customFormat="1" x14ac:dyDescent="0.2">
      <c r="C562" s="391"/>
      <c r="D562" s="129"/>
      <c r="E562" s="129"/>
      <c r="F562" s="129"/>
      <c r="G562" s="129"/>
      <c r="H562" s="129"/>
    </row>
    <row r="563" spans="3:8" s="120" customFormat="1" x14ac:dyDescent="0.2">
      <c r="C563" s="391"/>
      <c r="D563" s="129"/>
      <c r="E563" s="129"/>
      <c r="F563" s="129"/>
      <c r="G563" s="129"/>
      <c r="H563" s="129"/>
    </row>
    <row r="564" spans="3:8" s="120" customFormat="1" x14ac:dyDescent="0.2">
      <c r="C564" s="391"/>
      <c r="D564" s="129"/>
      <c r="E564" s="129"/>
      <c r="F564" s="129"/>
      <c r="G564" s="129"/>
      <c r="H564" s="129"/>
    </row>
    <row r="565" spans="3:8" s="120" customFormat="1" x14ac:dyDescent="0.2">
      <c r="C565" s="391"/>
      <c r="D565" s="129"/>
      <c r="E565" s="129"/>
      <c r="F565" s="129"/>
      <c r="G565" s="129"/>
      <c r="H565" s="129"/>
    </row>
    <row r="566" spans="3:8" s="120" customFormat="1" x14ac:dyDescent="0.2">
      <c r="C566" s="391"/>
      <c r="D566" s="129"/>
      <c r="E566" s="129"/>
      <c r="F566" s="129"/>
      <c r="G566" s="129"/>
      <c r="H566" s="129"/>
    </row>
    <row r="567" spans="3:8" s="120" customFormat="1" x14ac:dyDescent="0.2">
      <c r="C567" s="391"/>
      <c r="D567" s="129"/>
      <c r="E567" s="129"/>
      <c r="F567" s="129"/>
      <c r="G567" s="129"/>
      <c r="H567" s="129"/>
    </row>
    <row r="568" spans="3:8" s="120" customFormat="1" x14ac:dyDescent="0.2">
      <c r="C568" s="391"/>
      <c r="D568" s="129"/>
      <c r="E568" s="129"/>
      <c r="F568" s="129"/>
      <c r="G568" s="129"/>
      <c r="H568" s="129"/>
    </row>
    <row r="569" spans="3:8" s="120" customFormat="1" x14ac:dyDescent="0.2">
      <c r="C569" s="391"/>
      <c r="D569" s="129"/>
      <c r="E569" s="129"/>
      <c r="F569" s="129"/>
      <c r="G569" s="129"/>
      <c r="H569" s="129"/>
    </row>
    <row r="570" spans="3:8" s="120" customFormat="1" x14ac:dyDescent="0.2">
      <c r="C570" s="391"/>
      <c r="D570" s="129"/>
      <c r="E570" s="129"/>
      <c r="F570" s="129"/>
      <c r="G570" s="129"/>
      <c r="H570" s="129"/>
    </row>
    <row r="571" spans="3:8" s="120" customFormat="1" x14ac:dyDescent="0.2">
      <c r="C571" s="391"/>
      <c r="D571" s="129"/>
      <c r="E571" s="129"/>
      <c r="F571" s="129"/>
      <c r="G571" s="129"/>
      <c r="H571" s="129"/>
    </row>
    <row r="572" spans="3:8" s="120" customFormat="1" x14ac:dyDescent="0.2">
      <c r="C572" s="391"/>
      <c r="D572" s="129"/>
      <c r="E572" s="129"/>
      <c r="F572" s="129"/>
      <c r="G572" s="129"/>
      <c r="H572" s="129"/>
    </row>
    <row r="573" spans="3:8" s="120" customFormat="1" x14ac:dyDescent="0.2">
      <c r="C573" s="391"/>
      <c r="D573" s="129"/>
      <c r="E573" s="129"/>
      <c r="F573" s="129"/>
      <c r="G573" s="129"/>
      <c r="H573" s="129"/>
    </row>
    <row r="574" spans="3:8" s="120" customFormat="1" x14ac:dyDescent="0.2">
      <c r="C574" s="391"/>
      <c r="D574" s="129"/>
      <c r="E574" s="129"/>
      <c r="F574" s="129"/>
      <c r="G574" s="129"/>
      <c r="H574" s="129"/>
    </row>
    <row r="575" spans="3:8" s="120" customFormat="1" x14ac:dyDescent="0.2">
      <c r="C575" s="391"/>
      <c r="D575" s="129"/>
      <c r="E575" s="129"/>
      <c r="F575" s="129"/>
      <c r="G575" s="129"/>
      <c r="H575" s="129"/>
    </row>
    <row r="576" spans="3:8" s="120" customFormat="1" x14ac:dyDescent="0.2">
      <c r="C576" s="391"/>
      <c r="D576" s="129"/>
      <c r="E576" s="129"/>
      <c r="F576" s="129"/>
      <c r="G576" s="129"/>
      <c r="H576" s="129"/>
    </row>
    <row r="577" spans="3:8" s="120" customFormat="1" x14ac:dyDescent="0.2">
      <c r="C577" s="391"/>
      <c r="D577" s="129"/>
      <c r="E577" s="129"/>
      <c r="F577" s="129"/>
      <c r="G577" s="129"/>
      <c r="H577" s="129"/>
    </row>
    <row r="578" spans="3:8" s="120" customFormat="1" x14ac:dyDescent="0.2">
      <c r="C578" s="391"/>
      <c r="D578" s="129"/>
      <c r="E578" s="129"/>
      <c r="F578" s="129"/>
      <c r="G578" s="129"/>
      <c r="H578" s="129"/>
    </row>
    <row r="579" spans="3:8" s="120" customFormat="1" x14ac:dyDescent="0.2">
      <c r="C579" s="391"/>
      <c r="D579" s="129"/>
      <c r="E579" s="129"/>
      <c r="F579" s="129"/>
      <c r="G579" s="129"/>
      <c r="H579" s="129"/>
    </row>
    <row r="580" spans="3:8" s="120" customFormat="1" x14ac:dyDescent="0.2">
      <c r="C580" s="391"/>
      <c r="D580" s="129"/>
      <c r="E580" s="129"/>
      <c r="F580" s="129"/>
      <c r="G580" s="129"/>
      <c r="H580" s="129"/>
    </row>
    <row r="581" spans="3:8" s="120" customFormat="1" x14ac:dyDescent="0.2">
      <c r="C581" s="391"/>
      <c r="D581" s="129"/>
      <c r="E581" s="129"/>
      <c r="F581" s="129"/>
      <c r="G581" s="129"/>
      <c r="H581" s="129"/>
    </row>
    <row r="582" spans="3:8" s="120" customFormat="1" x14ac:dyDescent="0.2">
      <c r="C582" s="391"/>
      <c r="D582" s="129"/>
      <c r="E582" s="129"/>
      <c r="F582" s="129"/>
      <c r="G582" s="129"/>
      <c r="H582" s="129"/>
    </row>
    <row r="583" spans="3:8" s="120" customFormat="1" x14ac:dyDescent="0.2">
      <c r="C583" s="391"/>
      <c r="D583" s="129"/>
      <c r="E583" s="129"/>
      <c r="F583" s="129"/>
      <c r="G583" s="129"/>
      <c r="H583" s="129"/>
    </row>
    <row r="584" spans="3:8" s="120" customFormat="1" x14ac:dyDescent="0.2">
      <c r="C584" s="391"/>
      <c r="D584" s="129"/>
      <c r="E584" s="129"/>
      <c r="F584" s="129"/>
      <c r="G584" s="129"/>
      <c r="H584" s="129"/>
    </row>
    <row r="585" spans="3:8" s="120" customFormat="1" x14ac:dyDescent="0.2">
      <c r="C585" s="391"/>
      <c r="D585" s="129"/>
      <c r="E585" s="129"/>
      <c r="F585" s="129"/>
      <c r="G585" s="129"/>
      <c r="H585" s="129"/>
    </row>
    <row r="586" spans="3:8" s="120" customFormat="1" x14ac:dyDescent="0.2">
      <c r="C586" s="391"/>
      <c r="D586" s="129"/>
      <c r="E586" s="129"/>
      <c r="F586" s="129"/>
      <c r="G586" s="129"/>
      <c r="H586" s="129"/>
    </row>
    <row r="587" spans="3:8" s="120" customFormat="1" x14ac:dyDescent="0.2">
      <c r="C587" s="391"/>
      <c r="D587" s="129"/>
      <c r="E587" s="129"/>
      <c r="F587" s="129"/>
      <c r="G587" s="129"/>
      <c r="H587" s="129"/>
    </row>
    <row r="588" spans="3:8" s="120" customFormat="1" x14ac:dyDescent="0.2">
      <c r="C588" s="391"/>
      <c r="D588" s="129"/>
      <c r="E588" s="129"/>
      <c r="F588" s="129"/>
      <c r="G588" s="129"/>
      <c r="H588" s="129"/>
    </row>
    <row r="589" spans="3:8" s="120" customFormat="1" x14ac:dyDescent="0.2">
      <c r="C589" s="391"/>
      <c r="D589" s="129"/>
      <c r="E589" s="129"/>
      <c r="F589" s="129"/>
      <c r="G589" s="129"/>
      <c r="H589" s="129"/>
    </row>
    <row r="590" spans="3:8" s="120" customFormat="1" x14ac:dyDescent="0.2">
      <c r="C590" s="391"/>
      <c r="D590" s="129"/>
      <c r="E590" s="129"/>
      <c r="F590" s="129"/>
      <c r="G590" s="129"/>
      <c r="H590" s="129"/>
    </row>
    <row r="591" spans="3:8" s="120" customFormat="1" x14ac:dyDescent="0.2">
      <c r="C591" s="391"/>
      <c r="D591" s="129"/>
      <c r="E591" s="129"/>
      <c r="F591" s="129"/>
      <c r="G591" s="129"/>
      <c r="H591" s="129"/>
    </row>
    <row r="592" spans="3:8" s="120" customFormat="1" x14ac:dyDescent="0.2">
      <c r="C592" s="391"/>
      <c r="D592" s="129"/>
      <c r="E592" s="129"/>
      <c r="F592" s="129"/>
      <c r="G592" s="129"/>
      <c r="H592" s="129"/>
    </row>
    <row r="593" spans="3:8" s="120" customFormat="1" x14ac:dyDescent="0.2">
      <c r="C593" s="391"/>
      <c r="D593" s="129"/>
      <c r="E593" s="129"/>
      <c r="F593" s="129"/>
      <c r="G593" s="129"/>
      <c r="H593" s="129"/>
    </row>
    <row r="594" spans="3:8" s="120" customFormat="1" x14ac:dyDescent="0.2">
      <c r="C594" s="391"/>
      <c r="D594" s="129"/>
      <c r="E594" s="129"/>
      <c r="F594" s="129"/>
      <c r="G594" s="129"/>
      <c r="H594" s="129"/>
    </row>
    <row r="595" spans="3:8" s="120" customFormat="1" x14ac:dyDescent="0.2">
      <c r="C595" s="391"/>
      <c r="D595" s="129"/>
      <c r="E595" s="129"/>
      <c r="F595" s="129"/>
      <c r="G595" s="129"/>
      <c r="H595" s="129"/>
    </row>
    <row r="596" spans="3:8" s="120" customFormat="1" x14ac:dyDescent="0.2">
      <c r="C596" s="391"/>
      <c r="D596" s="129"/>
      <c r="E596" s="129"/>
      <c r="F596" s="129"/>
      <c r="G596" s="129"/>
      <c r="H596" s="129"/>
    </row>
    <row r="597" spans="3:8" s="120" customFormat="1" x14ac:dyDescent="0.2">
      <c r="C597" s="391"/>
      <c r="D597" s="129"/>
      <c r="E597" s="129"/>
      <c r="F597" s="129"/>
      <c r="G597" s="129"/>
      <c r="H597" s="129"/>
    </row>
    <row r="598" spans="3:8" s="120" customFormat="1" x14ac:dyDescent="0.2">
      <c r="C598" s="391"/>
      <c r="D598" s="129"/>
      <c r="E598" s="129"/>
      <c r="F598" s="129"/>
      <c r="G598" s="129"/>
      <c r="H598" s="129"/>
    </row>
    <row r="599" spans="3:8" s="120" customFormat="1" x14ac:dyDescent="0.2">
      <c r="C599" s="391"/>
      <c r="D599" s="129"/>
      <c r="E599" s="129"/>
      <c r="F599" s="129"/>
      <c r="G599" s="129"/>
      <c r="H599" s="129"/>
    </row>
    <row r="600" spans="3:8" s="120" customFormat="1" x14ac:dyDescent="0.2">
      <c r="C600" s="391"/>
      <c r="D600" s="129"/>
      <c r="E600" s="129"/>
      <c r="F600" s="129"/>
      <c r="G600" s="129"/>
      <c r="H600" s="129"/>
    </row>
    <row r="601" spans="3:8" s="120" customFormat="1" x14ac:dyDescent="0.2">
      <c r="C601" s="391"/>
      <c r="D601" s="129"/>
      <c r="E601" s="129"/>
      <c r="F601" s="129"/>
      <c r="G601" s="129"/>
      <c r="H601" s="129"/>
    </row>
    <row r="602" spans="3:8" s="120" customFormat="1" x14ac:dyDescent="0.2">
      <c r="C602" s="391"/>
      <c r="D602" s="129"/>
      <c r="E602" s="129"/>
      <c r="F602" s="129"/>
      <c r="G602" s="129"/>
      <c r="H602" s="129"/>
    </row>
    <row r="603" spans="3:8" s="120" customFormat="1" x14ac:dyDescent="0.2">
      <c r="C603" s="391"/>
      <c r="D603" s="129"/>
      <c r="E603" s="129"/>
      <c r="F603" s="129"/>
      <c r="G603" s="129"/>
      <c r="H603" s="129"/>
    </row>
    <row r="604" spans="3:8" s="120" customFormat="1" x14ac:dyDescent="0.2">
      <c r="C604" s="391"/>
      <c r="D604" s="129"/>
      <c r="E604" s="129"/>
      <c r="F604" s="129"/>
      <c r="G604" s="129"/>
      <c r="H604" s="129"/>
    </row>
    <row r="605" spans="3:8" s="120" customFormat="1" x14ac:dyDescent="0.2">
      <c r="C605" s="391"/>
      <c r="D605" s="129"/>
      <c r="E605" s="129"/>
      <c r="F605" s="129"/>
      <c r="G605" s="129"/>
      <c r="H605" s="129"/>
    </row>
    <row r="606" spans="3:8" s="120" customFormat="1" x14ac:dyDescent="0.2">
      <c r="C606" s="391"/>
      <c r="D606" s="129"/>
      <c r="E606" s="129"/>
      <c r="F606" s="129"/>
      <c r="G606" s="129"/>
      <c r="H606" s="129"/>
    </row>
    <row r="607" spans="3:8" s="120" customFormat="1" x14ac:dyDescent="0.2">
      <c r="C607" s="391"/>
      <c r="D607" s="129"/>
      <c r="E607" s="129"/>
      <c r="F607" s="129"/>
      <c r="G607" s="129"/>
      <c r="H607" s="129"/>
    </row>
    <row r="608" spans="3:8" s="120" customFormat="1" x14ac:dyDescent="0.2">
      <c r="C608" s="391"/>
      <c r="D608" s="129"/>
      <c r="E608" s="129"/>
      <c r="F608" s="129"/>
      <c r="G608" s="129"/>
      <c r="H608" s="129"/>
    </row>
    <row r="609" spans="3:8" s="120" customFormat="1" x14ac:dyDescent="0.2">
      <c r="C609" s="391"/>
      <c r="D609" s="129"/>
      <c r="E609" s="129"/>
      <c r="F609" s="129"/>
      <c r="G609" s="129"/>
      <c r="H609" s="129"/>
    </row>
    <row r="610" spans="3:8" s="120" customFormat="1" x14ac:dyDescent="0.2">
      <c r="C610" s="391"/>
      <c r="D610" s="129"/>
      <c r="E610" s="129"/>
      <c r="F610" s="129"/>
      <c r="G610" s="129"/>
      <c r="H610" s="129"/>
    </row>
    <row r="611" spans="3:8" s="120" customFormat="1" x14ac:dyDescent="0.2">
      <c r="C611" s="391"/>
      <c r="D611" s="129"/>
      <c r="E611" s="129"/>
      <c r="F611" s="129"/>
      <c r="G611" s="129"/>
      <c r="H611" s="129"/>
    </row>
    <row r="612" spans="3:8" s="120" customFormat="1" x14ac:dyDescent="0.2">
      <c r="C612" s="391"/>
      <c r="D612" s="129"/>
      <c r="E612" s="129"/>
      <c r="F612" s="129"/>
      <c r="G612" s="129"/>
      <c r="H612" s="129"/>
    </row>
    <row r="613" spans="3:8" s="120" customFormat="1" x14ac:dyDescent="0.2">
      <c r="C613" s="391"/>
      <c r="D613" s="129"/>
      <c r="E613" s="129"/>
      <c r="F613" s="129"/>
      <c r="G613" s="129"/>
      <c r="H613" s="129"/>
    </row>
    <row r="614" spans="3:8" s="120" customFormat="1" x14ac:dyDescent="0.2">
      <c r="C614" s="391"/>
      <c r="D614" s="129"/>
      <c r="E614" s="129"/>
      <c r="F614" s="129"/>
      <c r="G614" s="129"/>
      <c r="H614" s="129"/>
    </row>
    <row r="615" spans="3:8" s="120" customFormat="1" x14ac:dyDescent="0.2">
      <c r="C615" s="391"/>
      <c r="D615" s="129"/>
      <c r="E615" s="129"/>
      <c r="F615" s="129"/>
      <c r="G615" s="129"/>
      <c r="H615" s="129"/>
    </row>
    <row r="616" spans="3:8" s="120" customFormat="1" x14ac:dyDescent="0.2">
      <c r="C616" s="391"/>
      <c r="D616" s="129"/>
      <c r="E616" s="129"/>
      <c r="F616" s="129"/>
      <c r="G616" s="129"/>
      <c r="H616" s="129"/>
    </row>
    <row r="617" spans="3:8" s="120" customFormat="1" x14ac:dyDescent="0.2">
      <c r="C617" s="391"/>
      <c r="D617" s="129"/>
      <c r="E617" s="129"/>
      <c r="F617" s="129"/>
      <c r="G617" s="129"/>
      <c r="H617" s="129"/>
    </row>
    <row r="618" spans="3:8" s="120" customFormat="1" x14ac:dyDescent="0.2">
      <c r="C618" s="391"/>
      <c r="D618" s="129"/>
      <c r="E618" s="129"/>
      <c r="F618" s="129"/>
      <c r="G618" s="129"/>
      <c r="H618" s="129"/>
    </row>
    <row r="619" spans="3:8" s="120" customFormat="1" x14ac:dyDescent="0.2">
      <c r="C619" s="391"/>
      <c r="D619" s="129"/>
      <c r="E619" s="129"/>
      <c r="F619" s="129"/>
      <c r="G619" s="129"/>
      <c r="H619" s="129"/>
    </row>
    <row r="620" spans="3:8" s="120" customFormat="1" x14ac:dyDescent="0.2">
      <c r="C620" s="391"/>
      <c r="D620" s="129"/>
      <c r="E620" s="129"/>
      <c r="F620" s="129"/>
      <c r="G620" s="129"/>
      <c r="H620" s="129"/>
    </row>
    <row r="621" spans="3:8" s="120" customFormat="1" x14ac:dyDescent="0.2">
      <c r="C621" s="391"/>
      <c r="D621" s="129"/>
      <c r="E621" s="129"/>
      <c r="F621" s="129"/>
      <c r="G621" s="129"/>
      <c r="H621" s="129"/>
    </row>
    <row r="622" spans="3:8" s="120" customFormat="1" x14ac:dyDescent="0.2">
      <c r="C622" s="391"/>
      <c r="D622" s="129"/>
      <c r="E622" s="129"/>
      <c r="F622" s="129"/>
      <c r="G622" s="129"/>
      <c r="H622" s="129"/>
    </row>
    <row r="623" spans="3:8" s="120" customFormat="1" x14ac:dyDescent="0.2">
      <c r="C623" s="391"/>
      <c r="D623" s="129"/>
      <c r="E623" s="129"/>
      <c r="F623" s="129"/>
      <c r="G623" s="129"/>
      <c r="H623" s="129"/>
    </row>
    <row r="624" spans="3:8" s="120" customFormat="1" x14ac:dyDescent="0.2">
      <c r="C624" s="391"/>
      <c r="D624" s="129"/>
      <c r="E624" s="129"/>
      <c r="F624" s="129"/>
      <c r="G624" s="129"/>
      <c r="H624" s="129"/>
    </row>
    <row r="625" spans="3:8" s="120" customFormat="1" x14ac:dyDescent="0.2">
      <c r="C625" s="391"/>
      <c r="D625" s="129"/>
      <c r="E625" s="129"/>
      <c r="F625" s="129"/>
      <c r="G625" s="129"/>
      <c r="H625" s="129"/>
    </row>
    <row r="626" spans="3:8" s="120" customFormat="1" x14ac:dyDescent="0.2">
      <c r="C626" s="391"/>
      <c r="D626" s="129"/>
      <c r="E626" s="129"/>
      <c r="F626" s="129"/>
      <c r="G626" s="129"/>
      <c r="H626" s="129"/>
    </row>
    <row r="627" spans="3:8" s="120" customFormat="1" x14ac:dyDescent="0.2">
      <c r="C627" s="391"/>
      <c r="D627" s="129"/>
      <c r="E627" s="129"/>
      <c r="F627" s="129"/>
      <c r="G627" s="129"/>
      <c r="H627" s="129"/>
    </row>
    <row r="628" spans="3:8" s="120" customFormat="1" x14ac:dyDescent="0.2">
      <c r="C628" s="391"/>
      <c r="D628" s="129"/>
      <c r="E628" s="129"/>
      <c r="F628" s="129"/>
      <c r="G628" s="129"/>
      <c r="H628" s="129"/>
    </row>
    <row r="629" spans="3:8" s="120" customFormat="1" x14ac:dyDescent="0.2">
      <c r="C629" s="391"/>
      <c r="D629" s="129"/>
      <c r="E629" s="129"/>
      <c r="F629" s="129"/>
      <c r="G629" s="129"/>
      <c r="H629" s="129"/>
    </row>
    <row r="630" spans="3:8" s="120" customFormat="1" x14ac:dyDescent="0.2">
      <c r="C630" s="391"/>
      <c r="D630" s="129"/>
      <c r="E630" s="129"/>
      <c r="F630" s="129"/>
      <c r="G630" s="129"/>
      <c r="H630" s="129"/>
    </row>
    <row r="631" spans="3:8" s="120" customFormat="1" x14ac:dyDescent="0.2">
      <c r="C631" s="391"/>
      <c r="D631" s="129"/>
      <c r="E631" s="129"/>
      <c r="F631" s="129"/>
      <c r="G631" s="129"/>
      <c r="H631" s="129"/>
    </row>
    <row r="632" spans="3:8" s="120" customFormat="1" x14ac:dyDescent="0.2">
      <c r="C632" s="391"/>
      <c r="D632" s="129"/>
      <c r="E632" s="129"/>
      <c r="F632" s="129"/>
      <c r="G632" s="129"/>
      <c r="H632" s="129"/>
    </row>
    <row r="633" spans="3:8" s="120" customFormat="1" x14ac:dyDescent="0.2">
      <c r="C633" s="391"/>
      <c r="D633" s="129"/>
      <c r="E633" s="129"/>
      <c r="F633" s="129"/>
      <c r="G633" s="129"/>
      <c r="H633" s="129"/>
    </row>
    <row r="634" spans="3:8" s="120" customFormat="1" x14ac:dyDescent="0.2">
      <c r="C634" s="391"/>
      <c r="D634" s="129"/>
      <c r="E634" s="129"/>
      <c r="F634" s="129"/>
      <c r="G634" s="129"/>
      <c r="H634" s="129"/>
    </row>
    <row r="635" spans="3:8" s="120" customFormat="1" x14ac:dyDescent="0.2">
      <c r="C635" s="391"/>
      <c r="D635" s="129"/>
      <c r="E635" s="129"/>
      <c r="F635" s="129"/>
      <c r="G635" s="129"/>
      <c r="H635" s="129"/>
    </row>
    <row r="636" spans="3:8" s="120" customFormat="1" x14ac:dyDescent="0.2">
      <c r="C636" s="391"/>
      <c r="D636" s="129"/>
      <c r="E636" s="129"/>
      <c r="F636" s="129"/>
      <c r="G636" s="129"/>
      <c r="H636" s="129"/>
    </row>
    <row r="637" spans="3:8" s="120" customFormat="1" x14ac:dyDescent="0.2">
      <c r="C637" s="391"/>
      <c r="D637" s="129"/>
      <c r="E637" s="129"/>
      <c r="F637" s="129"/>
      <c r="G637" s="129"/>
      <c r="H637" s="129"/>
    </row>
    <row r="638" spans="3:8" s="120" customFormat="1" x14ac:dyDescent="0.2">
      <c r="C638" s="391"/>
      <c r="D638" s="129"/>
      <c r="E638" s="129"/>
      <c r="F638" s="129"/>
      <c r="G638" s="129"/>
      <c r="H638" s="129"/>
    </row>
    <row r="639" spans="3:8" s="120" customFormat="1" x14ac:dyDescent="0.2">
      <c r="C639" s="391"/>
      <c r="D639" s="129"/>
      <c r="E639" s="129"/>
      <c r="F639" s="129"/>
      <c r="G639" s="129"/>
      <c r="H639" s="129"/>
    </row>
    <row r="640" spans="3:8" s="120" customFormat="1" x14ac:dyDescent="0.2">
      <c r="C640" s="391"/>
      <c r="D640" s="129"/>
      <c r="E640" s="129"/>
      <c r="F640" s="129"/>
      <c r="G640" s="129"/>
      <c r="H640" s="129"/>
    </row>
    <row r="641" spans="3:8" s="120" customFormat="1" x14ac:dyDescent="0.2">
      <c r="C641" s="391"/>
      <c r="D641" s="129"/>
      <c r="E641" s="129"/>
      <c r="F641" s="129"/>
      <c r="G641" s="129"/>
      <c r="H641" s="129"/>
    </row>
    <row r="642" spans="3:8" s="120" customFormat="1" x14ac:dyDescent="0.2">
      <c r="C642" s="391"/>
      <c r="D642" s="129"/>
      <c r="E642" s="129"/>
      <c r="F642" s="129"/>
      <c r="G642" s="129"/>
      <c r="H642" s="129"/>
    </row>
    <row r="643" spans="3:8" s="120" customFormat="1" x14ac:dyDescent="0.2">
      <c r="C643" s="391"/>
      <c r="D643" s="129"/>
      <c r="E643" s="129"/>
      <c r="F643" s="129"/>
      <c r="G643" s="129"/>
      <c r="H643" s="129"/>
    </row>
    <row r="644" spans="3:8" s="120" customFormat="1" x14ac:dyDescent="0.2">
      <c r="C644" s="391"/>
      <c r="D644" s="129"/>
      <c r="E644" s="129"/>
      <c r="F644" s="129"/>
      <c r="G644" s="129"/>
      <c r="H644" s="129"/>
    </row>
    <row r="645" spans="3:8" s="120" customFormat="1" x14ac:dyDescent="0.2">
      <c r="C645" s="391"/>
      <c r="D645" s="129"/>
      <c r="E645" s="129"/>
      <c r="F645" s="129"/>
      <c r="G645" s="129"/>
      <c r="H645" s="129"/>
    </row>
    <row r="646" spans="3:8" s="120" customFormat="1" x14ac:dyDescent="0.2">
      <c r="C646" s="391"/>
      <c r="D646" s="129"/>
      <c r="E646" s="129"/>
      <c r="F646" s="129"/>
      <c r="G646" s="129"/>
      <c r="H646" s="129"/>
    </row>
    <row r="647" spans="3:8" s="120" customFormat="1" x14ac:dyDescent="0.2">
      <c r="C647" s="391"/>
      <c r="D647" s="129"/>
      <c r="E647" s="129"/>
      <c r="F647" s="129"/>
      <c r="G647" s="129"/>
      <c r="H647" s="129"/>
    </row>
    <row r="648" spans="3:8" s="120" customFormat="1" x14ac:dyDescent="0.2">
      <c r="C648" s="391"/>
      <c r="D648" s="129"/>
      <c r="E648" s="129"/>
      <c r="F648" s="129"/>
      <c r="G648" s="129"/>
      <c r="H648" s="129"/>
    </row>
    <row r="649" spans="3:8" s="120" customFormat="1" x14ac:dyDescent="0.2">
      <c r="C649" s="391"/>
      <c r="D649" s="129"/>
      <c r="E649" s="129"/>
      <c r="F649" s="129"/>
      <c r="G649" s="129"/>
      <c r="H649" s="129"/>
    </row>
    <row r="650" spans="3:8" s="120" customFormat="1" x14ac:dyDescent="0.2">
      <c r="C650" s="391"/>
      <c r="D650" s="129"/>
      <c r="E650" s="129"/>
      <c r="F650" s="129"/>
      <c r="G650" s="129"/>
      <c r="H650" s="129"/>
    </row>
    <row r="651" spans="3:8" s="120" customFormat="1" x14ac:dyDescent="0.2">
      <c r="C651" s="391"/>
      <c r="D651" s="129"/>
      <c r="E651" s="129"/>
      <c r="F651" s="129"/>
      <c r="G651" s="129"/>
      <c r="H651" s="129"/>
    </row>
    <row r="652" spans="3:8" s="120" customFormat="1" x14ac:dyDescent="0.2">
      <c r="C652" s="391"/>
      <c r="D652" s="129"/>
      <c r="E652" s="129"/>
      <c r="F652" s="129"/>
      <c r="G652" s="129"/>
      <c r="H652" s="129"/>
    </row>
    <row r="653" spans="3:8" s="120" customFormat="1" x14ac:dyDescent="0.2">
      <c r="C653" s="391"/>
      <c r="D653" s="129"/>
      <c r="E653" s="129"/>
      <c r="F653" s="129"/>
      <c r="G653" s="129"/>
      <c r="H653" s="129"/>
    </row>
    <row r="654" spans="3:8" s="120" customFormat="1" x14ac:dyDescent="0.2">
      <c r="C654" s="391"/>
      <c r="D654" s="129"/>
      <c r="E654" s="129"/>
      <c r="F654" s="129"/>
      <c r="G654" s="129"/>
      <c r="H654" s="129"/>
    </row>
    <row r="655" spans="3:8" s="120" customFormat="1" x14ac:dyDescent="0.2">
      <c r="C655" s="391"/>
      <c r="D655" s="129"/>
      <c r="E655" s="129"/>
      <c r="F655" s="129"/>
      <c r="G655" s="129"/>
      <c r="H655" s="129"/>
    </row>
    <row r="656" spans="3:8" s="120" customFormat="1" x14ac:dyDescent="0.2">
      <c r="C656" s="391"/>
      <c r="D656" s="129"/>
      <c r="E656" s="129"/>
      <c r="F656" s="129"/>
      <c r="G656" s="129"/>
      <c r="H656" s="129"/>
    </row>
    <row r="657" spans="3:8" s="120" customFormat="1" x14ac:dyDescent="0.2">
      <c r="C657" s="391"/>
      <c r="D657" s="129"/>
      <c r="E657" s="129"/>
      <c r="F657" s="129"/>
      <c r="G657" s="129"/>
      <c r="H657" s="129"/>
    </row>
    <row r="658" spans="3:8" s="120" customFormat="1" x14ac:dyDescent="0.2">
      <c r="C658" s="391"/>
      <c r="D658" s="129"/>
      <c r="E658" s="129"/>
      <c r="F658" s="129"/>
      <c r="G658" s="129"/>
      <c r="H658" s="129"/>
    </row>
    <row r="659" spans="3:8" s="120" customFormat="1" x14ac:dyDescent="0.2">
      <c r="C659" s="391"/>
      <c r="D659" s="129"/>
      <c r="E659" s="129"/>
      <c r="F659" s="129"/>
      <c r="G659" s="129"/>
      <c r="H659" s="129"/>
    </row>
    <row r="660" spans="3:8" s="120" customFormat="1" x14ac:dyDescent="0.2">
      <c r="C660" s="391"/>
      <c r="D660" s="129"/>
      <c r="E660" s="129"/>
      <c r="F660" s="129"/>
      <c r="G660" s="129"/>
      <c r="H660" s="129"/>
    </row>
    <row r="661" spans="3:8" s="120" customFormat="1" x14ac:dyDescent="0.2">
      <c r="C661" s="391"/>
      <c r="D661" s="129"/>
      <c r="E661" s="129"/>
      <c r="F661" s="129"/>
      <c r="G661" s="129"/>
      <c r="H661" s="129"/>
    </row>
    <row r="662" spans="3:8" s="120" customFormat="1" x14ac:dyDescent="0.2">
      <c r="C662" s="391"/>
      <c r="D662" s="129"/>
      <c r="E662" s="129"/>
      <c r="F662" s="129"/>
      <c r="G662" s="129"/>
      <c r="H662" s="129"/>
    </row>
    <row r="663" spans="3:8" s="120" customFormat="1" x14ac:dyDescent="0.2">
      <c r="C663" s="391"/>
      <c r="D663" s="129"/>
      <c r="E663" s="129"/>
      <c r="F663" s="129"/>
      <c r="G663" s="129"/>
      <c r="H663" s="129"/>
    </row>
    <row r="664" spans="3:8" s="120" customFormat="1" x14ac:dyDescent="0.2">
      <c r="C664" s="391"/>
      <c r="D664" s="129"/>
      <c r="E664" s="129"/>
      <c r="F664" s="129"/>
      <c r="G664" s="129"/>
      <c r="H664" s="129"/>
    </row>
    <row r="665" spans="3:8" s="120" customFormat="1" x14ac:dyDescent="0.2">
      <c r="C665" s="391"/>
      <c r="D665" s="129"/>
      <c r="E665" s="129"/>
      <c r="F665" s="129"/>
      <c r="G665" s="129"/>
      <c r="H665" s="129"/>
    </row>
    <row r="666" spans="3:8" s="120" customFormat="1" x14ac:dyDescent="0.2">
      <c r="C666" s="391"/>
      <c r="D666" s="129"/>
      <c r="E666" s="129"/>
      <c r="F666" s="129"/>
      <c r="G666" s="129"/>
      <c r="H666" s="129"/>
    </row>
    <row r="667" spans="3:8" s="120" customFormat="1" x14ac:dyDescent="0.2">
      <c r="C667" s="391"/>
      <c r="D667" s="129"/>
      <c r="E667" s="129"/>
      <c r="F667" s="129"/>
      <c r="G667" s="129"/>
      <c r="H667" s="129"/>
    </row>
    <row r="668" spans="3:8" s="120" customFormat="1" x14ac:dyDescent="0.2">
      <c r="C668" s="391"/>
      <c r="D668" s="129"/>
      <c r="E668" s="129"/>
      <c r="F668" s="129"/>
      <c r="G668" s="129"/>
      <c r="H668" s="129"/>
    </row>
    <row r="669" spans="3:8" s="120" customFormat="1" x14ac:dyDescent="0.2">
      <c r="C669" s="391"/>
      <c r="D669" s="129"/>
      <c r="E669" s="129"/>
      <c r="F669" s="129"/>
      <c r="G669" s="129"/>
      <c r="H669" s="129"/>
    </row>
    <row r="670" spans="3:8" s="120" customFormat="1" x14ac:dyDescent="0.2">
      <c r="C670" s="391"/>
      <c r="D670" s="129"/>
      <c r="E670" s="129"/>
      <c r="F670" s="129"/>
      <c r="G670" s="129"/>
      <c r="H670" s="129"/>
    </row>
    <row r="671" spans="3:8" s="120" customFormat="1" x14ac:dyDescent="0.2">
      <c r="C671" s="391"/>
      <c r="D671" s="129"/>
      <c r="E671" s="129"/>
      <c r="F671" s="129"/>
      <c r="G671" s="129"/>
      <c r="H671" s="129"/>
    </row>
    <row r="672" spans="3:8" s="120" customFormat="1" x14ac:dyDescent="0.2">
      <c r="C672" s="391"/>
      <c r="D672" s="129"/>
      <c r="E672" s="129"/>
      <c r="F672" s="129"/>
      <c r="G672" s="129"/>
      <c r="H672" s="129"/>
    </row>
    <row r="673" spans="3:8" s="120" customFormat="1" x14ac:dyDescent="0.2">
      <c r="C673" s="391"/>
      <c r="D673" s="129"/>
      <c r="E673" s="129"/>
      <c r="F673" s="129"/>
      <c r="G673" s="129"/>
      <c r="H673" s="129"/>
    </row>
    <row r="674" spans="3:8" s="120" customFormat="1" x14ac:dyDescent="0.2">
      <c r="C674" s="391"/>
      <c r="D674" s="129"/>
      <c r="E674" s="129"/>
      <c r="F674" s="129"/>
      <c r="G674" s="129"/>
      <c r="H674" s="129"/>
    </row>
    <row r="675" spans="3:8" s="120" customFormat="1" x14ac:dyDescent="0.2">
      <c r="C675" s="391"/>
      <c r="D675" s="129"/>
      <c r="E675" s="129"/>
      <c r="F675" s="129"/>
      <c r="G675" s="129"/>
      <c r="H675" s="129"/>
    </row>
    <row r="676" spans="3:8" s="120" customFormat="1" x14ac:dyDescent="0.2">
      <c r="C676" s="391"/>
      <c r="D676" s="129"/>
      <c r="E676" s="129"/>
      <c r="F676" s="129"/>
      <c r="G676" s="129"/>
      <c r="H676" s="129"/>
    </row>
    <row r="677" spans="3:8" s="120" customFormat="1" x14ac:dyDescent="0.2">
      <c r="C677" s="391"/>
      <c r="D677" s="129"/>
      <c r="E677" s="129"/>
      <c r="F677" s="129"/>
      <c r="G677" s="129"/>
      <c r="H677" s="129"/>
    </row>
    <row r="678" spans="3:8" s="120" customFormat="1" x14ac:dyDescent="0.2">
      <c r="C678" s="391"/>
      <c r="D678" s="129"/>
      <c r="E678" s="129"/>
      <c r="F678" s="129"/>
      <c r="G678" s="129"/>
      <c r="H678" s="129"/>
    </row>
    <row r="679" spans="3:8" s="120" customFormat="1" x14ac:dyDescent="0.2">
      <c r="C679" s="391"/>
      <c r="D679" s="129"/>
      <c r="E679" s="129"/>
      <c r="F679" s="129"/>
      <c r="G679" s="129"/>
      <c r="H679" s="129"/>
    </row>
    <row r="680" spans="3:8" s="120" customFormat="1" x14ac:dyDescent="0.2">
      <c r="C680" s="391"/>
      <c r="D680" s="129"/>
      <c r="E680" s="129"/>
      <c r="F680" s="129"/>
      <c r="G680" s="129"/>
      <c r="H680" s="129"/>
    </row>
    <row r="681" spans="3:8" s="120" customFormat="1" x14ac:dyDescent="0.2">
      <c r="C681" s="391"/>
      <c r="D681" s="129"/>
      <c r="E681" s="129"/>
      <c r="F681" s="129"/>
      <c r="G681" s="129"/>
      <c r="H681" s="129"/>
    </row>
    <row r="682" spans="3:8" s="120" customFormat="1" x14ac:dyDescent="0.2">
      <c r="C682" s="391"/>
      <c r="D682" s="129"/>
      <c r="E682" s="129"/>
      <c r="F682" s="129"/>
      <c r="G682" s="129"/>
      <c r="H682" s="129"/>
    </row>
    <row r="683" spans="3:8" s="120" customFormat="1" x14ac:dyDescent="0.2">
      <c r="C683" s="391"/>
      <c r="D683" s="129"/>
      <c r="E683" s="129"/>
      <c r="F683" s="129"/>
      <c r="G683" s="129"/>
      <c r="H683" s="129"/>
    </row>
    <row r="684" spans="3:8" s="120" customFormat="1" x14ac:dyDescent="0.2">
      <c r="C684" s="391"/>
      <c r="D684" s="129"/>
      <c r="E684" s="129"/>
      <c r="F684" s="129"/>
      <c r="G684" s="129"/>
      <c r="H684" s="129"/>
    </row>
    <row r="685" spans="3:8" s="120" customFormat="1" x14ac:dyDescent="0.2">
      <c r="C685" s="391"/>
      <c r="D685" s="129"/>
      <c r="E685" s="129"/>
      <c r="F685" s="129"/>
      <c r="G685" s="129"/>
      <c r="H685" s="129"/>
    </row>
    <row r="686" spans="3:8" s="120" customFormat="1" x14ac:dyDescent="0.2">
      <c r="C686" s="391"/>
      <c r="D686" s="129"/>
      <c r="E686" s="129"/>
      <c r="F686" s="129"/>
      <c r="G686" s="129"/>
      <c r="H686" s="129"/>
    </row>
    <row r="687" spans="3:8" s="120" customFormat="1" x14ac:dyDescent="0.2">
      <c r="C687" s="391"/>
      <c r="D687" s="129"/>
      <c r="E687" s="129"/>
      <c r="F687" s="129"/>
      <c r="G687" s="129"/>
      <c r="H687" s="129"/>
    </row>
    <row r="688" spans="3:8" s="120" customFormat="1" x14ac:dyDescent="0.2">
      <c r="C688" s="391"/>
      <c r="D688" s="129"/>
      <c r="E688" s="129"/>
      <c r="F688" s="129"/>
      <c r="G688" s="129"/>
      <c r="H688" s="129"/>
    </row>
    <row r="689" spans="3:8" s="120" customFormat="1" x14ac:dyDescent="0.2">
      <c r="C689" s="391"/>
      <c r="D689" s="129"/>
      <c r="E689" s="129"/>
      <c r="F689" s="129"/>
      <c r="G689" s="129"/>
      <c r="H689" s="129"/>
    </row>
    <row r="690" spans="3:8" s="120" customFormat="1" x14ac:dyDescent="0.2">
      <c r="C690" s="391"/>
      <c r="D690" s="129"/>
      <c r="E690" s="129"/>
      <c r="F690" s="129"/>
      <c r="G690" s="129"/>
      <c r="H690" s="129"/>
    </row>
    <row r="691" spans="3:8" s="120" customFormat="1" x14ac:dyDescent="0.2">
      <c r="C691" s="391"/>
      <c r="D691" s="129"/>
      <c r="E691" s="129"/>
      <c r="F691" s="129"/>
      <c r="G691" s="129"/>
      <c r="H691" s="129"/>
    </row>
    <row r="692" spans="3:8" s="120" customFormat="1" x14ac:dyDescent="0.2">
      <c r="C692" s="391"/>
      <c r="D692" s="129"/>
      <c r="E692" s="129"/>
      <c r="F692" s="129"/>
      <c r="G692" s="129"/>
      <c r="H692" s="129"/>
    </row>
    <row r="693" spans="3:8" s="120" customFormat="1" x14ac:dyDescent="0.2">
      <c r="C693" s="391"/>
      <c r="D693" s="129"/>
      <c r="E693" s="129"/>
      <c r="F693" s="129"/>
      <c r="G693" s="129"/>
      <c r="H693" s="129"/>
    </row>
    <row r="694" spans="3:8" s="120" customFormat="1" x14ac:dyDescent="0.2">
      <c r="C694" s="391"/>
      <c r="D694" s="129"/>
      <c r="E694" s="129"/>
      <c r="F694" s="129"/>
      <c r="G694" s="129"/>
      <c r="H694" s="129"/>
    </row>
    <row r="695" spans="3:8" s="120" customFormat="1" x14ac:dyDescent="0.2">
      <c r="C695" s="391"/>
      <c r="D695" s="129"/>
      <c r="E695" s="129"/>
      <c r="F695" s="129"/>
      <c r="G695" s="129"/>
      <c r="H695" s="129"/>
    </row>
    <row r="696" spans="3:8" s="120" customFormat="1" x14ac:dyDescent="0.2">
      <c r="C696" s="391"/>
      <c r="D696" s="129"/>
      <c r="E696" s="129"/>
      <c r="F696" s="129"/>
      <c r="G696" s="129"/>
      <c r="H696" s="129"/>
    </row>
    <row r="697" spans="3:8" s="120" customFormat="1" x14ac:dyDescent="0.2">
      <c r="C697" s="391"/>
      <c r="D697" s="129"/>
      <c r="E697" s="129"/>
      <c r="F697" s="129"/>
      <c r="G697" s="129"/>
      <c r="H697" s="129"/>
    </row>
    <row r="698" spans="3:8" s="120" customFormat="1" x14ac:dyDescent="0.2">
      <c r="C698" s="391"/>
      <c r="D698" s="129"/>
      <c r="E698" s="129"/>
      <c r="F698" s="129"/>
      <c r="G698" s="129"/>
      <c r="H698" s="129"/>
    </row>
    <row r="699" spans="3:8" s="120" customFormat="1" x14ac:dyDescent="0.2">
      <c r="C699" s="391"/>
      <c r="D699" s="129"/>
      <c r="E699" s="129"/>
      <c r="F699" s="129"/>
      <c r="G699" s="129"/>
      <c r="H699" s="129"/>
    </row>
    <row r="700" spans="3:8" s="120" customFormat="1" x14ac:dyDescent="0.2">
      <c r="C700" s="391"/>
      <c r="D700" s="129"/>
      <c r="E700" s="129"/>
      <c r="F700" s="129"/>
      <c r="G700" s="129"/>
      <c r="H700" s="129"/>
    </row>
    <row r="701" spans="3:8" s="120" customFormat="1" x14ac:dyDescent="0.2">
      <c r="C701" s="391"/>
      <c r="D701" s="129"/>
      <c r="E701" s="129"/>
      <c r="F701" s="129"/>
      <c r="G701" s="129"/>
      <c r="H701" s="129"/>
    </row>
    <row r="702" spans="3:8" s="120" customFormat="1" x14ac:dyDescent="0.2">
      <c r="C702" s="391"/>
      <c r="D702" s="129"/>
      <c r="E702" s="129"/>
      <c r="F702" s="129"/>
      <c r="G702" s="129"/>
      <c r="H702" s="129"/>
    </row>
    <row r="703" spans="3:8" s="120" customFormat="1" x14ac:dyDescent="0.2">
      <c r="C703" s="391"/>
      <c r="D703" s="129"/>
      <c r="E703" s="129"/>
      <c r="F703" s="129"/>
      <c r="G703" s="129"/>
      <c r="H703" s="129"/>
    </row>
    <row r="704" spans="3:8" s="120" customFormat="1" x14ac:dyDescent="0.2">
      <c r="C704" s="391"/>
      <c r="D704" s="129"/>
      <c r="E704" s="129"/>
      <c r="F704" s="129"/>
      <c r="G704" s="129"/>
      <c r="H704" s="129"/>
    </row>
    <row r="705" spans="3:8" s="120" customFormat="1" x14ac:dyDescent="0.2">
      <c r="C705" s="391"/>
      <c r="D705" s="129"/>
      <c r="E705" s="129"/>
      <c r="F705" s="129"/>
      <c r="G705" s="129"/>
      <c r="H705" s="129"/>
    </row>
    <row r="706" spans="3:8" s="120" customFormat="1" x14ac:dyDescent="0.2">
      <c r="C706" s="391"/>
      <c r="D706" s="129"/>
      <c r="E706" s="129"/>
      <c r="F706" s="129"/>
      <c r="G706" s="129"/>
      <c r="H706" s="129"/>
    </row>
    <row r="707" spans="3:8" s="120" customFormat="1" x14ac:dyDescent="0.2">
      <c r="C707" s="391"/>
      <c r="D707" s="129"/>
      <c r="E707" s="129"/>
      <c r="F707" s="129"/>
      <c r="G707" s="129"/>
      <c r="H707" s="129"/>
    </row>
    <row r="708" spans="3:8" s="120" customFormat="1" x14ac:dyDescent="0.2">
      <c r="C708" s="391"/>
      <c r="D708" s="129"/>
      <c r="E708" s="129"/>
      <c r="F708" s="129"/>
      <c r="G708" s="129"/>
      <c r="H708" s="129"/>
    </row>
    <row r="709" spans="3:8" s="120" customFormat="1" x14ac:dyDescent="0.2">
      <c r="C709" s="391"/>
      <c r="D709" s="129"/>
      <c r="E709" s="129"/>
      <c r="F709" s="129"/>
      <c r="G709" s="129"/>
      <c r="H709" s="129"/>
    </row>
    <row r="710" spans="3:8" s="120" customFormat="1" x14ac:dyDescent="0.2">
      <c r="C710" s="391"/>
      <c r="D710" s="129"/>
      <c r="E710" s="129"/>
      <c r="F710" s="129"/>
      <c r="G710" s="129"/>
      <c r="H710" s="129"/>
    </row>
    <row r="711" spans="3:8" s="120" customFormat="1" x14ac:dyDescent="0.2">
      <c r="C711" s="391"/>
      <c r="D711" s="129"/>
      <c r="E711" s="129"/>
      <c r="F711" s="129"/>
      <c r="G711" s="129"/>
      <c r="H711" s="129"/>
    </row>
    <row r="712" spans="3:8" s="120" customFormat="1" x14ac:dyDescent="0.2">
      <c r="C712" s="391"/>
      <c r="D712" s="129"/>
      <c r="E712" s="129"/>
      <c r="F712" s="129"/>
      <c r="G712" s="129"/>
      <c r="H712" s="129"/>
    </row>
    <row r="713" spans="3:8" s="120" customFormat="1" x14ac:dyDescent="0.2">
      <c r="C713" s="391"/>
      <c r="D713" s="129"/>
      <c r="E713" s="129"/>
      <c r="F713" s="129"/>
      <c r="G713" s="129"/>
      <c r="H713" s="129"/>
    </row>
    <row r="714" spans="3:8" s="120" customFormat="1" x14ac:dyDescent="0.2">
      <c r="C714" s="391"/>
      <c r="D714" s="129"/>
      <c r="E714" s="129"/>
      <c r="F714" s="129"/>
      <c r="G714" s="129"/>
      <c r="H714" s="129"/>
    </row>
    <row r="715" spans="3:8" s="120" customFormat="1" x14ac:dyDescent="0.2">
      <c r="C715" s="391"/>
      <c r="D715" s="129"/>
      <c r="E715" s="129"/>
      <c r="F715" s="129"/>
      <c r="G715" s="129"/>
      <c r="H715" s="129"/>
    </row>
    <row r="716" spans="3:8" s="120" customFormat="1" x14ac:dyDescent="0.2">
      <c r="C716" s="391"/>
      <c r="D716" s="129"/>
      <c r="E716" s="129"/>
      <c r="F716" s="129"/>
      <c r="G716" s="129"/>
      <c r="H716" s="129"/>
    </row>
    <row r="717" spans="3:8" s="120" customFormat="1" x14ac:dyDescent="0.2">
      <c r="C717" s="391"/>
      <c r="D717" s="129"/>
      <c r="E717" s="129"/>
      <c r="F717" s="129"/>
      <c r="G717" s="129"/>
      <c r="H717" s="129"/>
    </row>
    <row r="718" spans="3:8" s="120" customFormat="1" x14ac:dyDescent="0.2">
      <c r="C718" s="391"/>
      <c r="D718" s="129"/>
      <c r="E718" s="129"/>
      <c r="F718" s="129"/>
      <c r="G718" s="129"/>
      <c r="H718" s="129"/>
    </row>
    <row r="719" spans="3:8" s="120" customFormat="1" x14ac:dyDescent="0.2">
      <c r="C719" s="391"/>
      <c r="D719" s="129"/>
      <c r="E719" s="129"/>
      <c r="F719" s="129"/>
      <c r="G719" s="129"/>
      <c r="H719" s="129"/>
    </row>
    <row r="720" spans="3:8" s="120" customFormat="1" x14ac:dyDescent="0.2">
      <c r="C720" s="391"/>
      <c r="D720" s="129"/>
      <c r="E720" s="129"/>
      <c r="F720" s="129"/>
      <c r="G720" s="129"/>
      <c r="H720" s="129"/>
    </row>
    <row r="721" spans="3:8" s="120" customFormat="1" x14ac:dyDescent="0.2">
      <c r="C721" s="391"/>
      <c r="D721" s="129"/>
      <c r="E721" s="129"/>
      <c r="F721" s="129"/>
      <c r="G721" s="129"/>
      <c r="H721" s="129"/>
    </row>
    <row r="722" spans="3:8" s="120" customFormat="1" x14ac:dyDescent="0.2">
      <c r="C722" s="391"/>
      <c r="D722" s="129"/>
      <c r="E722" s="129"/>
      <c r="F722" s="129"/>
      <c r="G722" s="129"/>
      <c r="H722" s="129"/>
    </row>
    <row r="723" spans="3:8" s="120" customFormat="1" x14ac:dyDescent="0.2">
      <c r="C723" s="391"/>
      <c r="D723" s="129"/>
      <c r="E723" s="129"/>
      <c r="F723" s="129"/>
      <c r="G723" s="129"/>
      <c r="H723" s="129"/>
    </row>
    <row r="724" spans="3:8" s="120" customFormat="1" x14ac:dyDescent="0.2">
      <c r="C724" s="391"/>
      <c r="D724" s="129"/>
      <c r="E724" s="129"/>
      <c r="F724" s="129"/>
      <c r="G724" s="129"/>
      <c r="H724" s="129"/>
    </row>
    <row r="725" spans="3:8" s="120" customFormat="1" x14ac:dyDescent="0.2">
      <c r="C725" s="391"/>
      <c r="D725" s="129"/>
      <c r="E725" s="129"/>
      <c r="F725" s="129"/>
      <c r="G725" s="129"/>
      <c r="H725" s="129"/>
    </row>
    <row r="726" spans="3:8" s="120" customFormat="1" x14ac:dyDescent="0.2">
      <c r="C726" s="391"/>
      <c r="D726" s="129"/>
      <c r="E726" s="129"/>
      <c r="F726" s="129"/>
      <c r="G726" s="129"/>
      <c r="H726" s="129"/>
    </row>
    <row r="727" spans="3:8" s="120" customFormat="1" x14ac:dyDescent="0.2">
      <c r="C727" s="391"/>
      <c r="D727" s="129"/>
      <c r="E727" s="129"/>
      <c r="F727" s="129"/>
      <c r="G727" s="129"/>
      <c r="H727" s="129"/>
    </row>
    <row r="728" spans="3:8" s="120" customFormat="1" x14ac:dyDescent="0.2">
      <c r="C728" s="391"/>
      <c r="D728" s="129"/>
      <c r="E728" s="129"/>
      <c r="F728" s="129"/>
      <c r="G728" s="129"/>
      <c r="H728" s="129"/>
    </row>
    <row r="729" spans="3:8" s="120" customFormat="1" x14ac:dyDescent="0.2">
      <c r="C729" s="391"/>
      <c r="D729" s="129"/>
      <c r="E729" s="129"/>
      <c r="F729" s="129"/>
      <c r="G729" s="129"/>
      <c r="H729" s="129"/>
    </row>
    <row r="730" spans="3:8" s="120" customFormat="1" x14ac:dyDescent="0.2">
      <c r="C730" s="391"/>
      <c r="D730" s="129"/>
      <c r="E730" s="129"/>
      <c r="F730" s="129"/>
      <c r="G730" s="129"/>
      <c r="H730" s="129"/>
    </row>
    <row r="731" spans="3:8" s="120" customFormat="1" x14ac:dyDescent="0.2">
      <c r="C731" s="391"/>
      <c r="D731" s="129"/>
      <c r="E731" s="129"/>
      <c r="F731" s="129"/>
      <c r="G731" s="129"/>
      <c r="H731" s="129"/>
    </row>
    <row r="732" spans="3:8" s="120" customFormat="1" x14ac:dyDescent="0.2">
      <c r="C732" s="391"/>
      <c r="D732" s="129"/>
      <c r="E732" s="129"/>
      <c r="F732" s="129"/>
      <c r="G732" s="129"/>
      <c r="H732" s="129"/>
    </row>
    <row r="733" spans="3:8" s="120" customFormat="1" x14ac:dyDescent="0.2">
      <c r="C733" s="391"/>
      <c r="D733" s="129"/>
      <c r="E733" s="129"/>
      <c r="F733" s="129"/>
      <c r="G733" s="129"/>
      <c r="H733" s="129"/>
    </row>
    <row r="734" spans="3:8" s="120" customFormat="1" x14ac:dyDescent="0.2">
      <c r="C734" s="391"/>
      <c r="D734" s="129"/>
      <c r="E734" s="129"/>
      <c r="F734" s="129"/>
      <c r="G734" s="129"/>
      <c r="H734" s="129"/>
    </row>
    <row r="735" spans="3:8" s="120" customFormat="1" x14ac:dyDescent="0.2">
      <c r="C735" s="391"/>
      <c r="D735" s="129"/>
      <c r="E735" s="129"/>
      <c r="F735" s="129"/>
      <c r="G735" s="129"/>
      <c r="H735" s="129"/>
    </row>
    <row r="736" spans="3:8" s="120" customFormat="1" x14ac:dyDescent="0.2">
      <c r="C736" s="391"/>
      <c r="D736" s="129"/>
      <c r="E736" s="129"/>
      <c r="F736" s="129"/>
      <c r="G736" s="129"/>
      <c r="H736" s="129"/>
    </row>
    <row r="737" spans="3:8" s="120" customFormat="1" x14ac:dyDescent="0.2">
      <c r="C737" s="391"/>
      <c r="D737" s="129"/>
      <c r="E737" s="129"/>
      <c r="F737" s="129"/>
      <c r="G737" s="129"/>
      <c r="H737" s="129"/>
    </row>
    <row r="738" spans="3:8" s="120" customFormat="1" x14ac:dyDescent="0.2">
      <c r="C738" s="391"/>
      <c r="D738" s="129"/>
      <c r="E738" s="129"/>
      <c r="F738" s="129"/>
      <c r="G738" s="129"/>
      <c r="H738" s="129"/>
    </row>
    <row r="739" spans="3:8" s="120" customFormat="1" x14ac:dyDescent="0.2">
      <c r="C739" s="391"/>
      <c r="D739" s="129"/>
      <c r="E739" s="129"/>
      <c r="F739" s="129"/>
      <c r="G739" s="129"/>
      <c r="H739" s="129"/>
    </row>
    <row r="740" spans="3:8" s="120" customFormat="1" x14ac:dyDescent="0.2">
      <c r="C740" s="391"/>
      <c r="D740" s="129"/>
      <c r="E740" s="129"/>
      <c r="F740" s="129"/>
      <c r="G740" s="129"/>
      <c r="H740" s="129"/>
    </row>
    <row r="741" spans="3:8" s="120" customFormat="1" x14ac:dyDescent="0.2">
      <c r="C741" s="391"/>
      <c r="D741" s="129"/>
      <c r="E741" s="129"/>
      <c r="F741" s="129"/>
      <c r="G741" s="129"/>
      <c r="H741" s="129"/>
    </row>
    <row r="742" spans="3:8" s="120" customFormat="1" x14ac:dyDescent="0.2">
      <c r="C742" s="391"/>
      <c r="D742" s="129"/>
      <c r="E742" s="129"/>
      <c r="F742" s="129"/>
      <c r="G742" s="129"/>
      <c r="H742" s="129"/>
    </row>
    <row r="743" spans="3:8" s="120" customFormat="1" x14ac:dyDescent="0.2">
      <c r="C743" s="391"/>
      <c r="D743" s="129"/>
      <c r="E743" s="129"/>
      <c r="F743" s="129"/>
      <c r="G743" s="129"/>
      <c r="H743" s="129"/>
    </row>
    <row r="744" spans="3:8" s="120" customFormat="1" x14ac:dyDescent="0.2">
      <c r="C744" s="391"/>
      <c r="D744" s="129"/>
      <c r="E744" s="129"/>
      <c r="F744" s="129"/>
      <c r="G744" s="129"/>
      <c r="H744" s="129"/>
    </row>
    <row r="745" spans="3:8" s="120" customFormat="1" x14ac:dyDescent="0.2">
      <c r="C745" s="391"/>
      <c r="D745" s="129"/>
      <c r="E745" s="129"/>
      <c r="F745" s="129"/>
      <c r="G745" s="129"/>
      <c r="H745" s="129"/>
    </row>
    <row r="746" spans="3:8" s="120" customFormat="1" x14ac:dyDescent="0.2">
      <c r="C746" s="391"/>
      <c r="D746" s="129"/>
      <c r="E746" s="129"/>
      <c r="F746" s="129"/>
      <c r="G746" s="129"/>
      <c r="H746" s="129"/>
    </row>
    <row r="747" spans="3:8" s="120" customFormat="1" x14ac:dyDescent="0.2">
      <c r="C747" s="391"/>
      <c r="D747" s="129"/>
      <c r="E747" s="129"/>
      <c r="F747" s="129"/>
      <c r="G747" s="129"/>
      <c r="H747" s="129"/>
    </row>
    <row r="748" spans="3:8" s="120" customFormat="1" x14ac:dyDescent="0.2">
      <c r="C748" s="391"/>
      <c r="D748" s="129"/>
      <c r="E748" s="129"/>
      <c r="F748" s="129"/>
      <c r="G748" s="129"/>
      <c r="H748" s="129"/>
    </row>
    <row r="749" spans="3:8" s="120" customFormat="1" x14ac:dyDescent="0.2">
      <c r="C749" s="391"/>
      <c r="D749" s="129"/>
      <c r="E749" s="129"/>
      <c r="F749" s="129"/>
      <c r="G749" s="129"/>
      <c r="H749" s="129"/>
    </row>
    <row r="750" spans="3:8" s="120" customFormat="1" x14ac:dyDescent="0.2">
      <c r="C750" s="391"/>
      <c r="D750" s="129"/>
      <c r="E750" s="129"/>
      <c r="F750" s="129"/>
      <c r="G750" s="129"/>
      <c r="H750" s="129"/>
    </row>
    <row r="751" spans="3:8" s="120" customFormat="1" x14ac:dyDescent="0.2">
      <c r="C751" s="391"/>
      <c r="D751" s="129"/>
      <c r="E751" s="129"/>
      <c r="F751" s="129"/>
      <c r="G751" s="129"/>
      <c r="H751" s="129"/>
    </row>
    <row r="752" spans="3:8" s="120" customFormat="1" x14ac:dyDescent="0.2">
      <c r="C752" s="391"/>
      <c r="D752" s="129"/>
      <c r="E752" s="129"/>
      <c r="F752" s="129"/>
      <c r="G752" s="129"/>
      <c r="H752" s="129"/>
    </row>
    <row r="753" spans="3:8" s="120" customFormat="1" x14ac:dyDescent="0.2">
      <c r="C753" s="391"/>
      <c r="D753" s="129"/>
      <c r="E753" s="129"/>
      <c r="F753" s="129"/>
      <c r="G753" s="129"/>
      <c r="H753" s="129"/>
    </row>
    <row r="754" spans="3:8" s="120" customFormat="1" x14ac:dyDescent="0.2">
      <c r="C754" s="391"/>
      <c r="D754" s="129"/>
      <c r="E754" s="129"/>
      <c r="F754" s="129"/>
      <c r="G754" s="129"/>
      <c r="H754" s="129"/>
    </row>
    <row r="755" spans="3:8" s="120" customFormat="1" x14ac:dyDescent="0.2">
      <c r="C755" s="391"/>
      <c r="D755" s="129"/>
      <c r="E755" s="129"/>
      <c r="F755" s="129"/>
      <c r="G755" s="129"/>
      <c r="H755" s="129"/>
    </row>
    <row r="756" spans="3:8" s="120" customFormat="1" x14ac:dyDescent="0.2">
      <c r="C756" s="391"/>
      <c r="D756" s="129"/>
      <c r="E756" s="129"/>
      <c r="F756" s="129"/>
      <c r="G756" s="129"/>
      <c r="H756" s="129"/>
    </row>
    <row r="757" spans="3:8" s="120" customFormat="1" x14ac:dyDescent="0.2">
      <c r="C757" s="391"/>
      <c r="D757" s="129"/>
      <c r="E757" s="129"/>
      <c r="F757" s="129"/>
      <c r="G757" s="129"/>
      <c r="H757" s="129"/>
    </row>
    <row r="758" spans="3:8" s="120" customFormat="1" x14ac:dyDescent="0.2">
      <c r="C758" s="391"/>
      <c r="D758" s="129"/>
      <c r="E758" s="129"/>
      <c r="F758" s="129"/>
      <c r="G758" s="129"/>
      <c r="H758" s="129"/>
    </row>
    <row r="759" spans="3:8" s="120" customFormat="1" x14ac:dyDescent="0.2">
      <c r="C759" s="391"/>
      <c r="D759" s="129"/>
      <c r="E759" s="129"/>
      <c r="F759" s="129"/>
      <c r="G759" s="129"/>
      <c r="H759" s="129"/>
    </row>
    <row r="760" spans="3:8" s="120" customFormat="1" x14ac:dyDescent="0.2">
      <c r="C760" s="391"/>
      <c r="D760" s="129"/>
      <c r="E760" s="129"/>
      <c r="F760" s="129"/>
      <c r="G760" s="129"/>
      <c r="H760" s="129"/>
    </row>
    <row r="761" spans="3:8" s="120" customFormat="1" x14ac:dyDescent="0.2">
      <c r="C761" s="391"/>
      <c r="D761" s="129"/>
      <c r="E761" s="129"/>
      <c r="F761" s="129"/>
      <c r="G761" s="129"/>
      <c r="H761" s="129"/>
    </row>
    <row r="762" spans="3:8" s="120" customFormat="1" x14ac:dyDescent="0.2">
      <c r="C762" s="391"/>
      <c r="D762" s="129"/>
      <c r="E762" s="129"/>
      <c r="F762" s="129"/>
      <c r="G762" s="129"/>
      <c r="H762" s="129"/>
    </row>
    <row r="763" spans="3:8" s="120" customFormat="1" x14ac:dyDescent="0.2">
      <c r="C763" s="391"/>
      <c r="D763" s="129"/>
      <c r="E763" s="129"/>
      <c r="F763" s="129"/>
      <c r="G763" s="129"/>
      <c r="H763" s="129"/>
    </row>
    <row r="764" spans="3:8" s="120" customFormat="1" x14ac:dyDescent="0.2">
      <c r="C764" s="391"/>
      <c r="D764" s="129"/>
      <c r="E764" s="129"/>
      <c r="F764" s="129"/>
      <c r="G764" s="129"/>
      <c r="H764" s="129"/>
    </row>
    <row r="765" spans="3:8" s="120" customFormat="1" x14ac:dyDescent="0.2">
      <c r="C765" s="391"/>
      <c r="D765" s="129"/>
      <c r="E765" s="129"/>
      <c r="F765" s="129"/>
      <c r="G765" s="129"/>
      <c r="H765" s="129"/>
    </row>
    <row r="766" spans="3:8" s="120" customFormat="1" x14ac:dyDescent="0.2">
      <c r="C766" s="391"/>
      <c r="D766" s="129"/>
      <c r="E766" s="129"/>
      <c r="F766" s="129"/>
      <c r="G766" s="129"/>
      <c r="H766" s="129"/>
    </row>
    <row r="767" spans="3:8" s="120" customFormat="1" x14ac:dyDescent="0.2">
      <c r="C767" s="391"/>
      <c r="D767" s="129"/>
      <c r="E767" s="129"/>
      <c r="F767" s="129"/>
      <c r="G767" s="129"/>
      <c r="H767" s="129"/>
    </row>
    <row r="768" spans="3:8" s="120" customFormat="1" x14ac:dyDescent="0.2">
      <c r="C768" s="391"/>
      <c r="D768" s="129"/>
      <c r="E768" s="129"/>
      <c r="F768" s="129"/>
      <c r="G768" s="129"/>
      <c r="H768" s="129"/>
    </row>
    <row r="769" spans="3:8" s="120" customFormat="1" x14ac:dyDescent="0.2">
      <c r="C769" s="391"/>
      <c r="D769" s="129"/>
      <c r="E769" s="129"/>
      <c r="F769" s="129"/>
      <c r="G769" s="129"/>
      <c r="H769" s="129"/>
    </row>
    <row r="770" spans="3:8" s="120" customFormat="1" x14ac:dyDescent="0.2">
      <c r="C770" s="391"/>
      <c r="D770" s="129"/>
      <c r="E770" s="129"/>
      <c r="F770" s="129"/>
      <c r="G770" s="129"/>
      <c r="H770" s="129"/>
    </row>
    <row r="771" spans="3:8" s="120" customFormat="1" x14ac:dyDescent="0.2">
      <c r="C771" s="391"/>
      <c r="D771" s="129"/>
      <c r="E771" s="129"/>
      <c r="F771" s="129"/>
      <c r="G771" s="129"/>
      <c r="H771" s="129"/>
    </row>
    <row r="772" spans="3:8" s="120" customFormat="1" x14ac:dyDescent="0.2">
      <c r="C772" s="391"/>
      <c r="D772" s="129"/>
      <c r="E772" s="129"/>
      <c r="F772" s="129"/>
      <c r="G772" s="129"/>
      <c r="H772" s="129"/>
    </row>
    <row r="773" spans="3:8" s="120" customFormat="1" x14ac:dyDescent="0.2">
      <c r="C773" s="391"/>
      <c r="D773" s="129"/>
      <c r="E773" s="129"/>
      <c r="F773" s="129"/>
      <c r="G773" s="129"/>
      <c r="H773" s="129"/>
    </row>
    <row r="774" spans="3:8" s="120" customFormat="1" x14ac:dyDescent="0.2">
      <c r="C774" s="391"/>
      <c r="D774" s="129"/>
      <c r="E774" s="129"/>
      <c r="F774" s="129"/>
      <c r="G774" s="129"/>
      <c r="H774" s="129"/>
    </row>
    <row r="775" spans="3:8" s="120" customFormat="1" x14ac:dyDescent="0.2">
      <c r="C775" s="391"/>
      <c r="D775" s="129"/>
      <c r="E775" s="129"/>
      <c r="F775" s="129"/>
      <c r="G775" s="129"/>
      <c r="H775" s="129"/>
    </row>
    <row r="776" spans="3:8" s="120" customFormat="1" x14ac:dyDescent="0.2">
      <c r="C776" s="391"/>
      <c r="D776" s="129"/>
      <c r="E776" s="129"/>
      <c r="F776" s="129"/>
      <c r="G776" s="129"/>
      <c r="H776" s="129"/>
    </row>
    <row r="777" spans="3:8" s="120" customFormat="1" x14ac:dyDescent="0.2">
      <c r="C777" s="391"/>
      <c r="D777" s="129"/>
      <c r="E777" s="129"/>
      <c r="F777" s="129"/>
      <c r="G777" s="129"/>
      <c r="H777" s="129"/>
    </row>
    <row r="778" spans="3:8" s="120" customFormat="1" x14ac:dyDescent="0.2">
      <c r="C778" s="391"/>
      <c r="D778" s="129"/>
      <c r="E778" s="129"/>
      <c r="F778" s="129"/>
      <c r="G778" s="129"/>
      <c r="H778" s="129"/>
    </row>
    <row r="779" spans="3:8" s="120" customFormat="1" x14ac:dyDescent="0.2">
      <c r="C779" s="391"/>
      <c r="D779" s="129"/>
      <c r="E779" s="129"/>
      <c r="F779" s="129"/>
      <c r="G779" s="129"/>
      <c r="H779" s="129"/>
    </row>
    <row r="780" spans="3:8" s="120" customFormat="1" x14ac:dyDescent="0.2">
      <c r="C780" s="391"/>
      <c r="D780" s="129"/>
      <c r="E780" s="129"/>
      <c r="F780" s="129"/>
      <c r="G780" s="129"/>
      <c r="H780" s="129"/>
    </row>
    <row r="781" spans="3:8" s="120" customFormat="1" x14ac:dyDescent="0.2">
      <c r="C781" s="391"/>
      <c r="D781" s="129"/>
      <c r="E781" s="129"/>
      <c r="F781" s="129"/>
      <c r="G781" s="129"/>
      <c r="H781" s="129"/>
    </row>
    <row r="782" spans="3:8" s="120" customFormat="1" x14ac:dyDescent="0.2">
      <c r="C782" s="391"/>
      <c r="D782" s="129"/>
      <c r="E782" s="129"/>
      <c r="F782" s="129"/>
      <c r="G782" s="129"/>
      <c r="H782" s="129"/>
    </row>
    <row r="783" spans="3:8" s="120" customFormat="1" x14ac:dyDescent="0.2">
      <c r="C783" s="391"/>
      <c r="D783" s="129"/>
      <c r="E783" s="129"/>
      <c r="F783" s="129"/>
      <c r="G783" s="129"/>
      <c r="H783" s="129"/>
    </row>
    <row r="784" spans="3:8" s="120" customFormat="1" x14ac:dyDescent="0.2">
      <c r="C784" s="391"/>
      <c r="D784" s="129"/>
      <c r="E784" s="129"/>
      <c r="F784" s="129"/>
      <c r="G784" s="129"/>
      <c r="H784" s="129"/>
    </row>
    <row r="785" spans="3:8" s="120" customFormat="1" x14ac:dyDescent="0.2">
      <c r="C785" s="391"/>
      <c r="D785" s="129"/>
      <c r="E785" s="129"/>
      <c r="F785" s="129"/>
      <c r="G785" s="129"/>
      <c r="H785" s="129"/>
    </row>
    <row r="786" spans="3:8" s="120" customFormat="1" x14ac:dyDescent="0.2">
      <c r="C786" s="391"/>
      <c r="D786" s="129"/>
      <c r="E786" s="129"/>
      <c r="F786" s="129"/>
      <c r="G786" s="129"/>
      <c r="H786" s="129"/>
    </row>
    <row r="787" spans="3:8" s="120" customFormat="1" x14ac:dyDescent="0.2">
      <c r="C787" s="391"/>
      <c r="D787" s="129"/>
      <c r="E787" s="129"/>
      <c r="F787" s="129"/>
      <c r="G787" s="129"/>
      <c r="H787" s="129"/>
    </row>
    <row r="788" spans="3:8" s="120" customFormat="1" x14ac:dyDescent="0.2">
      <c r="C788" s="391"/>
      <c r="D788" s="129"/>
      <c r="E788" s="129"/>
      <c r="F788" s="129"/>
      <c r="G788" s="129"/>
      <c r="H788" s="129"/>
    </row>
    <row r="789" spans="3:8" s="120" customFormat="1" x14ac:dyDescent="0.2">
      <c r="C789" s="391"/>
      <c r="D789" s="129"/>
      <c r="E789" s="129"/>
      <c r="F789" s="129"/>
      <c r="G789" s="129"/>
      <c r="H789" s="129"/>
    </row>
    <row r="790" spans="3:8" s="120" customFormat="1" x14ac:dyDescent="0.2">
      <c r="C790" s="391"/>
      <c r="D790" s="129"/>
      <c r="E790" s="129"/>
      <c r="F790" s="129"/>
      <c r="G790" s="129"/>
      <c r="H790" s="129"/>
    </row>
    <row r="791" spans="3:8" s="120" customFormat="1" x14ac:dyDescent="0.2">
      <c r="C791" s="391"/>
      <c r="D791" s="129"/>
      <c r="E791" s="129"/>
      <c r="F791" s="129"/>
      <c r="G791" s="129"/>
      <c r="H791" s="129"/>
    </row>
    <row r="792" spans="3:8" s="120" customFormat="1" x14ac:dyDescent="0.2">
      <c r="C792" s="391"/>
      <c r="D792" s="129"/>
      <c r="E792" s="129"/>
      <c r="F792" s="129"/>
      <c r="G792" s="129"/>
      <c r="H792" s="129"/>
    </row>
    <row r="793" spans="3:8" s="120" customFormat="1" x14ac:dyDescent="0.2">
      <c r="C793" s="391"/>
      <c r="D793" s="129"/>
      <c r="E793" s="129"/>
      <c r="F793" s="129"/>
      <c r="G793" s="129"/>
      <c r="H793" s="129"/>
    </row>
    <row r="794" spans="3:8" s="120" customFormat="1" x14ac:dyDescent="0.2">
      <c r="C794" s="391"/>
      <c r="D794" s="129"/>
      <c r="E794" s="129"/>
      <c r="F794" s="129"/>
      <c r="G794" s="129"/>
      <c r="H794" s="129"/>
    </row>
    <row r="795" spans="3:8" s="120" customFormat="1" x14ac:dyDescent="0.2">
      <c r="C795" s="391"/>
      <c r="D795" s="129"/>
      <c r="E795" s="129"/>
      <c r="F795" s="129"/>
      <c r="G795" s="129"/>
      <c r="H795" s="129"/>
    </row>
    <row r="796" spans="3:8" s="120" customFormat="1" x14ac:dyDescent="0.2">
      <c r="C796" s="391"/>
      <c r="D796" s="129"/>
      <c r="E796" s="129"/>
      <c r="F796" s="129"/>
      <c r="G796" s="129"/>
      <c r="H796" s="129"/>
    </row>
    <row r="797" spans="3:8" s="120" customFormat="1" x14ac:dyDescent="0.2">
      <c r="C797" s="391"/>
      <c r="D797" s="129"/>
      <c r="E797" s="129"/>
      <c r="F797" s="129"/>
      <c r="G797" s="129"/>
      <c r="H797" s="129"/>
    </row>
    <row r="798" spans="3:8" s="120" customFormat="1" x14ac:dyDescent="0.2">
      <c r="C798" s="391"/>
      <c r="D798" s="129"/>
      <c r="E798" s="129"/>
      <c r="F798" s="129"/>
      <c r="G798" s="129"/>
      <c r="H798" s="129"/>
    </row>
    <row r="799" spans="3:8" s="120" customFormat="1" x14ac:dyDescent="0.2">
      <c r="C799" s="391"/>
      <c r="D799" s="129"/>
      <c r="E799" s="129"/>
      <c r="F799" s="129"/>
      <c r="G799" s="129"/>
      <c r="H799" s="129"/>
    </row>
    <row r="800" spans="3:8" s="120" customFormat="1" x14ac:dyDescent="0.2">
      <c r="C800" s="391"/>
      <c r="D800" s="129"/>
      <c r="E800" s="129"/>
      <c r="F800" s="129"/>
      <c r="G800" s="129"/>
      <c r="H800" s="129"/>
    </row>
    <row r="801" spans="3:8" s="120" customFormat="1" x14ac:dyDescent="0.2">
      <c r="C801" s="391"/>
      <c r="D801" s="129"/>
      <c r="E801" s="129"/>
      <c r="F801" s="129"/>
      <c r="G801" s="129"/>
      <c r="H801" s="129"/>
    </row>
    <row r="802" spans="3:8" s="120" customFormat="1" x14ac:dyDescent="0.2">
      <c r="C802" s="391"/>
      <c r="D802" s="129"/>
      <c r="E802" s="129"/>
      <c r="F802" s="129"/>
      <c r="G802" s="129"/>
      <c r="H802" s="129"/>
    </row>
    <row r="803" spans="3:8" s="120" customFormat="1" x14ac:dyDescent="0.2">
      <c r="C803" s="391"/>
      <c r="D803" s="129"/>
      <c r="E803" s="129"/>
      <c r="F803" s="129"/>
      <c r="G803" s="129"/>
      <c r="H803" s="129"/>
    </row>
    <row r="804" spans="3:8" s="120" customFormat="1" x14ac:dyDescent="0.2">
      <c r="C804" s="391"/>
      <c r="D804" s="129"/>
      <c r="E804" s="129"/>
      <c r="F804" s="129"/>
      <c r="G804" s="129"/>
      <c r="H804" s="129"/>
    </row>
    <row r="805" spans="3:8" s="120" customFormat="1" x14ac:dyDescent="0.2">
      <c r="C805" s="391"/>
      <c r="D805" s="129"/>
      <c r="E805" s="129"/>
      <c r="F805" s="129"/>
      <c r="G805" s="129"/>
      <c r="H805" s="129"/>
    </row>
    <row r="806" spans="3:8" s="120" customFormat="1" x14ac:dyDescent="0.2">
      <c r="C806" s="391"/>
      <c r="D806" s="129"/>
      <c r="E806" s="129"/>
      <c r="F806" s="129"/>
      <c r="G806" s="129"/>
      <c r="H806" s="129"/>
    </row>
    <row r="807" spans="3:8" s="120" customFormat="1" x14ac:dyDescent="0.2">
      <c r="C807" s="391"/>
      <c r="D807" s="129"/>
      <c r="E807" s="129"/>
      <c r="F807" s="129"/>
      <c r="G807" s="129"/>
      <c r="H807" s="129"/>
    </row>
    <row r="808" spans="3:8" s="120" customFormat="1" x14ac:dyDescent="0.2">
      <c r="C808" s="391"/>
      <c r="D808" s="129"/>
      <c r="E808" s="129"/>
      <c r="F808" s="129"/>
      <c r="G808" s="129"/>
      <c r="H808" s="129"/>
    </row>
    <row r="809" spans="3:8" s="120" customFormat="1" x14ac:dyDescent="0.2">
      <c r="C809" s="391"/>
      <c r="D809" s="129"/>
      <c r="E809" s="129"/>
      <c r="F809" s="129"/>
      <c r="G809" s="129"/>
      <c r="H809" s="129"/>
    </row>
    <row r="810" spans="3:8" s="120" customFormat="1" x14ac:dyDescent="0.2">
      <c r="C810" s="391"/>
      <c r="D810" s="129"/>
      <c r="E810" s="129"/>
      <c r="F810" s="129"/>
      <c r="G810" s="129"/>
      <c r="H810" s="129"/>
    </row>
    <row r="811" spans="3:8" s="120" customFormat="1" x14ac:dyDescent="0.2">
      <c r="C811" s="391"/>
      <c r="D811" s="129"/>
      <c r="E811" s="129"/>
      <c r="F811" s="129"/>
      <c r="G811" s="129"/>
      <c r="H811" s="129"/>
    </row>
    <row r="812" spans="3:8" s="120" customFormat="1" x14ac:dyDescent="0.2">
      <c r="C812" s="391"/>
      <c r="D812" s="129"/>
      <c r="E812" s="129"/>
      <c r="F812" s="129"/>
      <c r="G812" s="129"/>
      <c r="H812" s="129"/>
    </row>
    <row r="813" spans="3:8" s="120" customFormat="1" x14ac:dyDescent="0.2">
      <c r="C813" s="391"/>
      <c r="D813" s="129"/>
      <c r="E813" s="129"/>
      <c r="F813" s="129"/>
      <c r="G813" s="129"/>
      <c r="H813" s="129"/>
    </row>
    <row r="814" spans="3:8" s="120" customFormat="1" x14ac:dyDescent="0.2">
      <c r="C814" s="391"/>
      <c r="D814" s="129"/>
      <c r="E814" s="129"/>
      <c r="F814" s="129"/>
      <c r="G814" s="129"/>
      <c r="H814" s="129"/>
    </row>
    <row r="815" spans="3:8" s="120" customFormat="1" x14ac:dyDescent="0.2">
      <c r="C815" s="391"/>
      <c r="D815" s="129"/>
      <c r="E815" s="129"/>
      <c r="F815" s="129"/>
      <c r="G815" s="129"/>
      <c r="H815" s="129"/>
    </row>
    <row r="816" spans="3:8" s="120" customFormat="1" x14ac:dyDescent="0.2">
      <c r="C816" s="391"/>
      <c r="D816" s="129"/>
      <c r="E816" s="129"/>
      <c r="F816" s="129"/>
      <c r="G816" s="129"/>
      <c r="H816" s="129"/>
    </row>
    <row r="817" spans="3:8" s="120" customFormat="1" x14ac:dyDescent="0.2">
      <c r="C817" s="391"/>
      <c r="D817" s="129"/>
      <c r="E817" s="129"/>
      <c r="F817" s="129"/>
      <c r="G817" s="129"/>
      <c r="H817" s="129"/>
    </row>
    <row r="818" spans="3:8" s="120" customFormat="1" x14ac:dyDescent="0.2">
      <c r="C818" s="391"/>
      <c r="D818" s="129"/>
      <c r="E818" s="129"/>
      <c r="F818" s="129"/>
      <c r="G818" s="129"/>
      <c r="H818" s="129"/>
    </row>
    <row r="819" spans="3:8" s="120" customFormat="1" x14ac:dyDescent="0.2">
      <c r="C819" s="391"/>
      <c r="D819" s="129"/>
      <c r="E819" s="129"/>
      <c r="F819" s="129"/>
      <c r="G819" s="129"/>
      <c r="H819" s="129"/>
    </row>
    <row r="820" spans="3:8" s="120" customFormat="1" x14ac:dyDescent="0.2">
      <c r="C820" s="391"/>
      <c r="D820" s="129"/>
      <c r="E820" s="129"/>
      <c r="F820" s="129"/>
      <c r="G820" s="129"/>
      <c r="H820" s="129"/>
    </row>
    <row r="821" spans="3:8" s="120" customFormat="1" x14ac:dyDescent="0.2">
      <c r="C821" s="391"/>
      <c r="D821" s="129"/>
      <c r="E821" s="129"/>
      <c r="F821" s="129"/>
      <c r="G821" s="129"/>
      <c r="H821" s="129"/>
    </row>
    <row r="822" spans="3:8" s="120" customFormat="1" x14ac:dyDescent="0.2">
      <c r="C822" s="391"/>
      <c r="D822" s="129"/>
      <c r="E822" s="129"/>
      <c r="F822" s="129"/>
      <c r="G822" s="129"/>
      <c r="H822" s="129"/>
    </row>
    <row r="823" spans="3:8" s="120" customFormat="1" x14ac:dyDescent="0.2">
      <c r="C823" s="391"/>
      <c r="D823" s="129"/>
      <c r="E823" s="129"/>
      <c r="F823" s="129"/>
      <c r="G823" s="129"/>
      <c r="H823" s="129"/>
    </row>
    <row r="824" spans="3:8" s="120" customFormat="1" x14ac:dyDescent="0.2">
      <c r="C824" s="391"/>
      <c r="D824" s="129"/>
      <c r="E824" s="129"/>
      <c r="F824" s="129"/>
      <c r="G824" s="129"/>
      <c r="H824" s="129"/>
    </row>
    <row r="825" spans="3:8" s="120" customFormat="1" x14ac:dyDescent="0.2">
      <c r="C825" s="391"/>
      <c r="D825" s="129"/>
      <c r="E825" s="129"/>
      <c r="F825" s="129"/>
      <c r="G825" s="129"/>
      <c r="H825" s="129"/>
    </row>
    <row r="826" spans="3:8" s="120" customFormat="1" x14ac:dyDescent="0.2">
      <c r="C826" s="391"/>
      <c r="D826" s="129"/>
      <c r="E826" s="129"/>
      <c r="F826" s="129"/>
      <c r="G826" s="129"/>
      <c r="H826" s="129"/>
    </row>
    <row r="827" spans="3:8" s="120" customFormat="1" x14ac:dyDescent="0.2">
      <c r="C827" s="391"/>
      <c r="D827" s="129"/>
      <c r="E827" s="129"/>
      <c r="F827" s="129"/>
      <c r="G827" s="129"/>
      <c r="H827" s="129"/>
    </row>
    <row r="828" spans="3:8" s="120" customFormat="1" x14ac:dyDescent="0.2">
      <c r="C828" s="391"/>
      <c r="D828" s="129"/>
      <c r="E828" s="129"/>
      <c r="F828" s="129"/>
      <c r="G828" s="129"/>
      <c r="H828" s="129"/>
    </row>
    <row r="829" spans="3:8" s="120" customFormat="1" x14ac:dyDescent="0.2">
      <c r="C829" s="391"/>
      <c r="D829" s="129"/>
      <c r="E829" s="129"/>
      <c r="F829" s="129"/>
      <c r="G829" s="129"/>
      <c r="H829" s="129"/>
    </row>
    <row r="830" spans="3:8" s="120" customFormat="1" x14ac:dyDescent="0.2">
      <c r="C830" s="391"/>
      <c r="D830" s="129"/>
      <c r="E830" s="129"/>
      <c r="F830" s="129"/>
      <c r="G830" s="129"/>
      <c r="H830" s="129"/>
    </row>
    <row r="831" spans="3:8" s="120" customFormat="1" x14ac:dyDescent="0.2">
      <c r="C831" s="391"/>
      <c r="D831" s="129"/>
      <c r="E831" s="129"/>
      <c r="F831" s="129"/>
      <c r="G831" s="129"/>
      <c r="H831" s="129"/>
    </row>
    <row r="832" spans="3:8" s="120" customFormat="1" x14ac:dyDescent="0.2">
      <c r="C832" s="391"/>
      <c r="D832" s="129"/>
      <c r="E832" s="129"/>
      <c r="F832" s="129"/>
      <c r="G832" s="129"/>
      <c r="H832" s="129"/>
    </row>
    <row r="833" spans="3:8" s="120" customFormat="1" x14ac:dyDescent="0.2">
      <c r="C833" s="391"/>
      <c r="D833" s="129"/>
      <c r="E833" s="129"/>
      <c r="F833" s="129"/>
      <c r="G833" s="129"/>
      <c r="H833" s="129"/>
    </row>
    <row r="834" spans="3:8" s="120" customFormat="1" x14ac:dyDescent="0.2">
      <c r="C834" s="391"/>
      <c r="D834" s="129"/>
      <c r="E834" s="129"/>
      <c r="F834" s="129"/>
      <c r="G834" s="129"/>
      <c r="H834" s="129"/>
    </row>
    <row r="835" spans="3:8" s="120" customFormat="1" x14ac:dyDescent="0.2">
      <c r="C835" s="391"/>
      <c r="D835" s="129"/>
      <c r="E835" s="129"/>
      <c r="F835" s="129"/>
      <c r="G835" s="129"/>
      <c r="H835" s="129"/>
    </row>
  </sheetData>
  <mergeCells count="13">
    <mergeCell ref="B2:D2"/>
    <mergeCell ref="F2:G2"/>
    <mergeCell ref="C3:D3"/>
    <mergeCell ref="F3:G3"/>
    <mergeCell ref="C4:D4"/>
    <mergeCell ref="F4:G4"/>
    <mergeCell ref="J10:N10"/>
    <mergeCell ref="C5:D5"/>
    <mergeCell ref="F5:G5"/>
    <mergeCell ref="C6:D6"/>
    <mergeCell ref="C7:D7"/>
    <mergeCell ref="C8:D8"/>
    <mergeCell ref="B10:I10"/>
  </mergeCells>
  <pageMargins left="0.25" right="0.25" top="0.75" bottom="0.75" header="0.3" footer="0.3"/>
  <pageSetup paperSize="9" scale="60" fitToHeight="2" orientation="portrait" r:id="rId1"/>
  <headerFooter>
    <oddFooter>&amp;L&amp;P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81B62-7B3C-1944-A41F-F1A8858E082E}">
  <sheetPr>
    <tabColor rgb="FFFFC000"/>
    <pageSetUpPr fitToPage="1"/>
  </sheetPr>
  <dimension ref="A1:L983"/>
  <sheetViews>
    <sheetView zoomScaleNormal="100" workbookViewId="0">
      <selection activeCell="B17" sqref="B17"/>
    </sheetView>
  </sheetViews>
  <sheetFormatPr baseColWidth="10" defaultColWidth="10.83203125" defaultRowHeight="16" x14ac:dyDescent="0.2"/>
  <cols>
    <col min="1" max="1" width="4.33203125" style="111" customWidth="1"/>
    <col min="2" max="2" width="49.6640625" style="111" bestFit="1" customWidth="1"/>
    <col min="3" max="3" width="11" style="392" customWidth="1"/>
    <col min="4" max="4" width="19.33203125" style="111" customWidth="1"/>
    <col min="5" max="5" width="6.83203125" style="294" customWidth="1"/>
    <col min="6" max="7" width="7" style="294" customWidth="1"/>
    <col min="8" max="11" width="15.6640625" style="294" customWidth="1"/>
    <col min="12" max="12" width="15.6640625" style="111" customWidth="1"/>
    <col min="13" max="13" width="26.6640625" style="111" customWidth="1"/>
    <col min="14" max="14" width="34.33203125" style="111" customWidth="1"/>
    <col min="15" max="15" width="33.1640625" style="111" customWidth="1"/>
    <col min="16" max="19" width="34.33203125" style="111" customWidth="1"/>
    <col min="20" max="16384" width="10.83203125" style="111"/>
  </cols>
  <sheetData>
    <row r="1" spans="1:12" s="33" customFormat="1" ht="17" thickBot="1" x14ac:dyDescent="0.25">
      <c r="C1" s="365"/>
      <c r="E1" s="270"/>
      <c r="F1" s="270"/>
      <c r="G1" s="270"/>
      <c r="H1" s="270"/>
      <c r="I1" s="270"/>
      <c r="J1" s="270"/>
      <c r="K1" s="270"/>
    </row>
    <row r="2" spans="1:12" s="33" customFormat="1" ht="17" thickBot="1" x14ac:dyDescent="0.25">
      <c r="B2" s="630" t="s">
        <v>345</v>
      </c>
      <c r="C2" s="658"/>
      <c r="D2" s="658"/>
      <c r="E2" s="658"/>
      <c r="F2" s="658"/>
      <c r="G2" s="659"/>
      <c r="H2" s="270"/>
      <c r="I2" s="625" t="s">
        <v>61</v>
      </c>
      <c r="J2" s="626"/>
      <c r="K2" s="270"/>
    </row>
    <row r="3" spans="1:12" s="33" customFormat="1" ht="16.5" customHeight="1" thickBot="1" x14ac:dyDescent="0.25">
      <c r="B3" s="69" t="s">
        <v>62</v>
      </c>
      <c r="C3" s="660"/>
      <c r="D3" s="667"/>
      <c r="E3" s="667"/>
      <c r="F3" s="667"/>
      <c r="G3" s="661"/>
      <c r="H3" s="270"/>
      <c r="I3" s="662" t="s">
        <v>14</v>
      </c>
      <c r="J3" s="663"/>
      <c r="K3" s="270"/>
    </row>
    <row r="4" spans="1:12" s="33" customFormat="1" ht="15.75" customHeight="1" thickBot="1" x14ac:dyDescent="0.25">
      <c r="B4" s="69" t="str">
        <f>COVER!B12</f>
        <v>SITE</v>
      </c>
      <c r="C4" s="649" t="str">
        <f>COVER!C12</f>
        <v>GOLDEN GROVE</v>
      </c>
      <c r="D4" s="668"/>
      <c r="E4" s="668"/>
      <c r="F4" s="668"/>
      <c r="G4" s="650"/>
      <c r="H4" s="270"/>
      <c r="I4" s="664"/>
      <c r="J4" s="628"/>
      <c r="K4" s="270"/>
    </row>
    <row r="5" spans="1:12" s="33" customFormat="1" ht="15.75" customHeight="1" thickBot="1" x14ac:dyDescent="0.25">
      <c r="B5" s="69" t="str">
        <f>COVER!B13</f>
        <v>MANAGERS NAME</v>
      </c>
      <c r="C5" s="649" t="str">
        <f>COVER!C13</f>
        <v>Ian Shotam</v>
      </c>
      <c r="D5" s="668"/>
      <c r="E5" s="668"/>
      <c r="F5" s="668"/>
      <c r="G5" s="650"/>
      <c r="H5" s="270"/>
      <c r="I5" s="629"/>
      <c r="J5" s="628"/>
      <c r="K5" s="270"/>
    </row>
    <row r="6" spans="1:12" s="33" customFormat="1" x14ac:dyDescent="0.2">
      <c r="B6" s="69" t="str">
        <f>COVER!B14</f>
        <v>DATE - ORDER PLACED</v>
      </c>
      <c r="C6" s="651">
        <f>COVER!C14</f>
        <v>45082</v>
      </c>
      <c r="D6" s="665"/>
      <c r="E6" s="665"/>
      <c r="F6" s="665"/>
      <c r="G6" s="652"/>
      <c r="H6" s="270"/>
      <c r="I6" s="270"/>
      <c r="J6" s="270"/>
      <c r="K6" s="270"/>
    </row>
    <row r="7" spans="1:12" s="33" customFormat="1" ht="34" x14ac:dyDescent="0.2">
      <c r="B7" s="543" t="str">
        <f>COVER!B15</f>
        <v>DATE - DELIVERY PERTH - FREIGHT LINES, 12-26 RIVERSDALE RD, WELSHPOOL WA 6100</v>
      </c>
      <c r="C7" s="651">
        <f>COVER!C15</f>
        <v>45085</v>
      </c>
      <c r="D7" s="665"/>
      <c r="E7" s="665"/>
      <c r="F7" s="665"/>
      <c r="G7" s="652"/>
      <c r="H7" s="270"/>
      <c r="I7" s="270"/>
      <c r="J7" s="270"/>
      <c r="K7" s="270"/>
    </row>
    <row r="8" spans="1:12" s="33" customFormat="1" ht="17" thickBot="1" x14ac:dyDescent="0.25">
      <c r="B8" s="70" t="str">
        <f>COVER!B16</f>
        <v>DATE - ESTIMATED ARRIVAL SITE</v>
      </c>
      <c r="C8" s="653">
        <f>COVER!C16</f>
        <v>45086</v>
      </c>
      <c r="D8" s="666"/>
      <c r="E8" s="666"/>
      <c r="F8" s="666"/>
      <c r="G8" s="654"/>
      <c r="H8" s="270"/>
      <c r="I8" s="270"/>
      <c r="J8" s="270"/>
      <c r="K8" s="270"/>
    </row>
    <row r="9" spans="1:12" s="33" customFormat="1" ht="17" thickBot="1" x14ac:dyDescent="0.25">
      <c r="C9" s="365"/>
      <c r="E9" s="270"/>
      <c r="J9" s="366"/>
      <c r="K9" s="270"/>
      <c r="L9" s="270"/>
    </row>
    <row r="10" spans="1:12" s="33" customFormat="1" ht="17" thickBot="1" x14ac:dyDescent="0.25">
      <c r="B10" s="73" t="s">
        <v>28</v>
      </c>
      <c r="C10" s="350" t="s">
        <v>65</v>
      </c>
      <c r="D10" s="334" t="s">
        <v>346</v>
      </c>
      <c r="E10" s="592" t="s">
        <v>347</v>
      </c>
      <c r="F10" s="76" t="s">
        <v>348</v>
      </c>
      <c r="G10" s="76" t="s">
        <v>349</v>
      </c>
      <c r="H10" s="76" t="s">
        <v>67</v>
      </c>
      <c r="I10" s="76" t="s">
        <v>68</v>
      </c>
      <c r="J10" s="76" t="s">
        <v>69</v>
      </c>
      <c r="K10" s="77" t="s">
        <v>70</v>
      </c>
      <c r="L10" s="78" t="s">
        <v>25</v>
      </c>
    </row>
    <row r="11" spans="1:12" s="33" customFormat="1" x14ac:dyDescent="0.2">
      <c r="A11" s="524"/>
      <c r="B11" s="385" t="s">
        <v>350</v>
      </c>
      <c r="C11" s="386">
        <v>63862</v>
      </c>
      <c r="D11" s="462" t="s">
        <v>351</v>
      </c>
      <c r="E11" s="327" t="s">
        <v>352</v>
      </c>
      <c r="F11" s="387" t="s">
        <v>77</v>
      </c>
      <c r="G11" s="387">
        <v>2</v>
      </c>
      <c r="H11" s="25"/>
      <c r="I11" s="13"/>
      <c r="J11" s="12"/>
      <c r="K11" s="388">
        <v>65.42</v>
      </c>
      <c r="L11" s="85">
        <f>K11*J11</f>
        <v>0</v>
      </c>
    </row>
    <row r="12" spans="1:12" s="33" customFormat="1" x14ac:dyDescent="0.2">
      <c r="A12" s="524"/>
      <c r="B12" s="389" t="s">
        <v>353</v>
      </c>
      <c r="C12" s="390">
        <v>83510</v>
      </c>
      <c r="D12" s="463" t="s">
        <v>354</v>
      </c>
      <c r="E12" s="107" t="s">
        <v>355</v>
      </c>
      <c r="F12" s="387" t="s">
        <v>77</v>
      </c>
      <c r="G12" s="387">
        <v>4</v>
      </c>
      <c r="H12" s="26"/>
      <c r="I12" s="3"/>
      <c r="J12" s="17"/>
      <c r="K12" s="388">
        <v>99.68</v>
      </c>
      <c r="L12" s="91">
        <f t="shared" ref="L12:L28" si="0">K12*J12</f>
        <v>0</v>
      </c>
    </row>
    <row r="13" spans="1:12" s="33" customFormat="1" x14ac:dyDescent="0.2">
      <c r="A13" s="524"/>
      <c r="B13" s="389" t="s">
        <v>356</v>
      </c>
      <c r="C13" s="390">
        <v>201934</v>
      </c>
      <c r="D13" s="464" t="s">
        <v>357</v>
      </c>
      <c r="E13" s="107" t="s">
        <v>358</v>
      </c>
      <c r="F13" s="387" t="s">
        <v>77</v>
      </c>
      <c r="G13" s="387">
        <v>3</v>
      </c>
      <c r="H13" s="27"/>
      <c r="I13" s="3"/>
      <c r="J13" s="17"/>
      <c r="K13" s="388">
        <v>48.51</v>
      </c>
      <c r="L13" s="360">
        <f t="shared" si="0"/>
        <v>0</v>
      </c>
    </row>
    <row r="14" spans="1:12" s="33" customFormat="1" x14ac:dyDescent="0.2">
      <c r="A14" s="524"/>
      <c r="B14" s="389" t="s">
        <v>359</v>
      </c>
      <c r="C14" s="390">
        <v>79894</v>
      </c>
      <c r="D14" s="464" t="s">
        <v>360</v>
      </c>
      <c r="E14" s="107" t="s">
        <v>361</v>
      </c>
      <c r="F14" s="387" t="s">
        <v>77</v>
      </c>
      <c r="G14" s="387">
        <v>3</v>
      </c>
      <c r="H14" s="27"/>
      <c r="I14" s="3"/>
      <c r="J14" s="17"/>
      <c r="K14" s="388">
        <v>104.1</v>
      </c>
      <c r="L14" s="360">
        <f t="shared" si="0"/>
        <v>0</v>
      </c>
    </row>
    <row r="15" spans="1:12" s="33" customFormat="1" x14ac:dyDescent="0.2">
      <c r="A15" s="524"/>
      <c r="B15" s="389" t="s">
        <v>362</v>
      </c>
      <c r="C15" s="390">
        <v>51635</v>
      </c>
      <c r="D15" s="465" t="s">
        <v>360</v>
      </c>
      <c r="E15" s="327" t="s">
        <v>363</v>
      </c>
      <c r="F15" s="387" t="s">
        <v>77</v>
      </c>
      <c r="G15" s="387">
        <v>5</v>
      </c>
      <c r="H15" s="26"/>
      <c r="I15" s="3"/>
      <c r="J15" s="17"/>
      <c r="K15" s="388">
        <v>97.15</v>
      </c>
      <c r="L15" s="91">
        <f>K15*J15</f>
        <v>0</v>
      </c>
    </row>
    <row r="16" spans="1:12" s="33" customFormat="1" x14ac:dyDescent="0.2">
      <c r="A16" s="524"/>
      <c r="B16" s="389" t="s">
        <v>364</v>
      </c>
      <c r="C16" s="390">
        <v>54511</v>
      </c>
      <c r="D16" s="464" t="s">
        <v>351</v>
      </c>
      <c r="E16" s="107" t="s">
        <v>365</v>
      </c>
      <c r="F16" s="387" t="s">
        <v>77</v>
      </c>
      <c r="G16" s="387">
        <v>1</v>
      </c>
      <c r="H16" s="26"/>
      <c r="I16" s="3"/>
      <c r="J16" s="17"/>
      <c r="K16" s="388">
        <v>0</v>
      </c>
      <c r="L16" s="91">
        <f>K16*J16</f>
        <v>0</v>
      </c>
    </row>
    <row r="17" spans="1:12" s="33" customFormat="1" x14ac:dyDescent="0.2">
      <c r="A17" s="524"/>
      <c r="B17" s="389" t="s">
        <v>366</v>
      </c>
      <c r="C17" s="390">
        <v>109066</v>
      </c>
      <c r="D17" s="464" t="s">
        <v>351</v>
      </c>
      <c r="E17" s="107" t="s">
        <v>365</v>
      </c>
      <c r="F17" s="387" t="s">
        <v>77</v>
      </c>
      <c r="G17" s="387">
        <v>1</v>
      </c>
      <c r="H17" s="461"/>
      <c r="I17" s="3"/>
      <c r="J17" s="17"/>
      <c r="K17" s="388">
        <v>12</v>
      </c>
      <c r="L17" s="91">
        <f>K17*J17</f>
        <v>0</v>
      </c>
    </row>
    <row r="18" spans="1:12" s="33" customFormat="1" x14ac:dyDescent="0.2">
      <c r="A18" s="524"/>
      <c r="B18" s="389" t="s">
        <v>367</v>
      </c>
      <c r="C18" s="390">
        <v>75739</v>
      </c>
      <c r="D18" s="464" t="s">
        <v>360</v>
      </c>
      <c r="E18" s="107" t="s">
        <v>352</v>
      </c>
      <c r="F18" s="387" t="s">
        <v>77</v>
      </c>
      <c r="G18" s="387">
        <v>2</v>
      </c>
      <c r="H18" s="26"/>
      <c r="I18" s="3"/>
      <c r="J18" s="17"/>
      <c r="K18" s="388">
        <v>60.64</v>
      </c>
      <c r="L18" s="91">
        <f t="shared" si="0"/>
        <v>0</v>
      </c>
    </row>
    <row r="19" spans="1:12" s="33" customFormat="1" x14ac:dyDescent="0.2">
      <c r="A19" s="524"/>
      <c r="B19" s="389" t="s">
        <v>368</v>
      </c>
      <c r="C19" s="390">
        <v>141930</v>
      </c>
      <c r="D19" s="464" t="s">
        <v>369</v>
      </c>
      <c r="E19" s="107" t="s">
        <v>352</v>
      </c>
      <c r="F19" s="387" t="s">
        <v>77</v>
      </c>
      <c r="G19" s="387">
        <v>2</v>
      </c>
      <c r="H19" s="26"/>
      <c r="I19" s="3"/>
      <c r="J19" s="17"/>
      <c r="K19" s="388">
        <v>86.76</v>
      </c>
      <c r="L19" s="91">
        <f t="shared" si="0"/>
        <v>0</v>
      </c>
    </row>
    <row r="20" spans="1:12" s="33" customFormat="1" x14ac:dyDescent="0.2">
      <c r="A20" s="524"/>
      <c r="B20" s="389" t="s">
        <v>370</v>
      </c>
      <c r="C20" s="390">
        <v>141932</v>
      </c>
      <c r="D20" s="464" t="s">
        <v>369</v>
      </c>
      <c r="E20" s="107" t="s">
        <v>352</v>
      </c>
      <c r="F20" s="387" t="s">
        <v>77</v>
      </c>
      <c r="G20" s="387">
        <v>2</v>
      </c>
      <c r="H20" s="27"/>
      <c r="I20" s="3"/>
      <c r="J20" s="17"/>
      <c r="K20" s="388">
        <v>86.76</v>
      </c>
      <c r="L20" s="360">
        <f t="shared" si="0"/>
        <v>0</v>
      </c>
    </row>
    <row r="21" spans="1:12" s="33" customFormat="1" x14ac:dyDescent="0.2">
      <c r="A21" s="524"/>
      <c r="B21" s="389" t="s">
        <v>371</v>
      </c>
      <c r="C21" s="390" t="s">
        <v>372</v>
      </c>
      <c r="D21" s="464" t="s">
        <v>373</v>
      </c>
      <c r="E21" s="107" t="s">
        <v>374</v>
      </c>
      <c r="F21" s="387" t="s">
        <v>77</v>
      </c>
      <c r="G21" s="387">
        <v>1</v>
      </c>
      <c r="H21" s="27"/>
      <c r="I21" s="3"/>
      <c r="J21" s="17"/>
      <c r="K21" s="388">
        <v>9.7799999999999994</v>
      </c>
      <c r="L21" s="360">
        <f t="shared" si="0"/>
        <v>0</v>
      </c>
    </row>
    <row r="22" spans="1:12" s="33" customFormat="1" x14ac:dyDescent="0.2">
      <c r="A22" s="524"/>
      <c r="B22" s="389" t="s">
        <v>375</v>
      </c>
      <c r="C22" s="390">
        <v>21523</v>
      </c>
      <c r="D22" s="464" t="s">
        <v>376</v>
      </c>
      <c r="E22" s="107" t="s">
        <v>377</v>
      </c>
      <c r="F22" s="387" t="s">
        <v>77</v>
      </c>
      <c r="G22" s="387">
        <v>4</v>
      </c>
      <c r="H22" s="27"/>
      <c r="I22" s="3"/>
      <c r="J22" s="17"/>
      <c r="K22" s="388">
        <v>82.72</v>
      </c>
      <c r="L22" s="360">
        <f t="shared" si="0"/>
        <v>0</v>
      </c>
    </row>
    <row r="23" spans="1:12" s="33" customFormat="1" x14ac:dyDescent="0.2">
      <c r="A23" s="524"/>
      <c r="B23" s="389" t="s">
        <v>378</v>
      </c>
      <c r="C23" s="390">
        <v>73784</v>
      </c>
      <c r="D23" s="464" t="s">
        <v>379</v>
      </c>
      <c r="E23" s="107" t="s">
        <v>355</v>
      </c>
      <c r="F23" s="387" t="s">
        <v>77</v>
      </c>
      <c r="G23" s="387">
        <v>1</v>
      </c>
      <c r="H23" s="26"/>
      <c r="I23" s="3"/>
      <c r="J23" s="17"/>
      <c r="K23" s="388">
        <v>19</v>
      </c>
      <c r="L23" s="91">
        <f t="shared" si="0"/>
        <v>0</v>
      </c>
    </row>
    <row r="24" spans="1:12" s="33" customFormat="1" x14ac:dyDescent="0.2">
      <c r="A24" s="524"/>
      <c r="B24" s="389" t="s">
        <v>380</v>
      </c>
      <c r="C24" s="390">
        <v>159459</v>
      </c>
      <c r="D24" s="464" t="s">
        <v>357</v>
      </c>
      <c r="E24" s="107" t="s">
        <v>381</v>
      </c>
      <c r="F24" s="387" t="s">
        <v>77</v>
      </c>
      <c r="G24" s="387">
        <v>4</v>
      </c>
      <c r="H24" s="26"/>
      <c r="I24" s="3"/>
      <c r="J24" s="17"/>
      <c r="K24" s="388">
        <v>97.04</v>
      </c>
      <c r="L24" s="91">
        <f t="shared" si="0"/>
        <v>0</v>
      </c>
    </row>
    <row r="25" spans="1:12" s="33" customFormat="1" x14ac:dyDescent="0.2">
      <c r="A25" s="524"/>
      <c r="B25" s="389" t="s">
        <v>382</v>
      </c>
      <c r="C25" s="390">
        <v>71780</v>
      </c>
      <c r="D25" s="464" t="s">
        <v>360</v>
      </c>
      <c r="E25" s="107" t="s">
        <v>377</v>
      </c>
      <c r="F25" s="387" t="s">
        <v>77</v>
      </c>
      <c r="G25" s="387">
        <v>8</v>
      </c>
      <c r="H25" s="27"/>
      <c r="I25" s="3"/>
      <c r="J25" s="17"/>
      <c r="K25" s="388">
        <v>183.76</v>
      </c>
      <c r="L25" s="360">
        <f t="shared" si="0"/>
        <v>0</v>
      </c>
    </row>
    <row r="26" spans="1:12" s="33" customFormat="1" x14ac:dyDescent="0.2">
      <c r="A26" s="524"/>
      <c r="B26" s="389" t="s">
        <v>383</v>
      </c>
      <c r="C26" s="390">
        <v>51437</v>
      </c>
      <c r="D26" s="464" t="s">
        <v>376</v>
      </c>
      <c r="E26" s="107" t="s">
        <v>377</v>
      </c>
      <c r="F26" s="387" t="s">
        <v>77</v>
      </c>
      <c r="G26" s="387">
        <v>4</v>
      </c>
      <c r="H26" s="26"/>
      <c r="I26" s="3"/>
      <c r="J26" s="17"/>
      <c r="K26" s="388">
        <v>90.4</v>
      </c>
      <c r="L26" s="91">
        <f t="shared" si="0"/>
        <v>0</v>
      </c>
    </row>
    <row r="27" spans="1:12" s="33" customFormat="1" ht="16.5" customHeight="1" x14ac:dyDescent="0.2">
      <c r="A27" s="524"/>
      <c r="B27" s="389" t="s">
        <v>384</v>
      </c>
      <c r="C27" s="390">
        <v>106564</v>
      </c>
      <c r="D27" s="464" t="s">
        <v>357</v>
      </c>
      <c r="E27" s="107" t="s">
        <v>377</v>
      </c>
      <c r="F27" s="387" t="s">
        <v>77</v>
      </c>
      <c r="G27" s="387">
        <v>5</v>
      </c>
      <c r="H27" s="27"/>
      <c r="I27" s="8"/>
      <c r="J27" s="17"/>
      <c r="K27" s="388">
        <v>103.5</v>
      </c>
      <c r="L27" s="360">
        <f t="shared" si="0"/>
        <v>0</v>
      </c>
    </row>
    <row r="28" spans="1:12" s="33" customFormat="1" ht="17" thickBot="1" x14ac:dyDescent="0.25">
      <c r="A28" s="524"/>
      <c r="B28" s="389" t="s">
        <v>385</v>
      </c>
      <c r="C28" s="390">
        <v>130148</v>
      </c>
      <c r="D28" s="464" t="s">
        <v>369</v>
      </c>
      <c r="E28" s="107" t="s">
        <v>361</v>
      </c>
      <c r="F28" s="387" t="s">
        <v>77</v>
      </c>
      <c r="G28" s="387">
        <v>4</v>
      </c>
      <c r="H28" s="27"/>
      <c r="I28" s="3"/>
      <c r="J28" s="17"/>
      <c r="K28" s="388">
        <v>92.52</v>
      </c>
      <c r="L28" s="360">
        <f t="shared" si="0"/>
        <v>0</v>
      </c>
    </row>
    <row r="29" spans="1:12" s="33" customFormat="1" ht="17" thickBot="1" x14ac:dyDescent="0.25">
      <c r="B29" s="102"/>
      <c r="C29" s="382"/>
      <c r="D29" s="382"/>
      <c r="E29" s="455"/>
      <c r="F29" s="382"/>
      <c r="G29" s="382"/>
      <c r="H29" s="383"/>
      <c r="I29" s="383"/>
      <c r="J29" s="118"/>
      <c r="K29" s="384"/>
      <c r="L29" s="105">
        <f>SUM(L11:L28)</f>
        <v>0</v>
      </c>
    </row>
    <row r="30" spans="1:12" s="33" customFormat="1" x14ac:dyDescent="0.2">
      <c r="C30" s="365"/>
      <c r="D30" s="365"/>
      <c r="E30" s="270"/>
      <c r="F30" s="270"/>
      <c r="G30" s="270"/>
      <c r="H30" s="270"/>
      <c r="I30" s="270"/>
      <c r="J30" s="270"/>
      <c r="K30" s="270"/>
    </row>
    <row r="31" spans="1:12" s="33" customFormat="1" x14ac:dyDescent="0.2">
      <c r="C31" s="365"/>
      <c r="D31" s="365"/>
      <c r="E31" s="270"/>
      <c r="F31" s="270"/>
      <c r="G31" s="270"/>
      <c r="H31" s="270"/>
      <c r="I31" s="270"/>
      <c r="J31" s="270"/>
      <c r="K31" s="270"/>
    </row>
    <row r="32" spans="1:12" s="33" customFormat="1" x14ac:dyDescent="0.2">
      <c r="C32" s="365"/>
      <c r="D32" s="365"/>
      <c r="E32" s="270"/>
      <c r="F32" s="270"/>
      <c r="G32" s="270"/>
      <c r="H32" s="270"/>
      <c r="I32" s="270"/>
      <c r="J32" s="270"/>
      <c r="K32" s="270"/>
    </row>
    <row r="33" spans="3:11" s="33" customFormat="1" x14ac:dyDescent="0.2">
      <c r="C33" s="365"/>
      <c r="D33" s="365"/>
      <c r="E33" s="270"/>
      <c r="F33" s="270"/>
      <c r="G33" s="270"/>
      <c r="H33" s="270"/>
      <c r="I33" s="270"/>
      <c r="J33" s="270"/>
      <c r="K33" s="270"/>
    </row>
    <row r="34" spans="3:11" s="33" customFormat="1" x14ac:dyDescent="0.2">
      <c r="C34" s="365"/>
      <c r="D34" s="365"/>
      <c r="E34" s="270"/>
      <c r="F34" s="270"/>
      <c r="G34" s="270"/>
      <c r="H34" s="270"/>
      <c r="I34" s="270"/>
      <c r="J34" s="270"/>
      <c r="K34" s="270"/>
    </row>
    <row r="35" spans="3:11" s="33" customFormat="1" x14ac:dyDescent="0.2">
      <c r="C35" s="365"/>
      <c r="D35" s="365"/>
      <c r="E35" s="270"/>
      <c r="F35" s="270"/>
      <c r="G35" s="270"/>
      <c r="H35" s="270"/>
      <c r="I35" s="270"/>
      <c r="J35" s="270"/>
      <c r="K35" s="270"/>
    </row>
    <row r="36" spans="3:11" s="33" customFormat="1" x14ac:dyDescent="0.2">
      <c r="C36" s="365"/>
      <c r="D36" s="365"/>
      <c r="E36" s="270"/>
      <c r="F36" s="270"/>
      <c r="G36" s="270"/>
      <c r="H36" s="270"/>
      <c r="I36" s="270"/>
      <c r="J36" s="270"/>
      <c r="K36" s="270"/>
    </row>
    <row r="37" spans="3:11" s="33" customFormat="1" x14ac:dyDescent="0.2">
      <c r="C37" s="365"/>
      <c r="D37" s="365"/>
      <c r="E37" s="270"/>
      <c r="F37" s="270"/>
      <c r="G37" s="270"/>
      <c r="H37" s="270"/>
      <c r="I37" s="270"/>
      <c r="J37" s="270"/>
      <c r="K37" s="270"/>
    </row>
    <row r="38" spans="3:11" s="33" customFormat="1" x14ac:dyDescent="0.2">
      <c r="C38" s="365"/>
      <c r="D38" s="365"/>
      <c r="E38" s="270"/>
      <c r="F38" s="270"/>
      <c r="G38" s="270"/>
      <c r="H38" s="270"/>
      <c r="I38" s="270"/>
      <c r="J38" s="270"/>
      <c r="K38" s="270"/>
    </row>
    <row r="39" spans="3:11" s="33" customFormat="1" x14ac:dyDescent="0.2">
      <c r="C39" s="365"/>
      <c r="D39" s="365"/>
      <c r="E39" s="270"/>
      <c r="F39" s="270"/>
      <c r="G39" s="270"/>
      <c r="H39" s="270"/>
      <c r="I39" s="270"/>
      <c r="J39" s="270"/>
      <c r="K39" s="270"/>
    </row>
    <row r="40" spans="3:11" s="33" customFormat="1" x14ac:dyDescent="0.2">
      <c r="C40" s="365"/>
      <c r="D40" s="365"/>
      <c r="E40" s="270"/>
      <c r="F40" s="270"/>
      <c r="G40" s="270"/>
      <c r="H40" s="270"/>
      <c r="I40" s="270"/>
      <c r="J40" s="270"/>
      <c r="K40" s="270"/>
    </row>
    <row r="41" spans="3:11" s="33" customFormat="1" x14ac:dyDescent="0.2">
      <c r="C41" s="365"/>
      <c r="D41" s="365"/>
      <c r="E41" s="270"/>
      <c r="F41" s="270"/>
      <c r="G41" s="270"/>
      <c r="H41" s="270"/>
      <c r="I41" s="270"/>
      <c r="J41" s="270"/>
      <c r="K41" s="270"/>
    </row>
    <row r="42" spans="3:11" s="33" customFormat="1" x14ac:dyDescent="0.2">
      <c r="C42" s="365"/>
      <c r="D42" s="365"/>
      <c r="E42" s="270"/>
      <c r="F42" s="270"/>
      <c r="G42" s="270"/>
      <c r="H42" s="270"/>
      <c r="I42" s="270"/>
      <c r="J42" s="270"/>
      <c r="K42" s="270"/>
    </row>
    <row r="43" spans="3:11" s="33" customFormat="1" x14ac:dyDescent="0.2">
      <c r="C43" s="365"/>
      <c r="D43" s="365"/>
      <c r="E43" s="270"/>
      <c r="F43" s="270"/>
      <c r="G43" s="270"/>
      <c r="H43" s="270"/>
      <c r="I43" s="270"/>
      <c r="J43" s="270"/>
      <c r="K43" s="270"/>
    </row>
    <row r="44" spans="3:11" s="33" customFormat="1" x14ac:dyDescent="0.2">
      <c r="C44" s="365"/>
      <c r="D44" s="365"/>
      <c r="E44" s="270"/>
      <c r="F44" s="270"/>
      <c r="G44" s="270"/>
      <c r="H44" s="270"/>
      <c r="I44" s="270"/>
      <c r="J44" s="270"/>
      <c r="K44" s="270"/>
    </row>
    <row r="45" spans="3:11" s="33" customFormat="1" x14ac:dyDescent="0.2">
      <c r="C45" s="365"/>
      <c r="D45" s="365"/>
      <c r="E45" s="270"/>
      <c r="F45" s="270"/>
      <c r="G45" s="270"/>
      <c r="H45" s="270"/>
      <c r="I45" s="270"/>
      <c r="J45" s="270"/>
      <c r="K45" s="270"/>
    </row>
    <row r="46" spans="3:11" s="33" customFormat="1" x14ac:dyDescent="0.2">
      <c r="C46" s="365"/>
      <c r="D46" s="365"/>
      <c r="E46" s="270"/>
      <c r="F46" s="270"/>
      <c r="G46" s="270"/>
      <c r="H46" s="270"/>
      <c r="I46" s="270"/>
      <c r="J46" s="270"/>
      <c r="K46" s="270"/>
    </row>
    <row r="47" spans="3:11" s="33" customFormat="1" x14ac:dyDescent="0.2">
      <c r="C47" s="365"/>
      <c r="D47" s="365"/>
      <c r="E47" s="270"/>
      <c r="F47" s="270"/>
      <c r="G47" s="270"/>
      <c r="H47" s="270"/>
      <c r="I47" s="270"/>
      <c r="J47" s="270"/>
      <c r="K47" s="270"/>
    </row>
    <row r="48" spans="3:11" s="33" customFormat="1" x14ac:dyDescent="0.2">
      <c r="C48" s="365"/>
      <c r="D48" s="365"/>
      <c r="E48" s="270"/>
      <c r="F48" s="270"/>
      <c r="G48" s="270"/>
      <c r="H48" s="270"/>
      <c r="I48" s="270"/>
      <c r="J48" s="270"/>
      <c r="K48" s="270"/>
    </row>
    <row r="49" spans="3:11" s="33" customFormat="1" x14ac:dyDescent="0.2">
      <c r="C49" s="365"/>
      <c r="D49" s="365"/>
      <c r="E49" s="270"/>
      <c r="F49" s="270"/>
      <c r="G49" s="270"/>
      <c r="H49" s="270"/>
      <c r="I49" s="270"/>
      <c r="J49" s="270"/>
      <c r="K49" s="270"/>
    </row>
    <row r="50" spans="3:11" s="33" customFormat="1" x14ac:dyDescent="0.2">
      <c r="C50" s="365"/>
      <c r="D50" s="365"/>
      <c r="E50" s="270"/>
      <c r="F50" s="270"/>
      <c r="G50" s="270"/>
      <c r="H50" s="270"/>
      <c r="I50" s="270"/>
      <c r="J50" s="270"/>
      <c r="K50" s="270"/>
    </row>
    <row r="51" spans="3:11" s="33" customFormat="1" x14ac:dyDescent="0.2">
      <c r="C51" s="365"/>
      <c r="D51" s="365"/>
      <c r="E51" s="270"/>
      <c r="F51" s="270"/>
      <c r="G51" s="270"/>
      <c r="H51" s="270"/>
      <c r="I51" s="270"/>
      <c r="J51" s="270"/>
      <c r="K51" s="270"/>
    </row>
    <row r="52" spans="3:11" s="33" customFormat="1" x14ac:dyDescent="0.2">
      <c r="C52" s="365"/>
      <c r="D52" s="365"/>
      <c r="E52" s="270"/>
      <c r="F52" s="270"/>
      <c r="G52" s="270"/>
      <c r="H52" s="270"/>
      <c r="I52" s="270"/>
      <c r="J52" s="270"/>
      <c r="K52" s="270"/>
    </row>
    <row r="53" spans="3:11" s="33" customFormat="1" x14ac:dyDescent="0.2">
      <c r="C53" s="365"/>
      <c r="D53" s="365"/>
      <c r="E53" s="270"/>
      <c r="F53" s="270"/>
      <c r="G53" s="270"/>
      <c r="H53" s="270"/>
      <c r="I53" s="270"/>
      <c r="J53" s="270"/>
      <c r="K53" s="270"/>
    </row>
    <row r="54" spans="3:11" s="33" customFormat="1" x14ac:dyDescent="0.2">
      <c r="C54" s="365"/>
      <c r="D54" s="365"/>
      <c r="E54" s="270"/>
      <c r="F54" s="270"/>
      <c r="G54" s="270"/>
      <c r="H54" s="270"/>
      <c r="I54" s="270"/>
      <c r="J54" s="270"/>
      <c r="K54" s="270"/>
    </row>
    <row r="55" spans="3:11" s="33" customFormat="1" x14ac:dyDescent="0.2">
      <c r="C55" s="365"/>
      <c r="D55" s="365"/>
      <c r="E55" s="270"/>
      <c r="F55" s="270"/>
      <c r="G55" s="270"/>
      <c r="H55" s="270"/>
      <c r="I55" s="270"/>
      <c r="J55" s="270"/>
      <c r="K55" s="270"/>
    </row>
    <row r="56" spans="3:11" s="33" customFormat="1" x14ac:dyDescent="0.2">
      <c r="C56" s="365"/>
      <c r="D56" s="365"/>
      <c r="E56" s="270"/>
      <c r="F56" s="270"/>
      <c r="G56" s="270"/>
      <c r="H56" s="270"/>
      <c r="I56" s="270"/>
      <c r="J56" s="270"/>
      <c r="K56" s="270"/>
    </row>
    <row r="57" spans="3:11" s="33" customFormat="1" x14ac:dyDescent="0.2">
      <c r="C57" s="365"/>
      <c r="D57" s="365"/>
      <c r="E57" s="270"/>
      <c r="F57" s="270"/>
      <c r="G57" s="270"/>
      <c r="H57" s="270"/>
      <c r="I57" s="270"/>
      <c r="J57" s="270"/>
      <c r="K57" s="270"/>
    </row>
    <row r="58" spans="3:11" s="33" customFormat="1" x14ac:dyDescent="0.2">
      <c r="C58" s="365"/>
      <c r="D58" s="365"/>
      <c r="E58" s="270"/>
      <c r="F58" s="270"/>
      <c r="G58" s="270"/>
      <c r="H58" s="270"/>
      <c r="I58" s="270"/>
      <c r="J58" s="270"/>
      <c r="K58" s="270"/>
    </row>
    <row r="59" spans="3:11" s="33" customFormat="1" x14ac:dyDescent="0.2">
      <c r="C59" s="365"/>
      <c r="D59" s="365"/>
      <c r="E59" s="270"/>
      <c r="F59" s="270"/>
      <c r="G59" s="270"/>
      <c r="H59" s="270"/>
      <c r="I59" s="270"/>
      <c r="J59" s="270"/>
      <c r="K59" s="270"/>
    </row>
    <row r="60" spans="3:11" s="33" customFormat="1" x14ac:dyDescent="0.2">
      <c r="C60" s="365"/>
      <c r="D60" s="365"/>
      <c r="E60" s="270"/>
      <c r="F60" s="270"/>
      <c r="G60" s="270"/>
      <c r="H60" s="270"/>
      <c r="I60" s="270"/>
      <c r="J60" s="270"/>
      <c r="K60" s="270"/>
    </row>
    <row r="61" spans="3:11" s="33" customFormat="1" x14ac:dyDescent="0.2">
      <c r="C61" s="365"/>
      <c r="D61" s="365"/>
      <c r="E61" s="270"/>
      <c r="F61" s="270"/>
      <c r="G61" s="270"/>
      <c r="H61" s="270"/>
      <c r="I61" s="270"/>
      <c r="J61" s="270"/>
      <c r="K61" s="270"/>
    </row>
    <row r="62" spans="3:11" s="120" customFormat="1" x14ac:dyDescent="0.2">
      <c r="C62" s="365"/>
      <c r="D62" s="365"/>
      <c r="E62" s="270"/>
      <c r="F62" s="129"/>
      <c r="G62" s="129"/>
      <c r="H62" s="129"/>
      <c r="I62" s="129"/>
      <c r="J62" s="129"/>
      <c r="K62" s="129"/>
    </row>
    <row r="63" spans="3:11" s="120" customFormat="1" x14ac:dyDescent="0.2">
      <c r="C63" s="365"/>
      <c r="D63" s="365"/>
      <c r="E63" s="270"/>
      <c r="F63" s="129"/>
      <c r="G63" s="129"/>
      <c r="H63" s="129"/>
      <c r="I63" s="129"/>
      <c r="J63" s="129"/>
      <c r="K63" s="129"/>
    </row>
    <row r="64" spans="3:11" s="120" customFormat="1" x14ac:dyDescent="0.2">
      <c r="C64" s="365"/>
      <c r="D64" s="365"/>
      <c r="E64" s="270"/>
      <c r="F64" s="129"/>
      <c r="G64" s="129"/>
      <c r="H64" s="129"/>
      <c r="I64" s="129"/>
      <c r="J64" s="129"/>
      <c r="K64" s="129"/>
    </row>
    <row r="65" spans="3:11" s="120" customFormat="1" x14ac:dyDescent="0.2">
      <c r="C65" s="365"/>
      <c r="D65" s="365"/>
      <c r="E65" s="270"/>
      <c r="F65" s="129"/>
      <c r="G65" s="129"/>
      <c r="H65" s="129"/>
      <c r="I65" s="129"/>
      <c r="J65" s="129"/>
      <c r="K65" s="129"/>
    </row>
    <row r="66" spans="3:11" s="120" customFormat="1" x14ac:dyDescent="0.2">
      <c r="C66" s="365"/>
      <c r="D66" s="365"/>
      <c r="E66" s="270"/>
      <c r="F66" s="129"/>
      <c r="G66" s="129"/>
      <c r="H66" s="129"/>
      <c r="I66" s="129"/>
      <c r="J66" s="129"/>
      <c r="K66" s="129"/>
    </row>
    <row r="67" spans="3:11" s="120" customFormat="1" x14ac:dyDescent="0.2">
      <c r="C67" s="365"/>
      <c r="D67" s="365"/>
      <c r="E67" s="270"/>
      <c r="F67" s="129"/>
      <c r="G67" s="129"/>
      <c r="H67" s="129"/>
      <c r="I67" s="129"/>
      <c r="J67" s="129"/>
      <c r="K67" s="129"/>
    </row>
    <row r="68" spans="3:11" s="120" customFormat="1" x14ac:dyDescent="0.2">
      <c r="C68" s="365"/>
      <c r="D68" s="365"/>
      <c r="E68" s="270"/>
      <c r="F68" s="129"/>
      <c r="G68" s="129"/>
      <c r="H68" s="129"/>
      <c r="I68" s="129"/>
      <c r="J68" s="129"/>
      <c r="K68" s="129"/>
    </row>
    <row r="69" spans="3:11" s="120" customFormat="1" x14ac:dyDescent="0.2">
      <c r="C69" s="365"/>
      <c r="D69" s="365"/>
      <c r="E69" s="270"/>
      <c r="F69" s="129"/>
      <c r="G69" s="129"/>
      <c r="H69" s="129"/>
      <c r="I69" s="129"/>
      <c r="J69" s="129"/>
      <c r="K69" s="129"/>
    </row>
    <row r="70" spans="3:11" s="120" customFormat="1" x14ac:dyDescent="0.2">
      <c r="C70" s="365"/>
      <c r="D70" s="365"/>
      <c r="E70" s="270"/>
      <c r="F70" s="129"/>
      <c r="G70" s="129"/>
      <c r="H70" s="129"/>
      <c r="I70" s="129"/>
      <c r="J70" s="129"/>
      <c r="K70" s="129"/>
    </row>
    <row r="71" spans="3:11" s="120" customFormat="1" x14ac:dyDescent="0.2">
      <c r="C71" s="365"/>
      <c r="D71" s="365"/>
      <c r="E71" s="270"/>
      <c r="F71" s="129"/>
      <c r="G71" s="129"/>
      <c r="H71" s="129"/>
      <c r="I71" s="129"/>
      <c r="J71" s="129"/>
      <c r="K71" s="129"/>
    </row>
    <row r="72" spans="3:11" s="120" customFormat="1" x14ac:dyDescent="0.2">
      <c r="C72" s="365"/>
      <c r="D72" s="365"/>
      <c r="E72" s="270"/>
      <c r="F72" s="129"/>
      <c r="G72" s="129"/>
      <c r="H72" s="129"/>
      <c r="I72" s="129"/>
      <c r="J72" s="129"/>
      <c r="K72" s="129"/>
    </row>
    <row r="73" spans="3:11" s="120" customFormat="1" x14ac:dyDescent="0.2">
      <c r="C73" s="365"/>
      <c r="D73" s="365"/>
      <c r="E73" s="270"/>
      <c r="F73" s="129"/>
      <c r="G73" s="129"/>
      <c r="H73" s="129"/>
      <c r="I73" s="129"/>
      <c r="J73" s="129"/>
      <c r="K73" s="129"/>
    </row>
    <row r="74" spans="3:11" s="120" customFormat="1" x14ac:dyDescent="0.2">
      <c r="C74" s="365"/>
      <c r="D74" s="365"/>
      <c r="E74" s="270"/>
      <c r="F74" s="129"/>
      <c r="G74" s="129"/>
      <c r="H74" s="129"/>
      <c r="I74" s="129"/>
      <c r="J74" s="129"/>
      <c r="K74" s="129"/>
    </row>
    <row r="75" spans="3:11" s="120" customFormat="1" x14ac:dyDescent="0.2">
      <c r="C75" s="365"/>
      <c r="D75" s="365"/>
      <c r="E75" s="270"/>
      <c r="F75" s="129"/>
      <c r="G75" s="129"/>
      <c r="H75" s="129"/>
      <c r="I75" s="129"/>
      <c r="J75" s="129"/>
      <c r="K75" s="129"/>
    </row>
    <row r="76" spans="3:11" s="120" customFormat="1" x14ac:dyDescent="0.2">
      <c r="C76" s="365"/>
      <c r="D76" s="365"/>
      <c r="E76" s="270"/>
      <c r="F76" s="129"/>
      <c r="G76" s="129"/>
      <c r="H76" s="129"/>
      <c r="I76" s="129"/>
      <c r="J76" s="129"/>
      <c r="K76" s="129"/>
    </row>
    <row r="77" spans="3:11" s="120" customFormat="1" x14ac:dyDescent="0.2">
      <c r="C77" s="365"/>
      <c r="D77" s="365"/>
      <c r="E77" s="270"/>
      <c r="F77" s="129"/>
      <c r="G77" s="129"/>
      <c r="H77" s="129"/>
      <c r="I77" s="129"/>
      <c r="J77" s="129"/>
      <c r="K77" s="129"/>
    </row>
    <row r="78" spans="3:11" s="120" customFormat="1" x14ac:dyDescent="0.2">
      <c r="C78" s="365"/>
      <c r="D78" s="365"/>
      <c r="E78" s="270"/>
      <c r="F78" s="129"/>
      <c r="G78" s="129"/>
      <c r="H78" s="129"/>
      <c r="I78" s="129"/>
      <c r="J78" s="129"/>
      <c r="K78" s="129"/>
    </row>
    <row r="79" spans="3:11" s="120" customFormat="1" x14ac:dyDescent="0.2">
      <c r="C79" s="365"/>
      <c r="D79" s="365"/>
      <c r="E79" s="270"/>
      <c r="F79" s="129"/>
      <c r="G79" s="129"/>
      <c r="H79" s="129"/>
      <c r="I79" s="129"/>
      <c r="J79" s="129"/>
      <c r="K79" s="129"/>
    </row>
    <row r="80" spans="3:11" s="120" customFormat="1" x14ac:dyDescent="0.2">
      <c r="C80" s="365"/>
      <c r="D80" s="365"/>
      <c r="E80" s="270"/>
      <c r="F80" s="129"/>
      <c r="G80" s="129"/>
      <c r="H80" s="129"/>
      <c r="I80" s="129"/>
      <c r="J80" s="129"/>
      <c r="K80" s="129"/>
    </row>
    <row r="81" spans="3:11" s="120" customFormat="1" x14ac:dyDescent="0.2">
      <c r="C81" s="365"/>
      <c r="D81" s="365"/>
      <c r="E81" s="270"/>
      <c r="F81" s="129"/>
      <c r="G81" s="129"/>
      <c r="H81" s="129"/>
      <c r="I81" s="129"/>
      <c r="J81" s="129"/>
      <c r="K81" s="129"/>
    </row>
    <row r="82" spans="3:11" s="120" customFormat="1" x14ac:dyDescent="0.2">
      <c r="C82" s="365"/>
      <c r="D82" s="365"/>
      <c r="E82" s="270"/>
      <c r="F82" s="129"/>
      <c r="G82" s="129"/>
      <c r="H82" s="129"/>
      <c r="I82" s="129"/>
      <c r="J82" s="129"/>
      <c r="K82" s="129"/>
    </row>
    <row r="83" spans="3:11" s="120" customFormat="1" x14ac:dyDescent="0.2">
      <c r="C83" s="365"/>
      <c r="D83" s="365"/>
      <c r="E83" s="270"/>
      <c r="F83" s="129"/>
      <c r="G83" s="129"/>
      <c r="H83" s="129"/>
      <c r="I83" s="129"/>
      <c r="J83" s="129"/>
      <c r="K83" s="129"/>
    </row>
    <row r="84" spans="3:11" s="120" customFormat="1" x14ac:dyDescent="0.2">
      <c r="C84" s="365"/>
      <c r="D84" s="365"/>
      <c r="E84" s="270"/>
      <c r="F84" s="129"/>
      <c r="G84" s="129"/>
      <c r="H84" s="129"/>
      <c r="I84" s="129"/>
      <c r="J84" s="129"/>
      <c r="K84" s="129"/>
    </row>
    <row r="85" spans="3:11" s="120" customFormat="1" x14ac:dyDescent="0.2">
      <c r="C85" s="365"/>
      <c r="D85" s="365"/>
      <c r="E85" s="270"/>
      <c r="F85" s="129"/>
      <c r="G85" s="129"/>
      <c r="H85" s="129"/>
      <c r="I85" s="129"/>
      <c r="J85" s="129"/>
      <c r="K85" s="129"/>
    </row>
    <row r="86" spans="3:11" s="120" customFormat="1" x14ac:dyDescent="0.2">
      <c r="C86" s="365"/>
      <c r="D86" s="365"/>
      <c r="E86" s="270"/>
      <c r="F86" s="129"/>
      <c r="G86" s="129"/>
      <c r="H86" s="129"/>
      <c r="I86" s="129"/>
      <c r="J86" s="129"/>
      <c r="K86" s="129"/>
    </row>
    <row r="87" spans="3:11" s="120" customFormat="1" x14ac:dyDescent="0.2">
      <c r="C87" s="365"/>
      <c r="D87" s="365"/>
      <c r="E87" s="270"/>
      <c r="F87" s="129"/>
      <c r="G87" s="129"/>
      <c r="H87" s="129"/>
      <c r="I87" s="129"/>
      <c r="J87" s="129"/>
      <c r="K87" s="129"/>
    </row>
    <row r="88" spans="3:11" s="120" customFormat="1" x14ac:dyDescent="0.2">
      <c r="C88" s="365"/>
      <c r="D88" s="365"/>
      <c r="E88" s="270"/>
      <c r="F88" s="129"/>
      <c r="G88" s="129"/>
      <c r="H88" s="129"/>
      <c r="I88" s="129"/>
      <c r="J88" s="129"/>
      <c r="K88" s="129"/>
    </row>
    <row r="89" spans="3:11" s="120" customFormat="1" x14ac:dyDescent="0.2">
      <c r="C89" s="365"/>
      <c r="D89" s="365"/>
      <c r="E89" s="270"/>
      <c r="F89" s="129"/>
      <c r="G89" s="129"/>
      <c r="H89" s="129"/>
      <c r="I89" s="129"/>
      <c r="J89" s="129"/>
      <c r="K89" s="129"/>
    </row>
    <row r="90" spans="3:11" s="120" customFormat="1" x14ac:dyDescent="0.2">
      <c r="C90" s="365"/>
      <c r="D90" s="365"/>
      <c r="E90" s="270"/>
      <c r="F90" s="129"/>
      <c r="G90" s="129"/>
      <c r="H90" s="129"/>
      <c r="I90" s="129"/>
      <c r="J90" s="129"/>
      <c r="K90" s="129"/>
    </row>
    <row r="91" spans="3:11" s="120" customFormat="1" x14ac:dyDescent="0.2">
      <c r="C91" s="365"/>
      <c r="D91" s="365"/>
      <c r="E91" s="270"/>
      <c r="F91" s="129"/>
      <c r="G91" s="129"/>
      <c r="H91" s="129"/>
      <c r="I91" s="129"/>
      <c r="J91" s="129"/>
      <c r="K91" s="129"/>
    </row>
    <row r="92" spans="3:11" s="120" customFormat="1" x14ac:dyDescent="0.2">
      <c r="C92" s="365"/>
      <c r="D92" s="365"/>
      <c r="E92" s="270"/>
      <c r="F92" s="129"/>
      <c r="G92" s="129"/>
      <c r="H92" s="129"/>
      <c r="I92" s="129"/>
      <c r="J92" s="129"/>
      <c r="K92" s="129"/>
    </row>
    <row r="93" spans="3:11" s="120" customFormat="1" x14ac:dyDescent="0.2">
      <c r="C93" s="365"/>
      <c r="D93" s="365"/>
      <c r="E93" s="270"/>
      <c r="F93" s="129"/>
      <c r="G93" s="129"/>
      <c r="H93" s="129"/>
      <c r="I93" s="129"/>
      <c r="J93" s="129"/>
      <c r="K93" s="129"/>
    </row>
    <row r="94" spans="3:11" s="120" customFormat="1" x14ac:dyDescent="0.2">
      <c r="C94" s="365"/>
      <c r="D94" s="365"/>
      <c r="E94" s="270"/>
      <c r="F94" s="129"/>
      <c r="G94" s="129"/>
      <c r="H94" s="129"/>
      <c r="I94" s="129"/>
      <c r="J94" s="129"/>
      <c r="K94" s="129"/>
    </row>
    <row r="95" spans="3:11" s="120" customFormat="1" x14ac:dyDescent="0.2">
      <c r="C95" s="365"/>
      <c r="D95" s="365"/>
      <c r="E95" s="270"/>
      <c r="F95" s="129"/>
      <c r="G95" s="129"/>
      <c r="H95" s="129"/>
      <c r="I95" s="129"/>
      <c r="J95" s="129"/>
      <c r="K95" s="129"/>
    </row>
    <row r="96" spans="3:11" s="120" customFormat="1" x14ac:dyDescent="0.2">
      <c r="C96" s="365"/>
      <c r="D96" s="365"/>
      <c r="E96" s="270"/>
      <c r="F96" s="129"/>
      <c r="G96" s="129"/>
      <c r="H96" s="129"/>
      <c r="I96" s="129"/>
      <c r="J96" s="129"/>
      <c r="K96" s="129"/>
    </row>
    <row r="97" spans="3:11" s="120" customFormat="1" x14ac:dyDescent="0.2">
      <c r="C97" s="365"/>
      <c r="D97" s="365"/>
      <c r="E97" s="270"/>
      <c r="F97" s="129"/>
      <c r="G97" s="129"/>
      <c r="H97" s="129"/>
      <c r="I97" s="129"/>
      <c r="J97" s="129"/>
      <c r="K97" s="129"/>
    </row>
    <row r="98" spans="3:11" s="120" customFormat="1" x14ac:dyDescent="0.2">
      <c r="C98" s="365"/>
      <c r="D98" s="365"/>
      <c r="E98" s="270"/>
      <c r="F98" s="129"/>
      <c r="G98" s="129"/>
      <c r="H98" s="129"/>
      <c r="I98" s="129"/>
      <c r="J98" s="129"/>
      <c r="K98" s="129"/>
    </row>
    <row r="99" spans="3:11" s="120" customFormat="1" x14ac:dyDescent="0.2">
      <c r="C99" s="365"/>
      <c r="D99" s="365"/>
      <c r="E99" s="270"/>
      <c r="F99" s="129"/>
      <c r="G99" s="129"/>
      <c r="H99" s="129"/>
      <c r="I99" s="129"/>
      <c r="J99" s="129"/>
      <c r="K99" s="129"/>
    </row>
    <row r="100" spans="3:11" s="120" customFormat="1" x14ac:dyDescent="0.2">
      <c r="C100" s="365"/>
      <c r="D100" s="365"/>
      <c r="E100" s="270"/>
      <c r="F100" s="129"/>
      <c r="G100" s="129"/>
      <c r="H100" s="129"/>
      <c r="I100" s="129"/>
      <c r="J100" s="129"/>
      <c r="K100" s="129"/>
    </row>
    <row r="101" spans="3:11" s="120" customFormat="1" x14ac:dyDescent="0.2">
      <c r="C101" s="365"/>
      <c r="D101" s="365"/>
      <c r="E101" s="270"/>
      <c r="F101" s="129"/>
      <c r="G101" s="129"/>
      <c r="H101" s="129"/>
      <c r="I101" s="129"/>
      <c r="J101" s="129"/>
      <c r="K101" s="129"/>
    </row>
    <row r="102" spans="3:11" s="120" customFormat="1" x14ac:dyDescent="0.2">
      <c r="C102" s="365"/>
      <c r="D102" s="365"/>
      <c r="E102" s="270"/>
      <c r="F102" s="129"/>
      <c r="G102" s="129"/>
      <c r="H102" s="129"/>
      <c r="I102" s="129"/>
      <c r="J102" s="129"/>
      <c r="K102" s="129"/>
    </row>
    <row r="103" spans="3:11" s="120" customFormat="1" x14ac:dyDescent="0.2">
      <c r="C103" s="365"/>
      <c r="D103" s="365"/>
      <c r="E103" s="270"/>
      <c r="F103" s="129"/>
      <c r="G103" s="129"/>
      <c r="H103" s="129"/>
      <c r="I103" s="129"/>
      <c r="J103" s="129"/>
      <c r="K103" s="129"/>
    </row>
    <row r="104" spans="3:11" s="120" customFormat="1" x14ac:dyDescent="0.2">
      <c r="C104" s="365"/>
      <c r="D104" s="365"/>
      <c r="E104" s="270"/>
      <c r="F104" s="129"/>
      <c r="G104" s="129"/>
      <c r="H104" s="129"/>
      <c r="I104" s="129"/>
      <c r="J104" s="129"/>
      <c r="K104" s="129"/>
    </row>
    <row r="105" spans="3:11" s="120" customFormat="1" x14ac:dyDescent="0.2">
      <c r="C105" s="365"/>
      <c r="D105" s="365"/>
      <c r="E105" s="270"/>
      <c r="F105" s="129"/>
      <c r="G105" s="129"/>
      <c r="H105" s="129"/>
      <c r="I105" s="129"/>
      <c r="J105" s="129"/>
      <c r="K105" s="129"/>
    </row>
    <row r="106" spans="3:11" s="120" customFormat="1" x14ac:dyDescent="0.2">
      <c r="C106" s="365"/>
      <c r="D106" s="365"/>
      <c r="E106" s="270"/>
      <c r="F106" s="129"/>
      <c r="G106" s="129"/>
      <c r="H106" s="129"/>
      <c r="I106" s="129"/>
      <c r="J106" s="129"/>
      <c r="K106" s="129"/>
    </row>
    <row r="107" spans="3:11" s="120" customFormat="1" x14ac:dyDescent="0.2">
      <c r="C107" s="365"/>
      <c r="D107" s="365"/>
      <c r="E107" s="270"/>
      <c r="F107" s="129"/>
      <c r="G107" s="129"/>
      <c r="H107" s="129"/>
      <c r="I107" s="129"/>
      <c r="J107" s="129"/>
      <c r="K107" s="129"/>
    </row>
    <row r="108" spans="3:11" s="120" customFormat="1" x14ac:dyDescent="0.2">
      <c r="C108" s="365"/>
      <c r="D108" s="365"/>
      <c r="E108" s="270"/>
      <c r="F108" s="129"/>
      <c r="G108" s="129"/>
      <c r="H108" s="129"/>
      <c r="I108" s="129"/>
      <c r="J108" s="129"/>
      <c r="K108" s="129"/>
    </row>
    <row r="109" spans="3:11" s="120" customFormat="1" x14ac:dyDescent="0.2">
      <c r="C109" s="365"/>
      <c r="D109" s="365"/>
      <c r="E109" s="270"/>
      <c r="F109" s="129"/>
      <c r="G109" s="129"/>
      <c r="H109" s="129"/>
      <c r="I109" s="129"/>
      <c r="J109" s="129"/>
      <c r="K109" s="129"/>
    </row>
    <row r="110" spans="3:11" s="120" customFormat="1" x14ac:dyDescent="0.2">
      <c r="C110" s="365"/>
      <c r="D110" s="365"/>
      <c r="E110" s="270"/>
      <c r="F110" s="129"/>
      <c r="G110" s="129"/>
      <c r="H110" s="129"/>
      <c r="I110" s="129"/>
      <c r="J110" s="129"/>
      <c r="K110" s="129"/>
    </row>
    <row r="111" spans="3:11" s="120" customFormat="1" x14ac:dyDescent="0.2">
      <c r="C111" s="365"/>
      <c r="D111" s="365"/>
      <c r="E111" s="270"/>
      <c r="F111" s="129"/>
      <c r="G111" s="129"/>
      <c r="H111" s="129"/>
      <c r="I111" s="129"/>
      <c r="J111" s="129"/>
      <c r="K111" s="129"/>
    </row>
    <row r="112" spans="3:11" s="120" customFormat="1" x14ac:dyDescent="0.2">
      <c r="C112" s="365"/>
      <c r="D112" s="365"/>
      <c r="E112" s="270"/>
      <c r="F112" s="129"/>
      <c r="G112" s="129"/>
      <c r="H112" s="129"/>
      <c r="I112" s="129"/>
      <c r="J112" s="129"/>
      <c r="K112" s="129"/>
    </row>
    <row r="113" spans="3:11" s="120" customFormat="1" x14ac:dyDescent="0.2">
      <c r="C113" s="365"/>
      <c r="D113" s="365"/>
      <c r="E113" s="270"/>
      <c r="F113" s="129"/>
      <c r="G113" s="129"/>
      <c r="H113" s="129"/>
      <c r="I113" s="129"/>
      <c r="J113" s="129"/>
      <c r="K113" s="129"/>
    </row>
    <row r="114" spans="3:11" s="120" customFormat="1" x14ac:dyDescent="0.2">
      <c r="C114" s="365"/>
      <c r="D114" s="365"/>
      <c r="E114" s="270"/>
      <c r="F114" s="129"/>
      <c r="G114" s="129"/>
      <c r="H114" s="129"/>
      <c r="I114" s="129"/>
      <c r="J114" s="129"/>
      <c r="K114" s="129"/>
    </row>
    <row r="115" spans="3:11" s="120" customFormat="1" x14ac:dyDescent="0.2">
      <c r="C115" s="365"/>
      <c r="D115" s="365"/>
      <c r="E115" s="270"/>
      <c r="F115" s="129"/>
      <c r="G115" s="129"/>
      <c r="H115" s="129"/>
      <c r="I115" s="129"/>
      <c r="J115" s="129"/>
      <c r="K115" s="129"/>
    </row>
    <row r="116" spans="3:11" s="120" customFormat="1" x14ac:dyDescent="0.2">
      <c r="C116" s="365"/>
      <c r="D116" s="365"/>
      <c r="E116" s="270"/>
      <c r="F116" s="129"/>
      <c r="G116" s="129"/>
      <c r="H116" s="129"/>
      <c r="I116" s="129"/>
      <c r="J116" s="129"/>
      <c r="K116" s="129"/>
    </row>
    <row r="117" spans="3:11" s="120" customFormat="1" x14ac:dyDescent="0.2">
      <c r="C117" s="365"/>
      <c r="D117" s="365"/>
      <c r="E117" s="270"/>
      <c r="F117" s="129"/>
      <c r="G117" s="129"/>
      <c r="H117" s="129"/>
      <c r="I117" s="129"/>
      <c r="J117" s="129"/>
      <c r="K117" s="129"/>
    </row>
    <row r="118" spans="3:11" s="120" customFormat="1" x14ac:dyDescent="0.2">
      <c r="C118" s="365"/>
      <c r="D118" s="365"/>
      <c r="E118" s="270"/>
      <c r="F118" s="129"/>
      <c r="G118" s="129"/>
      <c r="H118" s="129"/>
      <c r="I118" s="129"/>
      <c r="J118" s="129"/>
      <c r="K118" s="129"/>
    </row>
    <row r="119" spans="3:11" s="120" customFormat="1" x14ac:dyDescent="0.2">
      <c r="C119" s="365"/>
      <c r="D119" s="365"/>
      <c r="E119" s="270"/>
      <c r="F119" s="129"/>
      <c r="G119" s="129"/>
      <c r="H119" s="129"/>
      <c r="I119" s="129"/>
      <c r="J119" s="129"/>
      <c r="K119" s="129"/>
    </row>
    <row r="120" spans="3:11" s="120" customFormat="1" x14ac:dyDescent="0.2">
      <c r="C120" s="365"/>
      <c r="D120" s="365"/>
      <c r="E120" s="270"/>
      <c r="F120" s="129"/>
      <c r="G120" s="129"/>
      <c r="H120" s="129"/>
      <c r="I120" s="129"/>
      <c r="J120" s="129"/>
      <c r="K120" s="129"/>
    </row>
    <row r="121" spans="3:11" s="120" customFormat="1" x14ac:dyDescent="0.2">
      <c r="C121" s="365"/>
      <c r="D121" s="365"/>
      <c r="E121" s="270"/>
      <c r="F121" s="129"/>
      <c r="G121" s="129"/>
      <c r="H121" s="129"/>
      <c r="I121" s="129"/>
      <c r="J121" s="129"/>
      <c r="K121" s="129"/>
    </row>
    <row r="122" spans="3:11" s="120" customFormat="1" x14ac:dyDescent="0.2">
      <c r="C122" s="365"/>
      <c r="D122" s="365"/>
      <c r="E122" s="270"/>
      <c r="F122" s="129"/>
      <c r="G122" s="129"/>
      <c r="H122" s="129"/>
      <c r="I122" s="129"/>
      <c r="J122" s="129"/>
      <c r="K122" s="129"/>
    </row>
    <row r="123" spans="3:11" s="120" customFormat="1" x14ac:dyDescent="0.2">
      <c r="C123" s="365"/>
      <c r="D123" s="365"/>
      <c r="E123" s="270"/>
      <c r="F123" s="129"/>
      <c r="G123" s="129"/>
      <c r="H123" s="129"/>
      <c r="I123" s="129"/>
      <c r="J123" s="129"/>
      <c r="K123" s="129"/>
    </row>
    <row r="124" spans="3:11" s="120" customFormat="1" x14ac:dyDescent="0.2">
      <c r="C124" s="365"/>
      <c r="D124" s="365"/>
      <c r="E124" s="270"/>
      <c r="F124" s="129"/>
      <c r="G124" s="129"/>
      <c r="H124" s="129"/>
      <c r="I124" s="129"/>
      <c r="J124" s="129"/>
      <c r="K124" s="129"/>
    </row>
    <row r="125" spans="3:11" s="120" customFormat="1" x14ac:dyDescent="0.2">
      <c r="C125" s="365"/>
      <c r="D125" s="365"/>
      <c r="E125" s="270"/>
      <c r="F125" s="129"/>
      <c r="G125" s="129"/>
      <c r="H125" s="129"/>
      <c r="I125" s="129"/>
      <c r="J125" s="129"/>
      <c r="K125" s="129"/>
    </row>
    <row r="126" spans="3:11" s="120" customFormat="1" x14ac:dyDescent="0.2">
      <c r="C126" s="365"/>
      <c r="D126" s="365"/>
      <c r="E126" s="270"/>
      <c r="F126" s="129"/>
      <c r="G126" s="129"/>
      <c r="H126" s="129"/>
      <c r="I126" s="129"/>
      <c r="J126" s="129"/>
      <c r="K126" s="129"/>
    </row>
    <row r="127" spans="3:11" s="120" customFormat="1" x14ac:dyDescent="0.2">
      <c r="C127" s="365"/>
      <c r="D127" s="365"/>
      <c r="E127" s="270"/>
      <c r="F127" s="129"/>
      <c r="G127" s="129"/>
      <c r="H127" s="129"/>
      <c r="I127" s="129"/>
      <c r="J127" s="129"/>
      <c r="K127" s="129"/>
    </row>
    <row r="128" spans="3:11" s="120" customFormat="1" x14ac:dyDescent="0.2">
      <c r="C128" s="365"/>
      <c r="D128" s="365"/>
      <c r="E128" s="270"/>
      <c r="F128" s="129"/>
      <c r="G128" s="129"/>
      <c r="H128" s="129"/>
      <c r="I128" s="129"/>
      <c r="J128" s="129"/>
      <c r="K128" s="129"/>
    </row>
    <row r="129" spans="3:11" s="120" customFormat="1" x14ac:dyDescent="0.2">
      <c r="C129" s="365"/>
      <c r="D129" s="365"/>
      <c r="E129" s="270"/>
      <c r="F129" s="129"/>
      <c r="G129" s="129"/>
      <c r="H129" s="129"/>
      <c r="I129" s="129"/>
      <c r="J129" s="129"/>
      <c r="K129" s="129"/>
    </row>
    <row r="130" spans="3:11" s="120" customFormat="1" x14ac:dyDescent="0.2">
      <c r="C130" s="365"/>
      <c r="D130" s="365"/>
      <c r="E130" s="270"/>
      <c r="F130" s="129"/>
      <c r="G130" s="129"/>
      <c r="H130" s="129"/>
      <c r="I130" s="129"/>
      <c r="J130" s="129"/>
      <c r="K130" s="129"/>
    </row>
    <row r="131" spans="3:11" s="120" customFormat="1" x14ac:dyDescent="0.2">
      <c r="C131" s="365"/>
      <c r="D131" s="365"/>
      <c r="E131" s="270"/>
      <c r="F131" s="129"/>
      <c r="G131" s="129"/>
      <c r="H131" s="129"/>
      <c r="I131" s="129"/>
      <c r="J131" s="129"/>
      <c r="K131" s="129"/>
    </row>
    <row r="132" spans="3:11" s="120" customFormat="1" x14ac:dyDescent="0.2">
      <c r="C132" s="365"/>
      <c r="D132" s="365"/>
      <c r="E132" s="270"/>
      <c r="F132" s="129"/>
      <c r="G132" s="129"/>
      <c r="H132" s="129"/>
      <c r="I132" s="129"/>
      <c r="J132" s="129"/>
      <c r="K132" s="129"/>
    </row>
    <row r="133" spans="3:11" s="120" customFormat="1" x14ac:dyDescent="0.2">
      <c r="C133" s="365"/>
      <c r="D133" s="365"/>
      <c r="E133" s="270"/>
      <c r="F133" s="129"/>
      <c r="G133" s="129"/>
      <c r="H133" s="129"/>
      <c r="I133" s="129"/>
      <c r="J133" s="129"/>
      <c r="K133" s="129"/>
    </row>
    <row r="134" spans="3:11" s="120" customFormat="1" x14ac:dyDescent="0.2">
      <c r="C134" s="365"/>
      <c r="D134" s="365"/>
      <c r="E134" s="270"/>
      <c r="F134" s="129"/>
      <c r="G134" s="129"/>
      <c r="H134" s="129"/>
      <c r="I134" s="129"/>
      <c r="J134" s="129"/>
      <c r="K134" s="129"/>
    </row>
    <row r="135" spans="3:11" s="120" customFormat="1" x14ac:dyDescent="0.2">
      <c r="C135" s="365"/>
      <c r="D135" s="365"/>
      <c r="E135" s="270"/>
      <c r="F135" s="129"/>
      <c r="G135" s="129"/>
      <c r="H135" s="129"/>
      <c r="I135" s="129"/>
      <c r="J135" s="129"/>
      <c r="K135" s="129"/>
    </row>
    <row r="136" spans="3:11" s="120" customFormat="1" x14ac:dyDescent="0.2">
      <c r="C136" s="365"/>
      <c r="D136" s="365"/>
      <c r="E136" s="270"/>
      <c r="F136" s="129"/>
      <c r="G136" s="129"/>
      <c r="H136" s="129"/>
      <c r="I136" s="129"/>
      <c r="J136" s="129"/>
      <c r="K136" s="129"/>
    </row>
    <row r="137" spans="3:11" s="120" customFormat="1" x14ac:dyDescent="0.2">
      <c r="C137" s="365"/>
      <c r="D137" s="365"/>
      <c r="E137" s="270"/>
      <c r="F137" s="129"/>
      <c r="G137" s="129"/>
      <c r="H137" s="129"/>
      <c r="I137" s="129"/>
      <c r="J137" s="129"/>
      <c r="K137" s="129"/>
    </row>
    <row r="138" spans="3:11" s="120" customFormat="1" x14ac:dyDescent="0.2">
      <c r="C138" s="365"/>
      <c r="D138" s="365"/>
      <c r="E138" s="270"/>
      <c r="F138" s="129"/>
      <c r="G138" s="129"/>
      <c r="H138" s="129"/>
      <c r="I138" s="129"/>
      <c r="J138" s="129"/>
      <c r="K138" s="129"/>
    </row>
    <row r="139" spans="3:11" s="120" customFormat="1" x14ac:dyDescent="0.2">
      <c r="C139" s="365"/>
      <c r="D139" s="365"/>
      <c r="E139" s="270"/>
      <c r="F139" s="129"/>
      <c r="G139" s="129"/>
      <c r="H139" s="129"/>
      <c r="I139" s="129"/>
      <c r="J139" s="129"/>
      <c r="K139" s="129"/>
    </row>
    <row r="140" spans="3:11" s="120" customFormat="1" x14ac:dyDescent="0.2">
      <c r="C140" s="365"/>
      <c r="D140" s="365"/>
      <c r="E140" s="270"/>
      <c r="F140" s="129"/>
      <c r="G140" s="129"/>
      <c r="H140" s="129"/>
      <c r="I140" s="129"/>
      <c r="J140" s="129"/>
      <c r="K140" s="129"/>
    </row>
    <row r="141" spans="3:11" s="120" customFormat="1" x14ac:dyDescent="0.2">
      <c r="C141" s="365"/>
      <c r="D141" s="365"/>
      <c r="E141" s="270"/>
      <c r="F141" s="129"/>
      <c r="G141" s="129"/>
      <c r="H141" s="129"/>
      <c r="I141" s="129"/>
      <c r="J141" s="129"/>
      <c r="K141" s="129"/>
    </row>
    <row r="142" spans="3:11" s="120" customFormat="1" x14ac:dyDescent="0.2">
      <c r="C142" s="365"/>
      <c r="D142" s="365"/>
      <c r="E142" s="270"/>
      <c r="F142" s="129"/>
      <c r="G142" s="129"/>
      <c r="H142" s="129"/>
      <c r="I142" s="129"/>
      <c r="J142" s="129"/>
      <c r="K142" s="129"/>
    </row>
    <row r="143" spans="3:11" s="120" customFormat="1" x14ac:dyDescent="0.2">
      <c r="C143" s="365"/>
      <c r="D143" s="365"/>
      <c r="E143" s="270"/>
      <c r="F143" s="129"/>
      <c r="G143" s="129"/>
      <c r="H143" s="129"/>
      <c r="I143" s="129"/>
      <c r="J143" s="129"/>
      <c r="K143" s="129"/>
    </row>
    <row r="144" spans="3:11" s="120" customFormat="1" x14ac:dyDescent="0.2">
      <c r="C144" s="365"/>
      <c r="D144" s="365"/>
      <c r="E144" s="270"/>
      <c r="F144" s="129"/>
      <c r="G144" s="129"/>
      <c r="H144" s="129"/>
      <c r="I144" s="129"/>
      <c r="J144" s="129"/>
      <c r="K144" s="129"/>
    </row>
    <row r="145" spans="3:11" s="120" customFormat="1" x14ac:dyDescent="0.2">
      <c r="C145" s="365"/>
      <c r="D145" s="365"/>
      <c r="E145" s="270"/>
      <c r="F145" s="129"/>
      <c r="G145" s="129"/>
      <c r="H145" s="129"/>
      <c r="I145" s="129"/>
      <c r="J145" s="129"/>
      <c r="K145" s="129"/>
    </row>
    <row r="146" spans="3:11" s="120" customFormat="1" x14ac:dyDescent="0.2">
      <c r="C146" s="365"/>
      <c r="D146" s="365"/>
      <c r="E146" s="270"/>
      <c r="F146" s="129"/>
      <c r="G146" s="129"/>
      <c r="H146" s="129"/>
      <c r="I146" s="129"/>
      <c r="J146" s="129"/>
      <c r="K146" s="129"/>
    </row>
    <row r="147" spans="3:11" s="120" customFormat="1" x14ac:dyDescent="0.2">
      <c r="C147" s="391"/>
      <c r="D147" s="33"/>
      <c r="E147" s="270"/>
      <c r="F147" s="129"/>
      <c r="G147" s="129"/>
      <c r="H147" s="129"/>
      <c r="I147" s="129"/>
      <c r="J147" s="129"/>
      <c r="K147" s="129"/>
    </row>
    <row r="148" spans="3:11" s="120" customFormat="1" x14ac:dyDescent="0.2">
      <c r="C148" s="391"/>
      <c r="D148" s="33"/>
      <c r="E148" s="270"/>
      <c r="F148" s="129"/>
      <c r="G148" s="129"/>
      <c r="H148" s="129"/>
      <c r="I148" s="129"/>
      <c r="J148" s="129"/>
      <c r="K148" s="129"/>
    </row>
    <row r="149" spans="3:11" s="120" customFormat="1" x14ac:dyDescent="0.2">
      <c r="C149" s="391"/>
      <c r="D149" s="33"/>
      <c r="E149" s="270"/>
      <c r="F149" s="129"/>
      <c r="G149" s="129"/>
      <c r="H149" s="129"/>
      <c r="I149" s="129"/>
      <c r="J149" s="129"/>
      <c r="K149" s="129"/>
    </row>
    <row r="150" spans="3:11" s="120" customFormat="1" x14ac:dyDescent="0.2">
      <c r="C150" s="391"/>
      <c r="D150" s="33"/>
      <c r="E150" s="270"/>
      <c r="F150" s="129"/>
      <c r="G150" s="129"/>
      <c r="H150" s="129"/>
      <c r="I150" s="129"/>
      <c r="J150" s="129"/>
      <c r="K150" s="129"/>
    </row>
    <row r="151" spans="3:11" s="120" customFormat="1" x14ac:dyDescent="0.2">
      <c r="C151" s="391"/>
      <c r="D151" s="33"/>
      <c r="E151" s="270"/>
      <c r="F151" s="129"/>
      <c r="G151" s="129"/>
      <c r="H151" s="129"/>
      <c r="I151" s="129"/>
      <c r="J151" s="129"/>
      <c r="K151" s="129"/>
    </row>
    <row r="152" spans="3:11" s="120" customFormat="1" x14ac:dyDescent="0.2">
      <c r="C152" s="391"/>
      <c r="D152" s="33"/>
      <c r="E152" s="270"/>
      <c r="F152" s="129"/>
      <c r="G152" s="129"/>
      <c r="H152" s="129"/>
      <c r="I152" s="129"/>
      <c r="J152" s="129"/>
      <c r="K152" s="129"/>
    </row>
    <row r="153" spans="3:11" s="120" customFormat="1" x14ac:dyDescent="0.2">
      <c r="C153" s="391"/>
      <c r="D153" s="33"/>
      <c r="E153" s="270"/>
      <c r="F153" s="129"/>
      <c r="G153" s="129"/>
      <c r="H153" s="129"/>
      <c r="I153" s="129"/>
      <c r="J153" s="129"/>
      <c r="K153" s="129"/>
    </row>
    <row r="154" spans="3:11" s="120" customFormat="1" x14ac:dyDescent="0.2">
      <c r="C154" s="391"/>
      <c r="D154" s="33"/>
      <c r="E154" s="270"/>
      <c r="F154" s="129"/>
      <c r="G154" s="129"/>
      <c r="H154" s="129"/>
      <c r="I154" s="129"/>
      <c r="J154" s="129"/>
      <c r="K154" s="129"/>
    </row>
    <row r="155" spans="3:11" s="120" customFormat="1" x14ac:dyDescent="0.2">
      <c r="C155" s="391"/>
      <c r="D155" s="33"/>
      <c r="E155" s="270"/>
      <c r="F155" s="129"/>
      <c r="G155" s="129"/>
      <c r="H155" s="129"/>
      <c r="I155" s="129"/>
      <c r="J155" s="129"/>
      <c r="K155" s="129"/>
    </row>
    <row r="156" spans="3:11" s="120" customFormat="1" x14ac:dyDescent="0.2">
      <c r="C156" s="391"/>
      <c r="D156" s="33"/>
      <c r="E156" s="270"/>
      <c r="F156" s="129"/>
      <c r="G156" s="129"/>
      <c r="H156" s="129"/>
      <c r="I156" s="129"/>
      <c r="J156" s="129"/>
      <c r="K156" s="129"/>
    </row>
    <row r="157" spans="3:11" s="120" customFormat="1" x14ac:dyDescent="0.2">
      <c r="C157" s="391"/>
      <c r="D157" s="33"/>
      <c r="E157" s="270"/>
      <c r="F157" s="129"/>
      <c r="G157" s="129"/>
      <c r="H157" s="129"/>
      <c r="I157" s="129"/>
      <c r="J157" s="129"/>
      <c r="K157" s="129"/>
    </row>
    <row r="158" spans="3:11" s="120" customFormat="1" x14ac:dyDescent="0.2">
      <c r="C158" s="391"/>
      <c r="D158" s="33"/>
      <c r="E158" s="270"/>
      <c r="F158" s="129"/>
      <c r="G158" s="129"/>
      <c r="H158" s="129"/>
      <c r="I158" s="129"/>
      <c r="J158" s="129"/>
      <c r="K158" s="129"/>
    </row>
    <row r="159" spans="3:11" s="120" customFormat="1" x14ac:dyDescent="0.2">
      <c r="C159" s="391"/>
      <c r="D159" s="33"/>
      <c r="E159" s="270"/>
      <c r="F159" s="129"/>
      <c r="G159" s="129"/>
      <c r="H159" s="129"/>
      <c r="I159" s="129"/>
      <c r="J159" s="129"/>
      <c r="K159" s="129"/>
    </row>
    <row r="160" spans="3:11" s="120" customFormat="1" x14ac:dyDescent="0.2">
      <c r="C160" s="391"/>
      <c r="D160" s="33"/>
      <c r="E160" s="270"/>
      <c r="F160" s="129"/>
      <c r="G160" s="129"/>
      <c r="H160" s="129"/>
      <c r="I160" s="129"/>
      <c r="J160" s="129"/>
      <c r="K160" s="129"/>
    </row>
    <row r="161" spans="3:11" s="120" customFormat="1" x14ac:dyDescent="0.2">
      <c r="C161" s="391"/>
      <c r="D161" s="33"/>
      <c r="E161" s="270"/>
      <c r="F161" s="129"/>
      <c r="G161" s="129"/>
      <c r="H161" s="129"/>
      <c r="I161" s="129"/>
      <c r="J161" s="129"/>
      <c r="K161" s="129"/>
    </row>
    <row r="162" spans="3:11" s="120" customFormat="1" x14ac:dyDescent="0.2">
      <c r="C162" s="391"/>
      <c r="D162" s="33"/>
      <c r="E162" s="270"/>
      <c r="F162" s="129"/>
      <c r="G162" s="129"/>
      <c r="H162" s="129"/>
      <c r="I162" s="129"/>
      <c r="J162" s="129"/>
      <c r="K162" s="129"/>
    </row>
    <row r="163" spans="3:11" s="120" customFormat="1" x14ac:dyDescent="0.2">
      <c r="C163" s="391"/>
      <c r="D163" s="33"/>
      <c r="E163" s="270"/>
      <c r="F163" s="129"/>
      <c r="G163" s="129"/>
      <c r="H163" s="129"/>
      <c r="I163" s="129"/>
      <c r="J163" s="129"/>
      <c r="K163" s="129"/>
    </row>
    <row r="164" spans="3:11" s="120" customFormat="1" x14ac:dyDescent="0.2">
      <c r="C164" s="391"/>
      <c r="D164" s="33"/>
      <c r="E164" s="270"/>
      <c r="F164" s="129"/>
      <c r="G164" s="129"/>
      <c r="H164" s="129"/>
      <c r="I164" s="129"/>
      <c r="J164" s="129"/>
      <c r="K164" s="129"/>
    </row>
    <row r="165" spans="3:11" s="120" customFormat="1" x14ac:dyDescent="0.2">
      <c r="C165" s="391"/>
      <c r="D165" s="33"/>
      <c r="E165" s="270"/>
      <c r="F165" s="129"/>
      <c r="G165" s="129"/>
      <c r="H165" s="129"/>
      <c r="I165" s="129"/>
      <c r="J165" s="129"/>
      <c r="K165" s="129"/>
    </row>
    <row r="166" spans="3:11" s="120" customFormat="1" x14ac:dyDescent="0.2">
      <c r="C166" s="391"/>
      <c r="D166" s="33"/>
      <c r="E166" s="270"/>
      <c r="F166" s="129"/>
      <c r="G166" s="129"/>
      <c r="H166" s="129"/>
      <c r="I166" s="129"/>
      <c r="J166" s="129"/>
      <c r="K166" s="129"/>
    </row>
    <row r="167" spans="3:11" s="120" customFormat="1" x14ac:dyDescent="0.2">
      <c r="C167" s="391"/>
      <c r="D167" s="33"/>
      <c r="E167" s="270"/>
      <c r="F167" s="129"/>
      <c r="G167" s="129"/>
      <c r="H167" s="129"/>
      <c r="I167" s="129"/>
      <c r="J167" s="129"/>
      <c r="K167" s="129"/>
    </row>
    <row r="168" spans="3:11" s="120" customFormat="1" x14ac:dyDescent="0.2">
      <c r="C168" s="391"/>
      <c r="D168" s="33"/>
      <c r="E168" s="270"/>
      <c r="F168" s="129"/>
      <c r="G168" s="129"/>
      <c r="H168" s="129"/>
      <c r="I168" s="129"/>
      <c r="J168" s="129"/>
      <c r="K168" s="129"/>
    </row>
    <row r="169" spans="3:11" s="120" customFormat="1" x14ac:dyDescent="0.2">
      <c r="C169" s="391"/>
      <c r="D169" s="33"/>
      <c r="E169" s="270"/>
      <c r="F169" s="129"/>
      <c r="G169" s="129"/>
      <c r="H169" s="129"/>
      <c r="I169" s="129"/>
      <c r="J169" s="129"/>
      <c r="K169" s="129"/>
    </row>
    <row r="170" spans="3:11" s="120" customFormat="1" x14ac:dyDescent="0.2">
      <c r="C170" s="391"/>
      <c r="D170" s="33"/>
      <c r="E170" s="270"/>
      <c r="F170" s="129"/>
      <c r="G170" s="129"/>
      <c r="H170" s="129"/>
      <c r="I170" s="129"/>
      <c r="J170" s="129"/>
      <c r="K170" s="129"/>
    </row>
    <row r="171" spans="3:11" s="120" customFormat="1" x14ac:dyDescent="0.2">
      <c r="C171" s="391"/>
      <c r="D171" s="33"/>
      <c r="E171" s="270"/>
      <c r="F171" s="129"/>
      <c r="G171" s="129"/>
      <c r="H171" s="129"/>
      <c r="I171" s="129"/>
      <c r="J171" s="129"/>
      <c r="K171" s="129"/>
    </row>
    <row r="172" spans="3:11" s="120" customFormat="1" x14ac:dyDescent="0.2">
      <c r="C172" s="391"/>
      <c r="D172" s="33"/>
      <c r="E172" s="270"/>
      <c r="F172" s="129"/>
      <c r="G172" s="129"/>
      <c r="H172" s="129"/>
      <c r="I172" s="129"/>
      <c r="J172" s="129"/>
      <c r="K172" s="129"/>
    </row>
    <row r="173" spans="3:11" s="120" customFormat="1" x14ac:dyDescent="0.2">
      <c r="C173" s="391"/>
      <c r="D173" s="33"/>
      <c r="E173" s="270"/>
      <c r="F173" s="129"/>
      <c r="G173" s="129"/>
      <c r="H173" s="129"/>
      <c r="I173" s="129"/>
      <c r="J173" s="129"/>
      <c r="K173" s="129"/>
    </row>
    <row r="174" spans="3:11" s="120" customFormat="1" x14ac:dyDescent="0.2">
      <c r="C174" s="391"/>
      <c r="D174" s="33"/>
      <c r="E174" s="270"/>
      <c r="F174" s="129"/>
      <c r="G174" s="129"/>
      <c r="H174" s="129"/>
      <c r="I174" s="129"/>
      <c r="J174" s="129"/>
      <c r="K174" s="129"/>
    </row>
    <row r="175" spans="3:11" s="120" customFormat="1" x14ac:dyDescent="0.2">
      <c r="C175" s="391"/>
      <c r="D175" s="33"/>
      <c r="E175" s="270"/>
      <c r="F175" s="129"/>
      <c r="G175" s="129"/>
      <c r="H175" s="129"/>
      <c r="I175" s="129"/>
      <c r="J175" s="129"/>
      <c r="K175" s="129"/>
    </row>
    <row r="176" spans="3:11" s="120" customFormat="1" x14ac:dyDescent="0.2">
      <c r="C176" s="391"/>
      <c r="D176" s="33"/>
      <c r="E176" s="270"/>
      <c r="F176" s="129"/>
      <c r="G176" s="129"/>
      <c r="H176" s="129"/>
      <c r="I176" s="129"/>
      <c r="J176" s="129"/>
      <c r="K176" s="129"/>
    </row>
    <row r="177" spans="3:11" s="120" customFormat="1" x14ac:dyDescent="0.2">
      <c r="C177" s="391"/>
      <c r="D177" s="33"/>
      <c r="E177" s="270"/>
      <c r="F177" s="129"/>
      <c r="G177" s="129"/>
      <c r="H177" s="129"/>
      <c r="I177" s="129"/>
      <c r="J177" s="129"/>
      <c r="K177" s="129"/>
    </row>
    <row r="178" spans="3:11" s="120" customFormat="1" x14ac:dyDescent="0.2">
      <c r="C178" s="391"/>
      <c r="D178" s="33"/>
      <c r="E178" s="270"/>
      <c r="F178" s="129"/>
      <c r="G178" s="129"/>
      <c r="H178" s="129"/>
      <c r="I178" s="129"/>
      <c r="J178" s="129"/>
      <c r="K178" s="129"/>
    </row>
    <row r="179" spans="3:11" s="120" customFormat="1" x14ac:dyDescent="0.2">
      <c r="C179" s="391"/>
      <c r="D179" s="33"/>
      <c r="E179" s="270"/>
      <c r="F179" s="129"/>
      <c r="G179" s="129"/>
      <c r="H179" s="129"/>
      <c r="I179" s="129"/>
      <c r="J179" s="129"/>
      <c r="K179" s="129"/>
    </row>
    <row r="180" spans="3:11" s="120" customFormat="1" x14ac:dyDescent="0.2">
      <c r="C180" s="391"/>
      <c r="D180" s="33"/>
      <c r="E180" s="270"/>
      <c r="F180" s="129"/>
      <c r="G180" s="129"/>
      <c r="H180" s="129"/>
      <c r="I180" s="129"/>
      <c r="J180" s="129"/>
      <c r="K180" s="129"/>
    </row>
    <row r="181" spans="3:11" s="120" customFormat="1" x14ac:dyDescent="0.2">
      <c r="C181" s="391"/>
      <c r="D181" s="33"/>
      <c r="E181" s="270"/>
      <c r="F181" s="129"/>
      <c r="G181" s="129"/>
      <c r="H181" s="129"/>
      <c r="I181" s="129"/>
      <c r="J181" s="129"/>
      <c r="K181" s="129"/>
    </row>
    <row r="182" spans="3:11" s="120" customFormat="1" x14ac:dyDescent="0.2">
      <c r="C182" s="391"/>
      <c r="D182" s="33"/>
      <c r="E182" s="270"/>
      <c r="F182" s="129"/>
      <c r="G182" s="129"/>
      <c r="H182" s="129"/>
      <c r="I182" s="129"/>
      <c r="J182" s="129"/>
      <c r="K182" s="129"/>
    </row>
    <row r="183" spans="3:11" s="120" customFormat="1" x14ac:dyDescent="0.2">
      <c r="C183" s="391"/>
      <c r="D183" s="33"/>
      <c r="E183" s="270"/>
      <c r="F183" s="129"/>
      <c r="G183" s="129"/>
      <c r="H183" s="129"/>
      <c r="I183" s="129"/>
      <c r="J183" s="129"/>
      <c r="K183" s="129"/>
    </row>
    <row r="184" spans="3:11" s="120" customFormat="1" x14ac:dyDescent="0.2">
      <c r="C184" s="391"/>
      <c r="D184" s="33"/>
      <c r="E184" s="270"/>
      <c r="F184" s="129"/>
      <c r="G184" s="129"/>
      <c r="H184" s="129"/>
      <c r="I184" s="129"/>
      <c r="J184" s="129"/>
      <c r="K184" s="129"/>
    </row>
    <row r="185" spans="3:11" s="120" customFormat="1" x14ac:dyDescent="0.2">
      <c r="C185" s="391"/>
      <c r="D185" s="33"/>
      <c r="E185" s="270"/>
      <c r="F185" s="129"/>
      <c r="G185" s="129"/>
      <c r="H185" s="129"/>
      <c r="I185" s="129"/>
      <c r="J185" s="129"/>
      <c r="K185" s="129"/>
    </row>
    <row r="186" spans="3:11" s="120" customFormat="1" x14ac:dyDescent="0.2">
      <c r="C186" s="391"/>
      <c r="D186" s="33"/>
      <c r="E186" s="270"/>
      <c r="F186" s="129"/>
      <c r="G186" s="129"/>
      <c r="H186" s="129"/>
      <c r="I186" s="129"/>
      <c r="J186" s="129"/>
      <c r="K186" s="129"/>
    </row>
    <row r="187" spans="3:11" s="120" customFormat="1" x14ac:dyDescent="0.2">
      <c r="C187" s="391"/>
      <c r="D187" s="33"/>
      <c r="E187" s="270"/>
      <c r="F187" s="129"/>
      <c r="G187" s="129"/>
      <c r="H187" s="129"/>
      <c r="I187" s="129"/>
      <c r="J187" s="129"/>
      <c r="K187" s="129"/>
    </row>
    <row r="188" spans="3:11" s="120" customFormat="1" x14ac:dyDescent="0.2">
      <c r="C188" s="391"/>
      <c r="D188" s="33"/>
      <c r="E188" s="270"/>
      <c r="F188" s="129"/>
      <c r="G188" s="129"/>
      <c r="H188" s="129"/>
      <c r="I188" s="129"/>
      <c r="J188" s="129"/>
      <c r="K188" s="129"/>
    </row>
    <row r="189" spans="3:11" s="120" customFormat="1" x14ac:dyDescent="0.2">
      <c r="C189" s="391"/>
      <c r="D189" s="33"/>
      <c r="E189" s="270"/>
      <c r="F189" s="129"/>
      <c r="G189" s="129"/>
      <c r="H189" s="129"/>
      <c r="I189" s="129"/>
      <c r="J189" s="129"/>
      <c r="K189" s="129"/>
    </row>
    <row r="190" spans="3:11" s="120" customFormat="1" x14ac:dyDescent="0.2">
      <c r="C190" s="391"/>
      <c r="D190" s="33"/>
      <c r="E190" s="270"/>
      <c r="F190" s="129"/>
      <c r="G190" s="129"/>
      <c r="H190" s="129"/>
      <c r="I190" s="129"/>
      <c r="J190" s="129"/>
      <c r="K190" s="129"/>
    </row>
    <row r="191" spans="3:11" s="120" customFormat="1" x14ac:dyDescent="0.2">
      <c r="C191" s="391"/>
      <c r="D191" s="33"/>
      <c r="E191" s="270"/>
      <c r="F191" s="129"/>
      <c r="G191" s="129"/>
      <c r="H191" s="129"/>
      <c r="I191" s="129"/>
      <c r="J191" s="129"/>
      <c r="K191" s="129"/>
    </row>
    <row r="192" spans="3:11" s="120" customFormat="1" x14ac:dyDescent="0.2">
      <c r="C192" s="391"/>
      <c r="D192" s="33"/>
      <c r="E192" s="270"/>
      <c r="F192" s="129"/>
      <c r="G192" s="129"/>
      <c r="H192" s="129"/>
      <c r="I192" s="129"/>
      <c r="J192" s="129"/>
      <c r="K192" s="129"/>
    </row>
    <row r="193" spans="3:11" s="120" customFormat="1" x14ac:dyDescent="0.2">
      <c r="C193" s="391"/>
      <c r="D193" s="33"/>
      <c r="E193" s="270"/>
      <c r="F193" s="129"/>
      <c r="G193" s="129"/>
      <c r="H193" s="129"/>
      <c r="I193" s="129"/>
      <c r="J193" s="129"/>
      <c r="K193" s="129"/>
    </row>
    <row r="194" spans="3:11" s="120" customFormat="1" x14ac:dyDescent="0.2">
      <c r="C194" s="391"/>
      <c r="D194" s="33"/>
      <c r="E194" s="270"/>
      <c r="F194" s="129"/>
      <c r="G194" s="129"/>
      <c r="H194" s="129"/>
      <c r="I194" s="129"/>
      <c r="J194" s="129"/>
      <c r="K194" s="129"/>
    </row>
    <row r="195" spans="3:11" s="120" customFormat="1" x14ac:dyDescent="0.2">
      <c r="C195" s="391"/>
      <c r="D195" s="33"/>
      <c r="E195" s="270"/>
      <c r="F195" s="129"/>
      <c r="G195" s="129"/>
      <c r="H195" s="129"/>
      <c r="I195" s="129"/>
      <c r="J195" s="129"/>
      <c r="K195" s="129"/>
    </row>
    <row r="196" spans="3:11" s="120" customFormat="1" x14ac:dyDescent="0.2">
      <c r="C196" s="391"/>
      <c r="D196" s="33"/>
      <c r="E196" s="270"/>
      <c r="F196" s="129"/>
      <c r="G196" s="129"/>
      <c r="H196" s="129"/>
      <c r="I196" s="129"/>
      <c r="J196" s="129"/>
      <c r="K196" s="129"/>
    </row>
    <row r="197" spans="3:11" s="120" customFormat="1" x14ac:dyDescent="0.2">
      <c r="C197" s="391"/>
      <c r="D197" s="33"/>
      <c r="E197" s="270"/>
      <c r="F197" s="129"/>
      <c r="G197" s="129"/>
      <c r="H197" s="129"/>
      <c r="I197" s="129"/>
      <c r="J197" s="129"/>
      <c r="K197" s="129"/>
    </row>
    <row r="198" spans="3:11" s="120" customFormat="1" x14ac:dyDescent="0.2">
      <c r="C198" s="391"/>
      <c r="D198" s="33"/>
      <c r="E198" s="270"/>
      <c r="F198" s="129"/>
      <c r="G198" s="129"/>
      <c r="H198" s="129"/>
      <c r="I198" s="129"/>
      <c r="J198" s="129"/>
      <c r="K198" s="129"/>
    </row>
    <row r="199" spans="3:11" s="120" customFormat="1" x14ac:dyDescent="0.2">
      <c r="C199" s="391"/>
      <c r="D199" s="33"/>
      <c r="E199" s="270"/>
      <c r="F199" s="129"/>
      <c r="G199" s="129"/>
      <c r="H199" s="129"/>
      <c r="I199" s="129"/>
      <c r="J199" s="129"/>
      <c r="K199" s="129"/>
    </row>
    <row r="200" spans="3:11" s="120" customFormat="1" x14ac:dyDescent="0.2">
      <c r="C200" s="391"/>
      <c r="D200" s="33"/>
      <c r="E200" s="270"/>
      <c r="F200" s="129"/>
      <c r="G200" s="129"/>
      <c r="H200" s="129"/>
      <c r="I200" s="129"/>
      <c r="J200" s="129"/>
      <c r="K200" s="129"/>
    </row>
    <row r="201" spans="3:11" s="120" customFormat="1" x14ac:dyDescent="0.2">
      <c r="C201" s="391"/>
      <c r="D201" s="33"/>
      <c r="E201" s="270"/>
      <c r="F201" s="129"/>
      <c r="G201" s="129"/>
      <c r="H201" s="129"/>
      <c r="I201" s="129"/>
      <c r="J201" s="129"/>
      <c r="K201" s="129"/>
    </row>
    <row r="202" spans="3:11" s="120" customFormat="1" x14ac:dyDescent="0.2">
      <c r="C202" s="391"/>
      <c r="D202" s="33"/>
      <c r="E202" s="270"/>
      <c r="F202" s="129"/>
      <c r="G202" s="129"/>
      <c r="H202" s="129"/>
      <c r="I202" s="129"/>
      <c r="J202" s="129"/>
      <c r="K202" s="129"/>
    </row>
    <row r="203" spans="3:11" s="120" customFormat="1" x14ac:dyDescent="0.2">
      <c r="C203" s="391"/>
      <c r="D203" s="33"/>
      <c r="E203" s="270"/>
      <c r="F203" s="129"/>
      <c r="G203" s="129"/>
      <c r="H203" s="129"/>
      <c r="I203" s="129"/>
      <c r="J203" s="129"/>
      <c r="K203" s="129"/>
    </row>
    <row r="204" spans="3:11" s="120" customFormat="1" x14ac:dyDescent="0.2">
      <c r="C204" s="391"/>
      <c r="D204" s="33"/>
      <c r="E204" s="270"/>
      <c r="F204" s="129"/>
      <c r="G204" s="129"/>
      <c r="H204" s="129"/>
      <c r="I204" s="129"/>
      <c r="J204" s="129"/>
      <c r="K204" s="129"/>
    </row>
    <row r="205" spans="3:11" s="120" customFormat="1" x14ac:dyDescent="0.2">
      <c r="C205" s="391"/>
      <c r="D205" s="33"/>
      <c r="E205" s="270"/>
      <c r="F205" s="129"/>
      <c r="G205" s="129"/>
      <c r="H205" s="129"/>
      <c r="I205" s="129"/>
      <c r="J205" s="129"/>
      <c r="K205" s="129"/>
    </row>
    <row r="206" spans="3:11" s="120" customFormat="1" x14ac:dyDescent="0.2">
      <c r="C206" s="391"/>
      <c r="D206" s="33"/>
      <c r="E206" s="270"/>
      <c r="F206" s="129"/>
      <c r="G206" s="129"/>
      <c r="H206" s="129"/>
      <c r="I206" s="129"/>
      <c r="J206" s="129"/>
      <c r="K206" s="129"/>
    </row>
    <row r="207" spans="3:11" s="120" customFormat="1" x14ac:dyDescent="0.2">
      <c r="C207" s="391"/>
      <c r="D207" s="33"/>
      <c r="E207" s="270"/>
      <c r="F207" s="129"/>
      <c r="G207" s="129"/>
      <c r="H207" s="129"/>
      <c r="I207" s="129"/>
      <c r="J207" s="129"/>
      <c r="K207" s="129"/>
    </row>
    <row r="208" spans="3:11" s="120" customFormat="1" x14ac:dyDescent="0.2">
      <c r="C208" s="391"/>
      <c r="D208" s="33"/>
      <c r="E208" s="270"/>
      <c r="F208" s="129"/>
      <c r="G208" s="129"/>
      <c r="H208" s="129"/>
      <c r="I208" s="129"/>
      <c r="J208" s="129"/>
      <c r="K208" s="129"/>
    </row>
    <row r="209" spans="3:11" s="120" customFormat="1" x14ac:dyDescent="0.2">
      <c r="C209" s="391"/>
      <c r="D209" s="33"/>
      <c r="E209" s="270"/>
      <c r="F209" s="129"/>
      <c r="G209" s="129"/>
      <c r="H209" s="129"/>
      <c r="I209" s="129"/>
      <c r="J209" s="129"/>
      <c r="K209" s="129"/>
    </row>
    <row r="210" spans="3:11" s="120" customFormat="1" x14ac:dyDescent="0.2">
      <c r="C210" s="391"/>
      <c r="D210" s="33"/>
      <c r="E210" s="270"/>
      <c r="F210" s="129"/>
      <c r="G210" s="129"/>
      <c r="H210" s="129"/>
      <c r="I210" s="129"/>
      <c r="J210" s="129"/>
      <c r="K210" s="129"/>
    </row>
    <row r="211" spans="3:11" s="120" customFormat="1" x14ac:dyDescent="0.2">
      <c r="C211" s="391"/>
      <c r="D211" s="33"/>
      <c r="E211" s="270"/>
      <c r="F211" s="129"/>
      <c r="G211" s="129"/>
      <c r="H211" s="129"/>
      <c r="I211" s="129"/>
      <c r="J211" s="129"/>
      <c r="K211" s="129"/>
    </row>
    <row r="212" spans="3:11" s="120" customFormat="1" x14ac:dyDescent="0.2">
      <c r="C212" s="391"/>
      <c r="D212" s="33"/>
      <c r="E212" s="270"/>
      <c r="F212" s="129"/>
      <c r="G212" s="129"/>
      <c r="H212" s="129"/>
      <c r="I212" s="129"/>
      <c r="J212" s="129"/>
      <c r="K212" s="129"/>
    </row>
    <row r="213" spans="3:11" s="120" customFormat="1" x14ac:dyDescent="0.2">
      <c r="C213" s="391"/>
      <c r="D213" s="33"/>
      <c r="E213" s="270"/>
      <c r="F213" s="129"/>
      <c r="G213" s="129"/>
      <c r="H213" s="129"/>
      <c r="I213" s="129"/>
      <c r="J213" s="129"/>
      <c r="K213" s="129"/>
    </row>
    <row r="214" spans="3:11" s="120" customFormat="1" x14ac:dyDescent="0.2">
      <c r="C214" s="391"/>
      <c r="D214" s="33"/>
      <c r="E214" s="270"/>
      <c r="F214" s="129"/>
      <c r="G214" s="129"/>
      <c r="H214" s="129"/>
      <c r="I214" s="129"/>
      <c r="J214" s="129"/>
      <c r="K214" s="129"/>
    </row>
    <row r="215" spans="3:11" s="120" customFormat="1" x14ac:dyDescent="0.2">
      <c r="C215" s="391"/>
      <c r="D215" s="33"/>
      <c r="E215" s="270"/>
      <c r="F215" s="129"/>
      <c r="G215" s="129"/>
      <c r="H215" s="129"/>
      <c r="I215" s="129"/>
      <c r="J215" s="129"/>
      <c r="K215" s="129"/>
    </row>
    <row r="216" spans="3:11" s="120" customFormat="1" x14ac:dyDescent="0.2">
      <c r="C216" s="391"/>
      <c r="D216" s="33"/>
      <c r="E216" s="270"/>
      <c r="F216" s="129"/>
      <c r="G216" s="129"/>
      <c r="H216" s="129"/>
      <c r="I216" s="129"/>
      <c r="J216" s="129"/>
      <c r="K216" s="129"/>
    </row>
    <row r="217" spans="3:11" s="120" customFormat="1" x14ac:dyDescent="0.2">
      <c r="C217" s="391"/>
      <c r="D217" s="33"/>
      <c r="E217" s="270"/>
      <c r="F217" s="129"/>
      <c r="G217" s="129"/>
      <c r="H217" s="129"/>
      <c r="I217" s="129"/>
      <c r="J217" s="129"/>
      <c r="K217" s="129"/>
    </row>
    <row r="218" spans="3:11" s="120" customFormat="1" x14ac:dyDescent="0.2">
      <c r="C218" s="391"/>
      <c r="D218" s="33"/>
      <c r="E218" s="270"/>
      <c r="F218" s="129"/>
      <c r="G218" s="129"/>
      <c r="H218" s="129"/>
      <c r="I218" s="129"/>
      <c r="J218" s="129"/>
      <c r="K218" s="129"/>
    </row>
    <row r="219" spans="3:11" s="120" customFormat="1" x14ac:dyDescent="0.2">
      <c r="C219" s="391"/>
      <c r="D219" s="33"/>
      <c r="E219" s="270"/>
      <c r="F219" s="129"/>
      <c r="G219" s="129"/>
      <c r="H219" s="129"/>
      <c r="I219" s="129"/>
      <c r="J219" s="129"/>
      <c r="K219" s="129"/>
    </row>
    <row r="220" spans="3:11" s="120" customFormat="1" x14ac:dyDescent="0.2">
      <c r="C220" s="391"/>
      <c r="D220" s="33"/>
      <c r="E220" s="270"/>
      <c r="F220" s="129"/>
      <c r="G220" s="129"/>
      <c r="H220" s="129"/>
      <c r="I220" s="129"/>
      <c r="J220" s="129"/>
      <c r="K220" s="129"/>
    </row>
    <row r="221" spans="3:11" s="120" customFormat="1" x14ac:dyDescent="0.2">
      <c r="C221" s="391"/>
      <c r="D221" s="33"/>
      <c r="E221" s="270"/>
      <c r="F221" s="129"/>
      <c r="G221" s="129"/>
      <c r="H221" s="129"/>
      <c r="I221" s="129"/>
      <c r="J221" s="129"/>
      <c r="K221" s="129"/>
    </row>
    <row r="222" spans="3:11" s="120" customFormat="1" x14ac:dyDescent="0.2">
      <c r="C222" s="391"/>
      <c r="D222" s="33"/>
      <c r="E222" s="270"/>
      <c r="F222" s="129"/>
      <c r="G222" s="129"/>
      <c r="H222" s="129"/>
      <c r="I222" s="129"/>
      <c r="J222" s="129"/>
      <c r="K222" s="129"/>
    </row>
    <row r="223" spans="3:11" s="120" customFormat="1" x14ac:dyDescent="0.2">
      <c r="C223" s="391"/>
      <c r="D223" s="33"/>
      <c r="E223" s="270"/>
      <c r="F223" s="129"/>
      <c r="G223" s="129"/>
      <c r="H223" s="129"/>
      <c r="I223" s="129"/>
      <c r="J223" s="129"/>
      <c r="K223" s="129"/>
    </row>
    <row r="224" spans="3:11" s="120" customFormat="1" x14ac:dyDescent="0.2">
      <c r="C224" s="391"/>
      <c r="D224" s="33"/>
      <c r="E224" s="270"/>
      <c r="F224" s="129"/>
      <c r="G224" s="129"/>
      <c r="H224" s="129"/>
      <c r="I224" s="129"/>
      <c r="J224" s="129"/>
      <c r="K224" s="129"/>
    </row>
    <row r="225" spans="3:11" s="120" customFormat="1" x14ac:dyDescent="0.2">
      <c r="C225" s="391"/>
      <c r="D225" s="33"/>
      <c r="E225" s="270"/>
      <c r="F225" s="129"/>
      <c r="G225" s="129"/>
      <c r="H225" s="129"/>
      <c r="I225" s="129"/>
      <c r="J225" s="129"/>
      <c r="K225" s="129"/>
    </row>
    <row r="226" spans="3:11" s="120" customFormat="1" x14ac:dyDescent="0.2">
      <c r="C226" s="391"/>
      <c r="D226" s="33"/>
      <c r="E226" s="270"/>
      <c r="F226" s="129"/>
      <c r="G226" s="129"/>
      <c r="H226" s="129"/>
      <c r="I226" s="129"/>
      <c r="J226" s="129"/>
      <c r="K226" s="129"/>
    </row>
    <row r="227" spans="3:11" s="120" customFormat="1" x14ac:dyDescent="0.2">
      <c r="C227" s="391"/>
      <c r="D227" s="33"/>
      <c r="E227" s="270"/>
      <c r="F227" s="129"/>
      <c r="G227" s="129"/>
      <c r="H227" s="129"/>
      <c r="I227" s="129"/>
      <c r="J227" s="129"/>
      <c r="K227" s="129"/>
    </row>
    <row r="228" spans="3:11" s="120" customFormat="1" x14ac:dyDescent="0.2">
      <c r="C228" s="391"/>
      <c r="D228" s="33"/>
      <c r="E228" s="270"/>
      <c r="F228" s="129"/>
      <c r="G228" s="129"/>
      <c r="H228" s="129"/>
      <c r="I228" s="129"/>
      <c r="J228" s="129"/>
      <c r="K228" s="129"/>
    </row>
    <row r="229" spans="3:11" s="120" customFormat="1" x14ac:dyDescent="0.2">
      <c r="C229" s="391"/>
      <c r="D229" s="33"/>
      <c r="E229" s="270"/>
      <c r="F229" s="129"/>
      <c r="G229" s="129"/>
      <c r="H229" s="129"/>
      <c r="I229" s="129"/>
      <c r="J229" s="129"/>
      <c r="K229" s="129"/>
    </row>
    <row r="230" spans="3:11" s="120" customFormat="1" x14ac:dyDescent="0.2">
      <c r="C230" s="391"/>
      <c r="D230" s="33"/>
      <c r="E230" s="270"/>
      <c r="F230" s="129"/>
      <c r="G230" s="129"/>
      <c r="H230" s="129"/>
      <c r="I230" s="129"/>
      <c r="J230" s="129"/>
      <c r="K230" s="129"/>
    </row>
    <row r="231" spans="3:11" s="120" customFormat="1" x14ac:dyDescent="0.2">
      <c r="C231" s="391"/>
      <c r="D231" s="33"/>
      <c r="E231" s="270"/>
      <c r="F231" s="129"/>
      <c r="G231" s="129"/>
      <c r="H231" s="129"/>
      <c r="I231" s="129"/>
      <c r="J231" s="129"/>
      <c r="K231" s="129"/>
    </row>
    <row r="232" spans="3:11" s="120" customFormat="1" x14ac:dyDescent="0.2">
      <c r="C232" s="391"/>
      <c r="D232" s="33"/>
      <c r="E232" s="270"/>
      <c r="F232" s="129"/>
      <c r="G232" s="129"/>
      <c r="H232" s="129"/>
      <c r="I232" s="129"/>
      <c r="J232" s="129"/>
      <c r="K232" s="129"/>
    </row>
    <row r="233" spans="3:11" s="120" customFormat="1" x14ac:dyDescent="0.2">
      <c r="C233" s="391"/>
      <c r="D233" s="33"/>
      <c r="E233" s="270"/>
      <c r="F233" s="129"/>
      <c r="G233" s="129"/>
      <c r="H233" s="129"/>
      <c r="I233" s="129"/>
      <c r="J233" s="129"/>
      <c r="K233" s="129"/>
    </row>
    <row r="234" spans="3:11" s="120" customFormat="1" x14ac:dyDescent="0.2">
      <c r="C234" s="391"/>
      <c r="D234" s="33"/>
      <c r="E234" s="270"/>
      <c r="F234" s="129"/>
      <c r="G234" s="129"/>
      <c r="H234" s="129"/>
      <c r="I234" s="129"/>
      <c r="J234" s="129"/>
      <c r="K234" s="129"/>
    </row>
    <row r="235" spans="3:11" s="120" customFormat="1" x14ac:dyDescent="0.2">
      <c r="C235" s="391"/>
      <c r="D235" s="33"/>
      <c r="E235" s="270"/>
      <c r="F235" s="129"/>
      <c r="G235" s="129"/>
      <c r="H235" s="129"/>
      <c r="I235" s="129"/>
      <c r="J235" s="129"/>
      <c r="K235" s="129"/>
    </row>
    <row r="236" spans="3:11" s="120" customFormat="1" x14ac:dyDescent="0.2">
      <c r="C236" s="391"/>
      <c r="D236" s="33"/>
      <c r="E236" s="270"/>
      <c r="F236" s="129"/>
      <c r="G236" s="129"/>
      <c r="H236" s="129"/>
      <c r="I236" s="129"/>
      <c r="J236" s="129"/>
      <c r="K236" s="129"/>
    </row>
    <row r="237" spans="3:11" s="120" customFormat="1" x14ac:dyDescent="0.2">
      <c r="C237" s="391"/>
      <c r="D237" s="33"/>
      <c r="E237" s="270"/>
      <c r="F237" s="129"/>
      <c r="G237" s="129"/>
      <c r="H237" s="129"/>
      <c r="I237" s="129"/>
      <c r="J237" s="129"/>
      <c r="K237" s="129"/>
    </row>
    <row r="238" spans="3:11" s="120" customFormat="1" x14ac:dyDescent="0.2">
      <c r="C238" s="391"/>
      <c r="D238" s="33"/>
      <c r="E238" s="270"/>
      <c r="F238" s="129"/>
      <c r="G238" s="129"/>
      <c r="H238" s="129"/>
      <c r="I238" s="129"/>
      <c r="J238" s="129"/>
      <c r="K238" s="129"/>
    </row>
    <row r="239" spans="3:11" s="120" customFormat="1" x14ac:dyDescent="0.2">
      <c r="C239" s="391"/>
      <c r="D239" s="33"/>
      <c r="E239" s="270"/>
      <c r="F239" s="129"/>
      <c r="G239" s="129"/>
      <c r="H239" s="129"/>
      <c r="I239" s="129"/>
      <c r="J239" s="129"/>
      <c r="K239" s="129"/>
    </row>
    <row r="240" spans="3:11" s="120" customFormat="1" x14ac:dyDescent="0.2">
      <c r="C240" s="391"/>
      <c r="D240" s="33"/>
      <c r="E240" s="270"/>
      <c r="F240" s="129"/>
      <c r="G240" s="129"/>
      <c r="H240" s="129"/>
      <c r="I240" s="129"/>
      <c r="J240" s="129"/>
      <c r="K240" s="129"/>
    </row>
    <row r="241" spans="3:11" s="120" customFormat="1" x14ac:dyDescent="0.2">
      <c r="C241" s="391"/>
      <c r="D241" s="33"/>
      <c r="E241" s="270"/>
      <c r="F241" s="129"/>
      <c r="G241" s="129"/>
      <c r="H241" s="129"/>
      <c r="I241" s="129"/>
      <c r="J241" s="129"/>
      <c r="K241" s="129"/>
    </row>
    <row r="242" spans="3:11" s="120" customFormat="1" x14ac:dyDescent="0.2">
      <c r="C242" s="391"/>
      <c r="D242" s="33"/>
      <c r="E242" s="270"/>
      <c r="F242" s="129"/>
      <c r="G242" s="129"/>
      <c r="H242" s="129"/>
      <c r="I242" s="129"/>
      <c r="J242" s="129"/>
      <c r="K242" s="129"/>
    </row>
    <row r="243" spans="3:11" s="120" customFormat="1" x14ac:dyDescent="0.2">
      <c r="C243" s="391"/>
      <c r="D243" s="33"/>
      <c r="E243" s="270"/>
      <c r="F243" s="129"/>
      <c r="G243" s="129"/>
      <c r="H243" s="129"/>
      <c r="I243" s="129"/>
      <c r="J243" s="129"/>
      <c r="K243" s="129"/>
    </row>
    <row r="244" spans="3:11" s="120" customFormat="1" x14ac:dyDescent="0.2">
      <c r="C244" s="391"/>
      <c r="D244" s="33"/>
      <c r="E244" s="270"/>
      <c r="F244" s="129"/>
      <c r="G244" s="129"/>
      <c r="H244" s="129"/>
      <c r="I244" s="129"/>
      <c r="J244" s="129"/>
      <c r="K244" s="129"/>
    </row>
    <row r="245" spans="3:11" s="120" customFormat="1" x14ac:dyDescent="0.2">
      <c r="C245" s="391"/>
      <c r="D245" s="33"/>
      <c r="E245" s="270"/>
      <c r="F245" s="129"/>
      <c r="G245" s="129"/>
      <c r="H245" s="129"/>
      <c r="I245" s="129"/>
      <c r="J245" s="129"/>
      <c r="K245" s="129"/>
    </row>
    <row r="246" spans="3:11" s="120" customFormat="1" x14ac:dyDescent="0.2">
      <c r="C246" s="391"/>
      <c r="D246" s="33"/>
      <c r="E246" s="270"/>
      <c r="F246" s="129"/>
      <c r="G246" s="129"/>
      <c r="H246" s="129"/>
      <c r="I246" s="129"/>
      <c r="J246" s="129"/>
      <c r="K246" s="129"/>
    </row>
    <row r="247" spans="3:11" s="120" customFormat="1" x14ac:dyDescent="0.2">
      <c r="C247" s="391"/>
      <c r="D247" s="33"/>
      <c r="E247" s="270"/>
      <c r="F247" s="129"/>
      <c r="G247" s="129"/>
      <c r="H247" s="129"/>
      <c r="I247" s="129"/>
      <c r="J247" s="129"/>
      <c r="K247" s="129"/>
    </row>
    <row r="248" spans="3:11" s="120" customFormat="1" x14ac:dyDescent="0.2">
      <c r="C248" s="391"/>
      <c r="D248" s="33"/>
      <c r="E248" s="270"/>
      <c r="F248" s="129"/>
      <c r="G248" s="129"/>
      <c r="H248" s="129"/>
      <c r="I248" s="129"/>
      <c r="J248" s="129"/>
      <c r="K248" s="129"/>
    </row>
    <row r="249" spans="3:11" s="120" customFormat="1" x14ac:dyDescent="0.2">
      <c r="C249" s="391"/>
      <c r="D249" s="33"/>
      <c r="E249" s="270"/>
      <c r="F249" s="129"/>
      <c r="G249" s="129"/>
      <c r="H249" s="129"/>
      <c r="I249" s="129"/>
      <c r="J249" s="129"/>
      <c r="K249" s="129"/>
    </row>
    <row r="250" spans="3:11" s="120" customFormat="1" x14ac:dyDescent="0.2">
      <c r="C250" s="391"/>
      <c r="D250" s="33"/>
      <c r="E250" s="270"/>
      <c r="F250" s="129"/>
      <c r="G250" s="129"/>
      <c r="H250" s="129"/>
      <c r="I250" s="129"/>
      <c r="J250" s="129"/>
      <c r="K250" s="129"/>
    </row>
    <row r="251" spans="3:11" s="120" customFormat="1" x14ac:dyDescent="0.2">
      <c r="C251" s="391"/>
      <c r="D251" s="33"/>
      <c r="E251" s="270"/>
      <c r="F251" s="129"/>
      <c r="G251" s="129"/>
      <c r="H251" s="129"/>
      <c r="I251" s="129"/>
      <c r="J251" s="129"/>
      <c r="K251" s="129"/>
    </row>
    <row r="252" spans="3:11" s="120" customFormat="1" x14ac:dyDescent="0.2">
      <c r="C252" s="391"/>
      <c r="D252" s="33"/>
      <c r="E252" s="270"/>
      <c r="F252" s="129"/>
      <c r="G252" s="129"/>
      <c r="H252" s="129"/>
      <c r="I252" s="129"/>
      <c r="J252" s="129"/>
      <c r="K252" s="129"/>
    </row>
    <row r="253" spans="3:11" s="120" customFormat="1" x14ac:dyDescent="0.2">
      <c r="C253" s="391"/>
      <c r="D253" s="33"/>
      <c r="E253" s="270"/>
      <c r="F253" s="129"/>
      <c r="G253" s="129"/>
      <c r="H253" s="129"/>
      <c r="I253" s="129"/>
      <c r="J253" s="129"/>
      <c r="K253" s="129"/>
    </row>
    <row r="254" spans="3:11" s="120" customFormat="1" x14ac:dyDescent="0.2">
      <c r="C254" s="391"/>
      <c r="D254" s="33"/>
      <c r="E254" s="270"/>
      <c r="F254" s="129"/>
      <c r="G254" s="129"/>
      <c r="H254" s="129"/>
      <c r="I254" s="129"/>
      <c r="J254" s="129"/>
      <c r="K254" s="129"/>
    </row>
    <row r="255" spans="3:11" s="120" customFormat="1" x14ac:dyDescent="0.2">
      <c r="C255" s="391"/>
      <c r="D255" s="33"/>
      <c r="E255" s="270"/>
      <c r="F255" s="129"/>
      <c r="G255" s="129"/>
      <c r="H255" s="129"/>
      <c r="I255" s="129"/>
      <c r="J255" s="129"/>
      <c r="K255" s="129"/>
    </row>
    <row r="256" spans="3:11" s="120" customFormat="1" x14ac:dyDescent="0.2">
      <c r="C256" s="391"/>
      <c r="D256" s="33"/>
      <c r="E256" s="270"/>
      <c r="F256" s="129"/>
      <c r="G256" s="129"/>
      <c r="H256" s="129"/>
      <c r="I256" s="129"/>
      <c r="J256" s="129"/>
      <c r="K256" s="129"/>
    </row>
    <row r="257" spans="3:11" s="120" customFormat="1" x14ac:dyDescent="0.2">
      <c r="C257" s="391"/>
      <c r="D257" s="33"/>
      <c r="E257" s="270"/>
      <c r="F257" s="129"/>
      <c r="G257" s="129"/>
      <c r="H257" s="129"/>
      <c r="I257" s="129"/>
      <c r="J257" s="129"/>
      <c r="K257" s="129"/>
    </row>
    <row r="258" spans="3:11" s="120" customFormat="1" x14ac:dyDescent="0.2">
      <c r="C258" s="391"/>
      <c r="D258" s="33"/>
      <c r="E258" s="270"/>
      <c r="F258" s="129"/>
      <c r="G258" s="129"/>
      <c r="H258" s="129"/>
      <c r="I258" s="129"/>
      <c r="J258" s="129"/>
      <c r="K258" s="129"/>
    </row>
    <row r="259" spans="3:11" s="120" customFormat="1" x14ac:dyDescent="0.2">
      <c r="C259" s="391"/>
      <c r="D259" s="33"/>
      <c r="E259" s="270"/>
      <c r="F259" s="129"/>
      <c r="G259" s="129"/>
      <c r="H259" s="129"/>
      <c r="I259" s="129"/>
      <c r="J259" s="129"/>
      <c r="K259" s="129"/>
    </row>
    <row r="260" spans="3:11" s="120" customFormat="1" x14ac:dyDescent="0.2">
      <c r="C260" s="391"/>
      <c r="D260" s="33"/>
      <c r="E260" s="270"/>
      <c r="F260" s="129"/>
      <c r="G260" s="129"/>
      <c r="H260" s="129"/>
      <c r="I260" s="129"/>
      <c r="J260" s="129"/>
      <c r="K260" s="129"/>
    </row>
    <row r="261" spans="3:11" s="120" customFormat="1" x14ac:dyDescent="0.2">
      <c r="C261" s="391"/>
      <c r="D261" s="33"/>
      <c r="E261" s="270"/>
      <c r="F261" s="129"/>
      <c r="G261" s="129"/>
      <c r="H261" s="129"/>
      <c r="I261" s="129"/>
      <c r="J261" s="129"/>
      <c r="K261" s="129"/>
    </row>
    <row r="262" spans="3:11" s="120" customFormat="1" x14ac:dyDescent="0.2">
      <c r="C262" s="391"/>
      <c r="D262" s="33"/>
      <c r="E262" s="270"/>
      <c r="F262" s="129"/>
      <c r="G262" s="129"/>
      <c r="H262" s="129"/>
      <c r="I262" s="129"/>
      <c r="J262" s="129"/>
      <c r="K262" s="129"/>
    </row>
    <row r="263" spans="3:11" s="120" customFormat="1" x14ac:dyDescent="0.2">
      <c r="C263" s="391"/>
      <c r="D263" s="33"/>
      <c r="E263" s="270"/>
      <c r="F263" s="129"/>
      <c r="G263" s="129"/>
      <c r="H263" s="129"/>
      <c r="I263" s="129"/>
      <c r="J263" s="129"/>
      <c r="K263" s="129"/>
    </row>
    <row r="264" spans="3:11" s="120" customFormat="1" x14ac:dyDescent="0.2">
      <c r="C264" s="391"/>
      <c r="D264" s="33"/>
      <c r="E264" s="270"/>
      <c r="F264" s="129"/>
      <c r="G264" s="129"/>
      <c r="H264" s="129"/>
      <c r="I264" s="129"/>
      <c r="J264" s="129"/>
      <c r="K264" s="129"/>
    </row>
    <row r="265" spans="3:11" s="120" customFormat="1" x14ac:dyDescent="0.2">
      <c r="C265" s="391"/>
      <c r="D265" s="33"/>
      <c r="E265" s="270"/>
      <c r="F265" s="129"/>
      <c r="G265" s="129"/>
      <c r="H265" s="129"/>
      <c r="I265" s="129"/>
      <c r="J265" s="129"/>
      <c r="K265" s="129"/>
    </row>
    <row r="266" spans="3:11" s="120" customFormat="1" x14ac:dyDescent="0.2">
      <c r="C266" s="391"/>
      <c r="D266" s="33"/>
      <c r="E266" s="270"/>
      <c r="F266" s="129"/>
      <c r="G266" s="129"/>
      <c r="H266" s="129"/>
      <c r="I266" s="129"/>
      <c r="J266" s="129"/>
      <c r="K266" s="129"/>
    </row>
    <row r="267" spans="3:11" s="120" customFormat="1" x14ac:dyDescent="0.2">
      <c r="C267" s="391"/>
      <c r="D267" s="33"/>
      <c r="E267" s="270"/>
      <c r="F267" s="129"/>
      <c r="G267" s="129"/>
      <c r="H267" s="129"/>
      <c r="I267" s="129"/>
      <c r="J267" s="129"/>
      <c r="K267" s="129"/>
    </row>
    <row r="268" spans="3:11" s="120" customFormat="1" x14ac:dyDescent="0.2">
      <c r="C268" s="391"/>
      <c r="D268" s="33"/>
      <c r="E268" s="270"/>
      <c r="F268" s="129"/>
      <c r="G268" s="129"/>
      <c r="H268" s="129"/>
      <c r="I268" s="129"/>
      <c r="J268" s="129"/>
      <c r="K268" s="129"/>
    </row>
    <row r="269" spans="3:11" s="120" customFormat="1" x14ac:dyDescent="0.2">
      <c r="C269" s="391"/>
      <c r="D269" s="33"/>
      <c r="E269" s="270"/>
      <c r="F269" s="129"/>
      <c r="G269" s="129"/>
      <c r="H269" s="129"/>
      <c r="I269" s="129"/>
      <c r="J269" s="129"/>
      <c r="K269" s="129"/>
    </row>
    <row r="270" spans="3:11" s="120" customFormat="1" x14ac:dyDescent="0.2">
      <c r="C270" s="391"/>
      <c r="D270" s="33"/>
      <c r="E270" s="270"/>
      <c r="F270" s="129"/>
      <c r="G270" s="129"/>
      <c r="H270" s="129"/>
      <c r="I270" s="129"/>
      <c r="J270" s="129"/>
      <c r="K270" s="129"/>
    </row>
    <row r="271" spans="3:11" s="120" customFormat="1" x14ac:dyDescent="0.2">
      <c r="C271" s="391"/>
      <c r="D271" s="33"/>
      <c r="E271" s="270"/>
      <c r="F271" s="129"/>
      <c r="G271" s="129"/>
      <c r="H271" s="129"/>
      <c r="I271" s="129"/>
      <c r="J271" s="129"/>
      <c r="K271" s="129"/>
    </row>
    <row r="272" spans="3:11" s="120" customFormat="1" x14ac:dyDescent="0.2">
      <c r="C272" s="391"/>
      <c r="D272" s="33"/>
      <c r="E272" s="270"/>
      <c r="F272" s="129"/>
      <c r="G272" s="129"/>
      <c r="H272" s="129"/>
      <c r="I272" s="129"/>
      <c r="J272" s="129"/>
      <c r="K272" s="129"/>
    </row>
    <row r="273" spans="3:11" s="120" customFormat="1" x14ac:dyDescent="0.2">
      <c r="C273" s="391"/>
      <c r="D273" s="33"/>
      <c r="E273" s="270"/>
      <c r="F273" s="129"/>
      <c r="G273" s="129"/>
      <c r="H273" s="129"/>
      <c r="I273" s="129"/>
      <c r="J273" s="129"/>
      <c r="K273" s="129"/>
    </row>
    <row r="274" spans="3:11" s="120" customFormat="1" x14ac:dyDescent="0.2">
      <c r="C274" s="391"/>
      <c r="D274" s="33"/>
      <c r="E274" s="270"/>
      <c r="F274" s="129"/>
      <c r="G274" s="129"/>
      <c r="H274" s="129"/>
      <c r="I274" s="129"/>
      <c r="J274" s="129"/>
      <c r="K274" s="129"/>
    </row>
    <row r="275" spans="3:11" s="120" customFormat="1" x14ac:dyDescent="0.2">
      <c r="C275" s="391"/>
      <c r="D275" s="33"/>
      <c r="E275" s="270"/>
      <c r="F275" s="129"/>
      <c r="G275" s="129"/>
      <c r="H275" s="129"/>
      <c r="I275" s="129"/>
      <c r="J275" s="129"/>
      <c r="K275" s="129"/>
    </row>
    <row r="276" spans="3:11" s="120" customFormat="1" x14ac:dyDescent="0.2">
      <c r="C276" s="391"/>
      <c r="D276" s="33"/>
      <c r="E276" s="270"/>
      <c r="F276" s="129"/>
      <c r="G276" s="129"/>
      <c r="H276" s="129"/>
      <c r="I276" s="129"/>
      <c r="J276" s="129"/>
      <c r="K276" s="129"/>
    </row>
    <row r="277" spans="3:11" s="120" customFormat="1" x14ac:dyDescent="0.2">
      <c r="C277" s="391"/>
      <c r="D277" s="33"/>
      <c r="E277" s="270"/>
      <c r="F277" s="129"/>
      <c r="G277" s="129"/>
      <c r="H277" s="129"/>
      <c r="I277" s="129"/>
      <c r="J277" s="129"/>
      <c r="K277" s="129"/>
    </row>
    <row r="278" spans="3:11" s="120" customFormat="1" x14ac:dyDescent="0.2">
      <c r="C278" s="391"/>
      <c r="D278" s="33"/>
      <c r="E278" s="270"/>
      <c r="F278" s="129"/>
      <c r="G278" s="129"/>
      <c r="H278" s="129"/>
      <c r="I278" s="129"/>
      <c r="J278" s="129"/>
      <c r="K278" s="129"/>
    </row>
    <row r="279" spans="3:11" s="120" customFormat="1" x14ac:dyDescent="0.2">
      <c r="C279" s="391"/>
      <c r="D279" s="33"/>
      <c r="E279" s="270"/>
      <c r="F279" s="129"/>
      <c r="G279" s="129"/>
      <c r="H279" s="129"/>
      <c r="I279" s="129"/>
      <c r="J279" s="129"/>
      <c r="K279" s="129"/>
    </row>
    <row r="280" spans="3:11" s="120" customFormat="1" x14ac:dyDescent="0.2">
      <c r="C280" s="391"/>
      <c r="D280" s="33"/>
      <c r="E280" s="270"/>
      <c r="F280" s="129"/>
      <c r="G280" s="129"/>
      <c r="H280" s="129"/>
      <c r="I280" s="129"/>
      <c r="J280" s="129"/>
      <c r="K280" s="129"/>
    </row>
    <row r="281" spans="3:11" s="120" customFormat="1" x14ac:dyDescent="0.2">
      <c r="C281" s="391"/>
      <c r="D281" s="33"/>
      <c r="E281" s="270"/>
      <c r="F281" s="129"/>
      <c r="G281" s="129"/>
      <c r="H281" s="129"/>
      <c r="I281" s="129"/>
      <c r="J281" s="129"/>
      <c r="K281" s="129"/>
    </row>
    <row r="282" spans="3:11" s="120" customFormat="1" x14ac:dyDescent="0.2">
      <c r="C282" s="391"/>
      <c r="D282" s="33"/>
      <c r="E282" s="270"/>
      <c r="F282" s="129"/>
      <c r="G282" s="129"/>
      <c r="H282" s="129"/>
      <c r="I282" s="129"/>
      <c r="J282" s="129"/>
      <c r="K282" s="129"/>
    </row>
    <row r="283" spans="3:11" s="120" customFormat="1" x14ac:dyDescent="0.2">
      <c r="C283" s="391"/>
      <c r="D283" s="33"/>
      <c r="E283" s="270"/>
      <c r="F283" s="129"/>
      <c r="G283" s="129"/>
      <c r="H283" s="129"/>
      <c r="I283" s="129"/>
      <c r="J283" s="129"/>
      <c r="K283" s="129"/>
    </row>
    <row r="284" spans="3:11" s="120" customFormat="1" x14ac:dyDescent="0.2">
      <c r="C284" s="391"/>
      <c r="D284" s="33"/>
      <c r="E284" s="270"/>
      <c r="F284" s="129"/>
      <c r="G284" s="129"/>
      <c r="H284" s="129"/>
      <c r="I284" s="129"/>
      <c r="J284" s="129"/>
      <c r="K284" s="129"/>
    </row>
    <row r="285" spans="3:11" s="120" customFormat="1" x14ac:dyDescent="0.2">
      <c r="C285" s="391"/>
      <c r="D285" s="33"/>
      <c r="E285" s="270"/>
      <c r="F285" s="129"/>
      <c r="G285" s="129"/>
      <c r="H285" s="129"/>
      <c r="I285" s="129"/>
      <c r="J285" s="129"/>
      <c r="K285" s="129"/>
    </row>
    <row r="286" spans="3:11" s="120" customFormat="1" x14ac:dyDescent="0.2">
      <c r="C286" s="391"/>
      <c r="D286" s="33"/>
      <c r="E286" s="270"/>
      <c r="F286" s="129"/>
      <c r="G286" s="129"/>
      <c r="H286" s="129"/>
      <c r="I286" s="129"/>
      <c r="J286" s="129"/>
      <c r="K286" s="129"/>
    </row>
    <row r="287" spans="3:11" s="120" customFormat="1" x14ac:dyDescent="0.2">
      <c r="C287" s="391"/>
      <c r="D287" s="33"/>
      <c r="E287" s="270"/>
      <c r="F287" s="129"/>
      <c r="G287" s="129"/>
      <c r="H287" s="129"/>
      <c r="I287" s="129"/>
      <c r="J287" s="129"/>
      <c r="K287" s="129"/>
    </row>
    <row r="288" spans="3:11" s="120" customFormat="1" x14ac:dyDescent="0.2">
      <c r="C288" s="391"/>
      <c r="D288" s="33"/>
      <c r="E288" s="270"/>
      <c r="F288" s="129"/>
      <c r="G288" s="129"/>
      <c r="H288" s="129"/>
      <c r="I288" s="129"/>
      <c r="J288" s="129"/>
      <c r="K288" s="129"/>
    </row>
    <row r="289" spans="3:11" s="120" customFormat="1" x14ac:dyDescent="0.2">
      <c r="C289" s="391"/>
      <c r="D289" s="33"/>
      <c r="E289" s="270"/>
      <c r="F289" s="129"/>
      <c r="G289" s="129"/>
      <c r="H289" s="129"/>
      <c r="I289" s="129"/>
      <c r="J289" s="129"/>
      <c r="K289" s="129"/>
    </row>
    <row r="290" spans="3:11" s="120" customFormat="1" x14ac:dyDescent="0.2">
      <c r="C290" s="391"/>
      <c r="D290" s="33"/>
      <c r="E290" s="270"/>
      <c r="F290" s="129"/>
      <c r="G290" s="129"/>
      <c r="H290" s="129"/>
      <c r="I290" s="129"/>
      <c r="J290" s="129"/>
      <c r="K290" s="129"/>
    </row>
    <row r="291" spans="3:11" s="120" customFormat="1" x14ac:dyDescent="0.2">
      <c r="C291" s="391"/>
      <c r="D291" s="33"/>
      <c r="E291" s="270"/>
      <c r="F291" s="129"/>
      <c r="G291" s="129"/>
      <c r="H291" s="129"/>
      <c r="I291" s="129"/>
      <c r="J291" s="129"/>
      <c r="K291" s="129"/>
    </row>
    <row r="292" spans="3:11" s="120" customFormat="1" x14ac:dyDescent="0.2">
      <c r="C292" s="391"/>
      <c r="D292" s="33"/>
      <c r="E292" s="270"/>
      <c r="F292" s="129"/>
      <c r="G292" s="129"/>
      <c r="H292" s="129"/>
      <c r="I292" s="129"/>
      <c r="J292" s="129"/>
      <c r="K292" s="129"/>
    </row>
    <row r="293" spans="3:11" s="120" customFormat="1" x14ac:dyDescent="0.2">
      <c r="C293" s="391"/>
      <c r="D293" s="33"/>
      <c r="E293" s="270"/>
      <c r="F293" s="129"/>
      <c r="G293" s="129"/>
      <c r="H293" s="129"/>
      <c r="I293" s="129"/>
      <c r="J293" s="129"/>
      <c r="K293" s="129"/>
    </row>
    <row r="294" spans="3:11" s="120" customFormat="1" x14ac:dyDescent="0.2">
      <c r="C294" s="391"/>
      <c r="D294" s="33"/>
      <c r="E294" s="270"/>
      <c r="F294" s="129"/>
      <c r="G294" s="129"/>
      <c r="H294" s="129"/>
      <c r="I294" s="129"/>
      <c r="J294" s="129"/>
      <c r="K294" s="129"/>
    </row>
    <row r="295" spans="3:11" s="120" customFormat="1" x14ac:dyDescent="0.2">
      <c r="C295" s="391"/>
      <c r="D295" s="33"/>
      <c r="E295" s="270"/>
      <c r="F295" s="129"/>
      <c r="G295" s="129"/>
      <c r="H295" s="129"/>
      <c r="I295" s="129"/>
      <c r="J295" s="129"/>
      <c r="K295" s="129"/>
    </row>
    <row r="296" spans="3:11" s="120" customFormat="1" x14ac:dyDescent="0.2">
      <c r="C296" s="391"/>
      <c r="D296" s="33"/>
      <c r="E296" s="270"/>
      <c r="F296" s="129"/>
      <c r="G296" s="129"/>
      <c r="H296" s="129"/>
      <c r="I296" s="129"/>
      <c r="J296" s="129"/>
      <c r="K296" s="129"/>
    </row>
    <row r="297" spans="3:11" s="120" customFormat="1" x14ac:dyDescent="0.2">
      <c r="C297" s="391"/>
      <c r="D297" s="33"/>
      <c r="E297" s="270"/>
      <c r="F297" s="129"/>
      <c r="G297" s="129"/>
      <c r="H297" s="129"/>
      <c r="I297" s="129"/>
      <c r="J297" s="129"/>
      <c r="K297" s="129"/>
    </row>
    <row r="298" spans="3:11" s="120" customFormat="1" x14ac:dyDescent="0.2">
      <c r="C298" s="391"/>
      <c r="D298" s="33"/>
      <c r="E298" s="270"/>
      <c r="F298" s="129"/>
      <c r="G298" s="129"/>
      <c r="H298" s="129"/>
      <c r="I298" s="129"/>
      <c r="J298" s="129"/>
      <c r="K298" s="129"/>
    </row>
    <row r="299" spans="3:11" s="120" customFormat="1" x14ac:dyDescent="0.2">
      <c r="C299" s="391"/>
      <c r="D299" s="33"/>
      <c r="E299" s="270"/>
      <c r="F299" s="129"/>
      <c r="G299" s="129"/>
      <c r="H299" s="129"/>
      <c r="I299" s="129"/>
      <c r="J299" s="129"/>
      <c r="K299" s="129"/>
    </row>
    <row r="300" spans="3:11" s="120" customFormat="1" x14ac:dyDescent="0.2">
      <c r="C300" s="391"/>
      <c r="D300" s="33"/>
      <c r="E300" s="270"/>
      <c r="F300" s="129"/>
      <c r="G300" s="129"/>
      <c r="H300" s="129"/>
      <c r="I300" s="129"/>
      <c r="J300" s="129"/>
      <c r="K300" s="129"/>
    </row>
    <row r="301" spans="3:11" s="120" customFormat="1" x14ac:dyDescent="0.2">
      <c r="C301" s="391"/>
      <c r="D301" s="33"/>
      <c r="E301" s="270"/>
      <c r="F301" s="129"/>
      <c r="G301" s="129"/>
      <c r="H301" s="129"/>
      <c r="I301" s="129"/>
      <c r="J301" s="129"/>
      <c r="K301" s="129"/>
    </row>
    <row r="302" spans="3:11" s="120" customFormat="1" x14ac:dyDescent="0.2">
      <c r="C302" s="391"/>
      <c r="D302" s="33"/>
      <c r="E302" s="270"/>
      <c r="F302" s="129"/>
      <c r="G302" s="129"/>
      <c r="H302" s="129"/>
      <c r="I302" s="129"/>
      <c r="J302" s="129"/>
      <c r="K302" s="129"/>
    </row>
    <row r="303" spans="3:11" s="120" customFormat="1" x14ac:dyDescent="0.2">
      <c r="C303" s="391"/>
      <c r="D303" s="33"/>
      <c r="E303" s="270"/>
      <c r="F303" s="129"/>
      <c r="G303" s="129"/>
      <c r="H303" s="129"/>
      <c r="I303" s="129"/>
      <c r="J303" s="129"/>
      <c r="K303" s="129"/>
    </row>
    <row r="304" spans="3:11" s="120" customFormat="1" x14ac:dyDescent="0.2">
      <c r="C304" s="391"/>
      <c r="D304" s="33"/>
      <c r="E304" s="270"/>
      <c r="F304" s="129"/>
      <c r="G304" s="129"/>
      <c r="H304" s="129"/>
      <c r="I304" s="129"/>
      <c r="J304" s="129"/>
      <c r="K304" s="129"/>
    </row>
    <row r="305" spans="3:11" s="120" customFormat="1" x14ac:dyDescent="0.2">
      <c r="C305" s="391"/>
      <c r="D305" s="33"/>
      <c r="E305" s="270"/>
      <c r="F305" s="129"/>
      <c r="G305" s="129"/>
      <c r="H305" s="129"/>
      <c r="I305" s="129"/>
      <c r="J305" s="129"/>
      <c r="K305" s="129"/>
    </row>
    <row r="306" spans="3:11" s="120" customFormat="1" x14ac:dyDescent="0.2">
      <c r="C306" s="391"/>
      <c r="D306" s="33"/>
      <c r="E306" s="270"/>
      <c r="F306" s="129"/>
      <c r="G306" s="129"/>
      <c r="H306" s="129"/>
      <c r="I306" s="129"/>
      <c r="J306" s="129"/>
      <c r="K306" s="129"/>
    </row>
    <row r="307" spans="3:11" s="120" customFormat="1" x14ac:dyDescent="0.2">
      <c r="C307" s="391"/>
      <c r="D307" s="33"/>
      <c r="E307" s="270"/>
      <c r="F307" s="129"/>
      <c r="G307" s="129"/>
      <c r="H307" s="129"/>
      <c r="I307" s="129"/>
      <c r="J307" s="129"/>
      <c r="K307" s="129"/>
    </row>
    <row r="308" spans="3:11" s="120" customFormat="1" x14ac:dyDescent="0.2">
      <c r="C308" s="391"/>
      <c r="D308" s="33"/>
      <c r="E308" s="270"/>
      <c r="F308" s="129"/>
      <c r="G308" s="129"/>
      <c r="H308" s="129"/>
      <c r="I308" s="129"/>
      <c r="J308" s="129"/>
      <c r="K308" s="129"/>
    </row>
    <row r="309" spans="3:11" s="120" customFormat="1" x14ac:dyDescent="0.2">
      <c r="C309" s="391"/>
      <c r="D309" s="33"/>
      <c r="E309" s="270"/>
      <c r="F309" s="129"/>
      <c r="G309" s="129"/>
      <c r="H309" s="129"/>
      <c r="I309" s="129"/>
      <c r="J309" s="129"/>
      <c r="K309" s="129"/>
    </row>
    <row r="310" spans="3:11" s="120" customFormat="1" x14ac:dyDescent="0.2">
      <c r="C310" s="391"/>
      <c r="D310" s="33"/>
      <c r="E310" s="270"/>
      <c r="F310" s="129"/>
      <c r="G310" s="129"/>
      <c r="H310" s="129"/>
      <c r="I310" s="129"/>
      <c r="J310" s="129"/>
      <c r="K310" s="129"/>
    </row>
    <row r="311" spans="3:11" s="120" customFormat="1" x14ac:dyDescent="0.2">
      <c r="C311" s="391"/>
      <c r="D311" s="33"/>
      <c r="E311" s="270"/>
      <c r="F311" s="129"/>
      <c r="G311" s="129"/>
      <c r="H311" s="129"/>
      <c r="I311" s="129"/>
      <c r="J311" s="129"/>
      <c r="K311" s="129"/>
    </row>
    <row r="312" spans="3:11" s="120" customFormat="1" x14ac:dyDescent="0.2">
      <c r="C312" s="391"/>
      <c r="D312" s="33"/>
      <c r="E312" s="270"/>
      <c r="F312" s="129"/>
      <c r="G312" s="129"/>
      <c r="H312" s="129"/>
      <c r="I312" s="129"/>
      <c r="J312" s="129"/>
      <c r="K312" s="129"/>
    </row>
    <row r="313" spans="3:11" s="120" customFormat="1" x14ac:dyDescent="0.2">
      <c r="C313" s="391"/>
      <c r="D313" s="33"/>
      <c r="E313" s="270"/>
      <c r="F313" s="129"/>
      <c r="G313" s="129"/>
      <c r="H313" s="129"/>
      <c r="I313" s="129"/>
      <c r="J313" s="129"/>
      <c r="K313" s="129"/>
    </row>
    <row r="314" spans="3:11" s="120" customFormat="1" x14ac:dyDescent="0.2">
      <c r="C314" s="391"/>
      <c r="D314" s="33"/>
      <c r="E314" s="270"/>
      <c r="F314" s="129"/>
      <c r="G314" s="129"/>
      <c r="H314" s="129"/>
      <c r="I314" s="129"/>
      <c r="J314" s="129"/>
      <c r="K314" s="129"/>
    </row>
    <row r="315" spans="3:11" s="120" customFormat="1" x14ac:dyDescent="0.2">
      <c r="C315" s="391"/>
      <c r="D315" s="33"/>
      <c r="E315" s="270"/>
      <c r="F315" s="129"/>
      <c r="G315" s="129"/>
      <c r="H315" s="129"/>
      <c r="I315" s="129"/>
      <c r="J315" s="129"/>
      <c r="K315" s="129"/>
    </row>
    <row r="316" spans="3:11" s="120" customFormat="1" x14ac:dyDescent="0.2">
      <c r="C316" s="391"/>
      <c r="D316" s="33"/>
      <c r="E316" s="270"/>
      <c r="F316" s="129"/>
      <c r="G316" s="129"/>
      <c r="H316" s="129"/>
      <c r="I316" s="129"/>
      <c r="J316" s="129"/>
      <c r="K316" s="129"/>
    </row>
    <row r="317" spans="3:11" s="120" customFormat="1" x14ac:dyDescent="0.2">
      <c r="C317" s="391"/>
      <c r="D317" s="33"/>
      <c r="E317" s="270"/>
      <c r="F317" s="129"/>
      <c r="G317" s="129"/>
      <c r="H317" s="129"/>
      <c r="I317" s="129"/>
      <c r="J317" s="129"/>
      <c r="K317" s="129"/>
    </row>
    <row r="318" spans="3:11" s="120" customFormat="1" x14ac:dyDescent="0.2">
      <c r="C318" s="391"/>
      <c r="D318" s="33"/>
      <c r="E318" s="270"/>
      <c r="F318" s="129"/>
      <c r="G318" s="129"/>
      <c r="H318" s="129"/>
      <c r="I318" s="129"/>
      <c r="J318" s="129"/>
      <c r="K318" s="129"/>
    </row>
    <row r="319" spans="3:11" s="120" customFormat="1" x14ac:dyDescent="0.2">
      <c r="C319" s="391"/>
      <c r="D319" s="33"/>
      <c r="E319" s="270"/>
      <c r="F319" s="129"/>
      <c r="G319" s="129"/>
      <c r="H319" s="129"/>
      <c r="I319" s="129"/>
      <c r="J319" s="129"/>
      <c r="K319" s="129"/>
    </row>
    <row r="320" spans="3:11" s="120" customFormat="1" x14ac:dyDescent="0.2">
      <c r="C320" s="391"/>
      <c r="D320" s="33"/>
      <c r="E320" s="270"/>
      <c r="F320" s="129"/>
      <c r="G320" s="129"/>
      <c r="H320" s="129"/>
      <c r="I320" s="129"/>
      <c r="J320" s="129"/>
      <c r="K320" s="129"/>
    </row>
    <row r="321" spans="3:11" s="120" customFormat="1" x14ac:dyDescent="0.2">
      <c r="C321" s="391"/>
      <c r="D321" s="33"/>
      <c r="E321" s="270"/>
      <c r="F321" s="129"/>
      <c r="G321" s="129"/>
      <c r="H321" s="129"/>
      <c r="I321" s="129"/>
      <c r="J321" s="129"/>
      <c r="K321" s="129"/>
    </row>
    <row r="322" spans="3:11" s="120" customFormat="1" x14ac:dyDescent="0.2">
      <c r="C322" s="391"/>
      <c r="E322" s="129"/>
      <c r="F322" s="129"/>
      <c r="G322" s="129"/>
      <c r="H322" s="129"/>
      <c r="I322" s="129"/>
      <c r="J322" s="129"/>
      <c r="K322" s="129"/>
    </row>
    <row r="323" spans="3:11" s="120" customFormat="1" x14ac:dyDescent="0.2">
      <c r="C323" s="391"/>
      <c r="E323" s="129"/>
      <c r="F323" s="129"/>
      <c r="G323" s="129"/>
      <c r="H323" s="129"/>
      <c r="I323" s="129"/>
      <c r="J323" s="129"/>
      <c r="K323" s="129"/>
    </row>
    <row r="324" spans="3:11" s="120" customFormat="1" x14ac:dyDescent="0.2">
      <c r="C324" s="391"/>
      <c r="E324" s="129"/>
      <c r="F324" s="129"/>
      <c r="G324" s="129"/>
      <c r="H324" s="129"/>
      <c r="I324" s="129"/>
      <c r="J324" s="129"/>
      <c r="K324" s="129"/>
    </row>
    <row r="325" spans="3:11" s="120" customFormat="1" x14ac:dyDescent="0.2">
      <c r="C325" s="391"/>
      <c r="E325" s="129"/>
      <c r="F325" s="129"/>
      <c r="G325" s="129"/>
      <c r="H325" s="129"/>
      <c r="I325" s="129"/>
      <c r="J325" s="129"/>
      <c r="K325" s="129"/>
    </row>
    <row r="326" spans="3:11" s="120" customFormat="1" x14ac:dyDescent="0.2">
      <c r="C326" s="391"/>
      <c r="E326" s="129"/>
      <c r="F326" s="129"/>
      <c r="G326" s="129"/>
      <c r="H326" s="129"/>
      <c r="I326" s="129"/>
      <c r="J326" s="129"/>
      <c r="K326" s="129"/>
    </row>
    <row r="327" spans="3:11" s="120" customFormat="1" x14ac:dyDescent="0.2">
      <c r="C327" s="391"/>
      <c r="E327" s="129"/>
      <c r="F327" s="129"/>
      <c r="G327" s="129"/>
      <c r="H327" s="129"/>
      <c r="I327" s="129"/>
      <c r="J327" s="129"/>
      <c r="K327" s="129"/>
    </row>
    <row r="328" spans="3:11" s="120" customFormat="1" x14ac:dyDescent="0.2">
      <c r="C328" s="391"/>
      <c r="E328" s="129"/>
      <c r="F328" s="129"/>
      <c r="G328" s="129"/>
      <c r="H328" s="129"/>
      <c r="I328" s="129"/>
      <c r="J328" s="129"/>
      <c r="K328" s="129"/>
    </row>
    <row r="329" spans="3:11" s="120" customFormat="1" x14ac:dyDescent="0.2">
      <c r="C329" s="391"/>
      <c r="E329" s="129"/>
      <c r="F329" s="129"/>
      <c r="G329" s="129"/>
      <c r="H329" s="129"/>
      <c r="I329" s="129"/>
      <c r="J329" s="129"/>
      <c r="K329" s="129"/>
    </row>
    <row r="330" spans="3:11" s="120" customFormat="1" x14ac:dyDescent="0.2">
      <c r="C330" s="391"/>
      <c r="E330" s="129"/>
      <c r="F330" s="129"/>
      <c r="G330" s="129"/>
      <c r="H330" s="129"/>
      <c r="I330" s="129"/>
      <c r="J330" s="129"/>
      <c r="K330" s="129"/>
    </row>
    <row r="331" spans="3:11" s="120" customFormat="1" x14ac:dyDescent="0.2">
      <c r="C331" s="391"/>
      <c r="E331" s="129"/>
      <c r="F331" s="129"/>
      <c r="G331" s="129"/>
      <c r="H331" s="129"/>
      <c r="I331" s="129"/>
      <c r="J331" s="129"/>
      <c r="K331" s="129"/>
    </row>
    <row r="332" spans="3:11" s="120" customFormat="1" x14ac:dyDescent="0.2">
      <c r="C332" s="391"/>
      <c r="E332" s="129"/>
      <c r="F332" s="129"/>
      <c r="G332" s="129"/>
      <c r="H332" s="129"/>
      <c r="I332" s="129"/>
      <c r="J332" s="129"/>
      <c r="K332" s="129"/>
    </row>
    <row r="333" spans="3:11" s="120" customFormat="1" x14ac:dyDescent="0.2">
      <c r="C333" s="391"/>
      <c r="E333" s="129"/>
      <c r="F333" s="129"/>
      <c r="G333" s="129"/>
      <c r="H333" s="129"/>
      <c r="I333" s="129"/>
      <c r="J333" s="129"/>
      <c r="K333" s="129"/>
    </row>
    <row r="334" spans="3:11" s="120" customFormat="1" x14ac:dyDescent="0.2">
      <c r="C334" s="391"/>
      <c r="E334" s="129"/>
      <c r="F334" s="129"/>
      <c r="G334" s="129"/>
      <c r="H334" s="129"/>
      <c r="I334" s="129"/>
      <c r="J334" s="129"/>
      <c r="K334" s="129"/>
    </row>
    <row r="335" spans="3:11" s="120" customFormat="1" x14ac:dyDescent="0.2">
      <c r="C335" s="391"/>
      <c r="E335" s="129"/>
      <c r="F335" s="129"/>
      <c r="G335" s="129"/>
      <c r="H335" s="129"/>
      <c r="I335" s="129"/>
      <c r="J335" s="129"/>
      <c r="K335" s="129"/>
    </row>
    <row r="336" spans="3:11" s="120" customFormat="1" x14ac:dyDescent="0.2">
      <c r="C336" s="391"/>
      <c r="E336" s="129"/>
      <c r="F336" s="129"/>
      <c r="G336" s="129"/>
      <c r="H336" s="129"/>
      <c r="I336" s="129"/>
      <c r="J336" s="129"/>
      <c r="K336" s="129"/>
    </row>
    <row r="337" spans="3:11" s="120" customFormat="1" x14ac:dyDescent="0.2">
      <c r="C337" s="391"/>
      <c r="E337" s="129"/>
      <c r="F337" s="129"/>
      <c r="G337" s="129"/>
      <c r="H337" s="129"/>
      <c r="I337" s="129"/>
      <c r="J337" s="129"/>
      <c r="K337" s="129"/>
    </row>
    <row r="338" spans="3:11" s="120" customFormat="1" x14ac:dyDescent="0.2">
      <c r="C338" s="391"/>
      <c r="E338" s="129"/>
      <c r="F338" s="129"/>
      <c r="G338" s="129"/>
      <c r="H338" s="129"/>
      <c r="I338" s="129"/>
      <c r="J338" s="129"/>
      <c r="K338" s="129"/>
    </row>
    <row r="339" spans="3:11" s="120" customFormat="1" x14ac:dyDescent="0.2">
      <c r="C339" s="391"/>
      <c r="E339" s="129"/>
      <c r="F339" s="129"/>
      <c r="G339" s="129"/>
      <c r="H339" s="129"/>
      <c r="I339" s="129"/>
      <c r="J339" s="129"/>
      <c r="K339" s="129"/>
    </row>
    <row r="340" spans="3:11" s="120" customFormat="1" x14ac:dyDescent="0.2">
      <c r="C340" s="391"/>
      <c r="E340" s="129"/>
      <c r="F340" s="129"/>
      <c r="G340" s="129"/>
      <c r="H340" s="129"/>
      <c r="I340" s="129"/>
      <c r="J340" s="129"/>
      <c r="K340" s="129"/>
    </row>
    <row r="341" spans="3:11" s="120" customFormat="1" x14ac:dyDescent="0.2">
      <c r="C341" s="391"/>
      <c r="E341" s="129"/>
      <c r="F341" s="129"/>
      <c r="G341" s="129"/>
      <c r="H341" s="129"/>
      <c r="I341" s="129"/>
      <c r="J341" s="129"/>
      <c r="K341" s="129"/>
    </row>
    <row r="342" spans="3:11" s="120" customFormat="1" x14ac:dyDescent="0.2">
      <c r="C342" s="391"/>
      <c r="E342" s="129"/>
      <c r="F342" s="129"/>
      <c r="G342" s="129"/>
      <c r="H342" s="129"/>
      <c r="I342" s="129"/>
      <c r="J342" s="129"/>
      <c r="K342" s="129"/>
    </row>
    <row r="343" spans="3:11" s="120" customFormat="1" x14ac:dyDescent="0.2">
      <c r="C343" s="391"/>
      <c r="E343" s="129"/>
      <c r="F343" s="129"/>
      <c r="G343" s="129"/>
      <c r="H343" s="129"/>
      <c r="I343" s="129"/>
      <c r="J343" s="129"/>
      <c r="K343" s="129"/>
    </row>
    <row r="344" spans="3:11" s="120" customFormat="1" x14ac:dyDescent="0.2">
      <c r="C344" s="391"/>
      <c r="E344" s="129"/>
      <c r="F344" s="129"/>
      <c r="G344" s="129"/>
      <c r="H344" s="129"/>
      <c r="I344" s="129"/>
      <c r="J344" s="129"/>
      <c r="K344" s="129"/>
    </row>
    <row r="345" spans="3:11" s="120" customFormat="1" x14ac:dyDescent="0.2">
      <c r="C345" s="391"/>
      <c r="E345" s="129"/>
      <c r="F345" s="129"/>
      <c r="G345" s="129"/>
      <c r="H345" s="129"/>
      <c r="I345" s="129"/>
      <c r="J345" s="129"/>
      <c r="K345" s="129"/>
    </row>
    <row r="346" spans="3:11" s="120" customFormat="1" x14ac:dyDescent="0.2">
      <c r="C346" s="391"/>
      <c r="E346" s="129"/>
      <c r="F346" s="129"/>
      <c r="G346" s="129"/>
      <c r="H346" s="129"/>
      <c r="I346" s="129"/>
      <c r="J346" s="129"/>
      <c r="K346" s="129"/>
    </row>
    <row r="347" spans="3:11" s="120" customFormat="1" x14ac:dyDescent="0.2">
      <c r="C347" s="391"/>
      <c r="E347" s="129"/>
      <c r="F347" s="129"/>
      <c r="G347" s="129"/>
      <c r="H347" s="129"/>
      <c r="I347" s="129"/>
      <c r="J347" s="129"/>
      <c r="K347" s="129"/>
    </row>
    <row r="348" spans="3:11" s="120" customFormat="1" x14ac:dyDescent="0.2">
      <c r="C348" s="391"/>
      <c r="E348" s="129"/>
      <c r="F348" s="129"/>
      <c r="G348" s="129"/>
      <c r="H348" s="129"/>
      <c r="I348" s="129"/>
      <c r="J348" s="129"/>
      <c r="K348" s="129"/>
    </row>
    <row r="349" spans="3:11" s="120" customFormat="1" x14ac:dyDescent="0.2">
      <c r="C349" s="391"/>
      <c r="E349" s="129"/>
      <c r="F349" s="129"/>
      <c r="G349" s="129"/>
      <c r="H349" s="129"/>
      <c r="I349" s="129"/>
      <c r="J349" s="129"/>
      <c r="K349" s="129"/>
    </row>
    <row r="350" spans="3:11" s="120" customFormat="1" x14ac:dyDescent="0.2">
      <c r="C350" s="391"/>
      <c r="E350" s="129"/>
      <c r="F350" s="129"/>
      <c r="G350" s="129"/>
      <c r="H350" s="129"/>
      <c r="I350" s="129"/>
      <c r="J350" s="129"/>
      <c r="K350" s="129"/>
    </row>
    <row r="351" spans="3:11" s="120" customFormat="1" x14ac:dyDescent="0.2">
      <c r="C351" s="391"/>
      <c r="E351" s="129"/>
      <c r="F351" s="129"/>
      <c r="G351" s="129"/>
      <c r="H351" s="129"/>
      <c r="I351" s="129"/>
      <c r="J351" s="129"/>
      <c r="K351" s="129"/>
    </row>
    <row r="352" spans="3:11" s="120" customFormat="1" x14ac:dyDescent="0.2">
      <c r="C352" s="391"/>
      <c r="E352" s="129"/>
      <c r="F352" s="129"/>
      <c r="G352" s="129"/>
      <c r="H352" s="129"/>
      <c r="I352" s="129"/>
      <c r="J352" s="129"/>
      <c r="K352" s="129"/>
    </row>
    <row r="353" spans="3:11" s="120" customFormat="1" x14ac:dyDescent="0.2">
      <c r="C353" s="391"/>
      <c r="E353" s="129"/>
      <c r="F353" s="129"/>
      <c r="G353" s="129"/>
      <c r="H353" s="129"/>
      <c r="I353" s="129"/>
      <c r="J353" s="129"/>
      <c r="K353" s="129"/>
    </row>
    <row r="354" spans="3:11" s="120" customFormat="1" x14ac:dyDescent="0.2">
      <c r="C354" s="391"/>
      <c r="E354" s="129"/>
      <c r="F354" s="129"/>
      <c r="G354" s="129"/>
      <c r="H354" s="129"/>
      <c r="I354" s="129"/>
      <c r="J354" s="129"/>
      <c r="K354" s="129"/>
    </row>
    <row r="355" spans="3:11" s="120" customFormat="1" x14ac:dyDescent="0.2">
      <c r="C355" s="391"/>
      <c r="E355" s="129"/>
      <c r="F355" s="129"/>
      <c r="G355" s="129"/>
      <c r="H355" s="129"/>
      <c r="I355" s="129"/>
      <c r="J355" s="129"/>
      <c r="K355" s="129"/>
    </row>
    <row r="356" spans="3:11" s="120" customFormat="1" x14ac:dyDescent="0.2">
      <c r="C356" s="391"/>
      <c r="E356" s="129"/>
      <c r="F356" s="129"/>
      <c r="G356" s="129"/>
      <c r="H356" s="129"/>
      <c r="I356" s="129"/>
      <c r="J356" s="129"/>
      <c r="K356" s="129"/>
    </row>
    <row r="357" spans="3:11" s="120" customFormat="1" x14ac:dyDescent="0.2">
      <c r="C357" s="391"/>
      <c r="E357" s="129"/>
      <c r="F357" s="129"/>
      <c r="G357" s="129"/>
      <c r="H357" s="129"/>
      <c r="I357" s="129"/>
      <c r="J357" s="129"/>
      <c r="K357" s="129"/>
    </row>
    <row r="358" spans="3:11" s="120" customFormat="1" x14ac:dyDescent="0.2">
      <c r="C358" s="391"/>
      <c r="E358" s="129"/>
      <c r="F358" s="129"/>
      <c r="G358" s="129"/>
      <c r="H358" s="129"/>
      <c r="I358" s="129"/>
      <c r="J358" s="129"/>
      <c r="K358" s="129"/>
    </row>
    <row r="359" spans="3:11" s="120" customFormat="1" x14ac:dyDescent="0.2">
      <c r="C359" s="391"/>
      <c r="E359" s="129"/>
      <c r="F359" s="129"/>
      <c r="G359" s="129"/>
      <c r="H359" s="129"/>
      <c r="I359" s="129"/>
      <c r="J359" s="129"/>
      <c r="K359" s="129"/>
    </row>
    <row r="360" spans="3:11" s="120" customFormat="1" x14ac:dyDescent="0.2">
      <c r="C360" s="391"/>
      <c r="E360" s="129"/>
      <c r="F360" s="129"/>
      <c r="G360" s="129"/>
      <c r="H360" s="129"/>
      <c r="I360" s="129"/>
      <c r="J360" s="129"/>
      <c r="K360" s="129"/>
    </row>
    <row r="361" spans="3:11" s="120" customFormat="1" x14ac:dyDescent="0.2">
      <c r="C361" s="391"/>
      <c r="E361" s="129"/>
      <c r="F361" s="129"/>
      <c r="G361" s="129"/>
      <c r="H361" s="129"/>
      <c r="I361" s="129"/>
      <c r="J361" s="129"/>
      <c r="K361" s="129"/>
    </row>
    <row r="362" spans="3:11" s="120" customFormat="1" x14ac:dyDescent="0.2">
      <c r="C362" s="391"/>
      <c r="E362" s="129"/>
      <c r="F362" s="129"/>
      <c r="G362" s="129"/>
      <c r="H362" s="129"/>
      <c r="I362" s="129"/>
      <c r="J362" s="129"/>
      <c r="K362" s="129"/>
    </row>
    <row r="363" spans="3:11" s="120" customFormat="1" x14ac:dyDescent="0.2">
      <c r="C363" s="391"/>
      <c r="E363" s="129"/>
      <c r="F363" s="129"/>
      <c r="G363" s="129"/>
      <c r="H363" s="129"/>
      <c r="I363" s="129"/>
      <c r="J363" s="129"/>
      <c r="K363" s="129"/>
    </row>
    <row r="364" spans="3:11" s="120" customFormat="1" x14ac:dyDescent="0.2">
      <c r="C364" s="391"/>
      <c r="E364" s="129"/>
      <c r="F364" s="129"/>
      <c r="G364" s="129"/>
      <c r="H364" s="129"/>
      <c r="I364" s="129"/>
      <c r="J364" s="129"/>
      <c r="K364" s="129"/>
    </row>
    <row r="365" spans="3:11" s="120" customFormat="1" x14ac:dyDescent="0.2">
      <c r="C365" s="391"/>
      <c r="E365" s="129"/>
      <c r="F365" s="129"/>
      <c r="G365" s="129"/>
      <c r="H365" s="129"/>
      <c r="I365" s="129"/>
      <c r="J365" s="129"/>
      <c r="K365" s="129"/>
    </row>
    <row r="366" spans="3:11" s="120" customFormat="1" x14ac:dyDescent="0.2">
      <c r="C366" s="391"/>
      <c r="E366" s="129"/>
      <c r="F366" s="129"/>
      <c r="G366" s="129"/>
      <c r="H366" s="129"/>
      <c r="I366" s="129"/>
      <c r="J366" s="129"/>
      <c r="K366" s="129"/>
    </row>
    <row r="367" spans="3:11" s="120" customFormat="1" x14ac:dyDescent="0.2">
      <c r="C367" s="391"/>
      <c r="E367" s="129"/>
      <c r="F367" s="129"/>
      <c r="G367" s="129"/>
      <c r="H367" s="129"/>
      <c r="I367" s="129"/>
      <c r="J367" s="129"/>
      <c r="K367" s="129"/>
    </row>
    <row r="368" spans="3:11" s="120" customFormat="1" x14ac:dyDescent="0.2">
      <c r="C368" s="391"/>
      <c r="E368" s="129"/>
      <c r="F368" s="129"/>
      <c r="G368" s="129"/>
      <c r="H368" s="129"/>
      <c r="I368" s="129"/>
      <c r="J368" s="129"/>
      <c r="K368" s="129"/>
    </row>
    <row r="369" spans="3:11" s="120" customFormat="1" x14ac:dyDescent="0.2">
      <c r="C369" s="391"/>
      <c r="E369" s="129"/>
      <c r="F369" s="129"/>
      <c r="G369" s="129"/>
      <c r="H369" s="129"/>
      <c r="I369" s="129"/>
      <c r="J369" s="129"/>
      <c r="K369" s="129"/>
    </row>
    <row r="370" spans="3:11" s="120" customFormat="1" x14ac:dyDescent="0.2">
      <c r="C370" s="391"/>
      <c r="E370" s="129"/>
      <c r="F370" s="129"/>
      <c r="G370" s="129"/>
      <c r="H370" s="129"/>
      <c r="I370" s="129"/>
      <c r="J370" s="129"/>
      <c r="K370" s="129"/>
    </row>
    <row r="371" spans="3:11" s="120" customFormat="1" x14ac:dyDescent="0.2">
      <c r="C371" s="391"/>
      <c r="E371" s="129"/>
      <c r="F371" s="129"/>
      <c r="G371" s="129"/>
      <c r="H371" s="129"/>
      <c r="I371" s="129"/>
      <c r="J371" s="129"/>
      <c r="K371" s="129"/>
    </row>
    <row r="372" spans="3:11" s="120" customFormat="1" x14ac:dyDescent="0.2">
      <c r="C372" s="391"/>
      <c r="E372" s="129"/>
      <c r="F372" s="129"/>
      <c r="G372" s="129"/>
      <c r="H372" s="129"/>
      <c r="I372" s="129"/>
      <c r="J372" s="129"/>
      <c r="K372" s="129"/>
    </row>
    <row r="373" spans="3:11" s="120" customFormat="1" x14ac:dyDescent="0.2">
      <c r="C373" s="391"/>
      <c r="E373" s="129"/>
      <c r="F373" s="129"/>
      <c r="G373" s="129"/>
      <c r="H373" s="129"/>
      <c r="I373" s="129"/>
      <c r="J373" s="129"/>
      <c r="K373" s="129"/>
    </row>
    <row r="374" spans="3:11" s="120" customFormat="1" x14ac:dyDescent="0.2">
      <c r="C374" s="391"/>
      <c r="E374" s="129"/>
      <c r="F374" s="129"/>
      <c r="G374" s="129"/>
      <c r="H374" s="129"/>
      <c r="I374" s="129"/>
      <c r="J374" s="129"/>
      <c r="K374" s="129"/>
    </row>
    <row r="375" spans="3:11" s="120" customFormat="1" x14ac:dyDescent="0.2">
      <c r="C375" s="391"/>
      <c r="E375" s="129"/>
      <c r="F375" s="129"/>
      <c r="G375" s="129"/>
      <c r="H375" s="129"/>
      <c r="I375" s="129"/>
      <c r="J375" s="129"/>
      <c r="K375" s="129"/>
    </row>
    <row r="376" spans="3:11" s="120" customFormat="1" x14ac:dyDescent="0.2">
      <c r="C376" s="391"/>
      <c r="E376" s="129"/>
      <c r="F376" s="129"/>
      <c r="G376" s="129"/>
      <c r="H376" s="129"/>
      <c r="I376" s="129"/>
      <c r="J376" s="129"/>
      <c r="K376" s="129"/>
    </row>
    <row r="377" spans="3:11" s="120" customFormat="1" x14ac:dyDescent="0.2">
      <c r="C377" s="391"/>
      <c r="E377" s="129"/>
      <c r="F377" s="129"/>
      <c r="G377" s="129"/>
      <c r="H377" s="129"/>
      <c r="I377" s="129"/>
      <c r="J377" s="129"/>
      <c r="K377" s="129"/>
    </row>
    <row r="378" spans="3:11" s="120" customFormat="1" x14ac:dyDescent="0.2">
      <c r="C378" s="391"/>
      <c r="E378" s="129"/>
      <c r="F378" s="129"/>
      <c r="G378" s="129"/>
      <c r="H378" s="129"/>
      <c r="I378" s="129"/>
      <c r="J378" s="129"/>
      <c r="K378" s="129"/>
    </row>
    <row r="379" spans="3:11" s="120" customFormat="1" x14ac:dyDescent="0.2">
      <c r="C379" s="391"/>
      <c r="E379" s="129"/>
      <c r="F379" s="129"/>
      <c r="G379" s="129"/>
      <c r="H379" s="129"/>
      <c r="I379" s="129"/>
      <c r="J379" s="129"/>
      <c r="K379" s="129"/>
    </row>
    <row r="380" spans="3:11" s="120" customFormat="1" x14ac:dyDescent="0.2">
      <c r="C380" s="391"/>
      <c r="E380" s="129"/>
      <c r="F380" s="129"/>
      <c r="G380" s="129"/>
      <c r="H380" s="129"/>
      <c r="I380" s="129"/>
      <c r="J380" s="129"/>
      <c r="K380" s="129"/>
    </row>
    <row r="381" spans="3:11" s="120" customFormat="1" x14ac:dyDescent="0.2">
      <c r="C381" s="391"/>
      <c r="E381" s="129"/>
      <c r="F381" s="129"/>
      <c r="G381" s="129"/>
      <c r="H381" s="129"/>
      <c r="I381" s="129"/>
      <c r="J381" s="129"/>
      <c r="K381" s="129"/>
    </row>
    <row r="382" spans="3:11" s="120" customFormat="1" x14ac:dyDescent="0.2">
      <c r="C382" s="391"/>
      <c r="E382" s="129"/>
      <c r="F382" s="129"/>
      <c r="G382" s="129"/>
      <c r="H382" s="129"/>
      <c r="I382" s="129"/>
      <c r="J382" s="129"/>
      <c r="K382" s="129"/>
    </row>
    <row r="383" spans="3:11" s="120" customFormat="1" x14ac:dyDescent="0.2">
      <c r="C383" s="391"/>
      <c r="E383" s="129"/>
      <c r="F383" s="129"/>
      <c r="G383" s="129"/>
      <c r="H383" s="129"/>
      <c r="I383" s="129"/>
      <c r="J383" s="129"/>
      <c r="K383" s="129"/>
    </row>
    <row r="384" spans="3:11" s="120" customFormat="1" x14ac:dyDescent="0.2">
      <c r="C384" s="391"/>
      <c r="E384" s="129"/>
      <c r="F384" s="129"/>
      <c r="G384" s="129"/>
      <c r="H384" s="129"/>
      <c r="I384" s="129"/>
      <c r="J384" s="129"/>
      <c r="K384" s="129"/>
    </row>
    <row r="385" spans="3:11" s="120" customFormat="1" x14ac:dyDescent="0.2">
      <c r="C385" s="391"/>
      <c r="E385" s="129"/>
      <c r="F385" s="129"/>
      <c r="G385" s="129"/>
      <c r="H385" s="129"/>
      <c r="I385" s="129"/>
      <c r="J385" s="129"/>
      <c r="K385" s="129"/>
    </row>
    <row r="386" spans="3:11" s="120" customFormat="1" x14ac:dyDescent="0.2">
      <c r="C386" s="391"/>
      <c r="E386" s="129"/>
      <c r="F386" s="129"/>
      <c r="G386" s="129"/>
      <c r="H386" s="129"/>
      <c r="I386" s="129"/>
      <c r="J386" s="129"/>
      <c r="K386" s="129"/>
    </row>
    <row r="387" spans="3:11" s="120" customFormat="1" x14ac:dyDescent="0.2">
      <c r="C387" s="391"/>
      <c r="E387" s="129"/>
      <c r="F387" s="129"/>
      <c r="G387" s="129"/>
      <c r="H387" s="129"/>
      <c r="I387" s="129"/>
      <c r="J387" s="129"/>
      <c r="K387" s="129"/>
    </row>
    <row r="388" spans="3:11" s="120" customFormat="1" x14ac:dyDescent="0.2">
      <c r="C388" s="391"/>
      <c r="E388" s="129"/>
      <c r="F388" s="129"/>
      <c r="G388" s="129"/>
      <c r="H388" s="129"/>
      <c r="I388" s="129"/>
      <c r="J388" s="129"/>
      <c r="K388" s="129"/>
    </row>
    <row r="389" spans="3:11" s="120" customFormat="1" x14ac:dyDescent="0.2">
      <c r="C389" s="391"/>
      <c r="E389" s="129"/>
      <c r="F389" s="129"/>
      <c r="G389" s="129"/>
      <c r="H389" s="129"/>
      <c r="I389" s="129"/>
      <c r="J389" s="129"/>
      <c r="K389" s="129"/>
    </row>
    <row r="390" spans="3:11" s="120" customFormat="1" x14ac:dyDescent="0.2">
      <c r="C390" s="391"/>
      <c r="E390" s="129"/>
      <c r="F390" s="129"/>
      <c r="G390" s="129"/>
      <c r="H390" s="129"/>
      <c r="I390" s="129"/>
      <c r="J390" s="129"/>
      <c r="K390" s="129"/>
    </row>
    <row r="391" spans="3:11" s="120" customFormat="1" x14ac:dyDescent="0.2">
      <c r="C391" s="391"/>
      <c r="E391" s="129"/>
      <c r="F391" s="129"/>
      <c r="G391" s="129"/>
      <c r="H391" s="129"/>
      <c r="I391" s="129"/>
      <c r="J391" s="129"/>
      <c r="K391" s="129"/>
    </row>
    <row r="392" spans="3:11" s="120" customFormat="1" x14ac:dyDescent="0.2">
      <c r="C392" s="391"/>
      <c r="E392" s="129"/>
      <c r="F392" s="129"/>
      <c r="G392" s="129"/>
      <c r="H392" s="129"/>
      <c r="I392" s="129"/>
      <c r="J392" s="129"/>
      <c r="K392" s="129"/>
    </row>
    <row r="393" spans="3:11" s="120" customFormat="1" x14ac:dyDescent="0.2">
      <c r="C393" s="391"/>
      <c r="E393" s="129"/>
      <c r="F393" s="129"/>
      <c r="G393" s="129"/>
      <c r="H393" s="129"/>
      <c r="I393" s="129"/>
      <c r="J393" s="129"/>
      <c r="K393" s="129"/>
    </row>
    <row r="394" spans="3:11" s="120" customFormat="1" x14ac:dyDescent="0.2">
      <c r="C394" s="391"/>
      <c r="E394" s="129"/>
      <c r="F394" s="129"/>
      <c r="G394" s="129"/>
      <c r="H394" s="129"/>
      <c r="I394" s="129"/>
      <c r="J394" s="129"/>
      <c r="K394" s="129"/>
    </row>
    <row r="395" spans="3:11" s="120" customFormat="1" x14ac:dyDescent="0.2">
      <c r="C395" s="391"/>
      <c r="E395" s="129"/>
      <c r="F395" s="129"/>
      <c r="G395" s="129"/>
      <c r="H395" s="129"/>
      <c r="I395" s="129"/>
      <c r="J395" s="129"/>
      <c r="K395" s="129"/>
    </row>
    <row r="396" spans="3:11" s="120" customFormat="1" x14ac:dyDescent="0.2">
      <c r="C396" s="391"/>
      <c r="E396" s="129"/>
      <c r="F396" s="129"/>
      <c r="G396" s="129"/>
      <c r="H396" s="129"/>
      <c r="I396" s="129"/>
      <c r="J396" s="129"/>
      <c r="K396" s="129"/>
    </row>
    <row r="397" spans="3:11" s="120" customFormat="1" x14ac:dyDescent="0.2">
      <c r="C397" s="391"/>
      <c r="E397" s="129"/>
      <c r="F397" s="129"/>
      <c r="G397" s="129"/>
      <c r="H397" s="129"/>
      <c r="I397" s="129"/>
      <c r="J397" s="129"/>
      <c r="K397" s="129"/>
    </row>
    <row r="398" spans="3:11" s="120" customFormat="1" x14ac:dyDescent="0.2">
      <c r="C398" s="391"/>
      <c r="E398" s="129"/>
      <c r="F398" s="129"/>
      <c r="G398" s="129"/>
      <c r="H398" s="129"/>
      <c r="I398" s="129"/>
      <c r="J398" s="129"/>
      <c r="K398" s="129"/>
    </row>
    <row r="399" spans="3:11" s="120" customFormat="1" x14ac:dyDescent="0.2">
      <c r="C399" s="391"/>
      <c r="E399" s="129"/>
      <c r="F399" s="129"/>
      <c r="G399" s="129"/>
      <c r="H399" s="129"/>
      <c r="I399" s="129"/>
      <c r="J399" s="129"/>
      <c r="K399" s="129"/>
    </row>
    <row r="400" spans="3:11" s="120" customFormat="1" x14ac:dyDescent="0.2">
      <c r="C400" s="391"/>
      <c r="E400" s="129"/>
      <c r="F400" s="129"/>
      <c r="G400" s="129"/>
      <c r="H400" s="129"/>
      <c r="I400" s="129"/>
      <c r="J400" s="129"/>
      <c r="K400" s="129"/>
    </row>
    <row r="401" spans="3:11" s="120" customFormat="1" x14ac:dyDescent="0.2">
      <c r="C401" s="391"/>
      <c r="E401" s="129"/>
      <c r="F401" s="129"/>
      <c r="G401" s="129"/>
      <c r="H401" s="129"/>
      <c r="I401" s="129"/>
      <c r="J401" s="129"/>
      <c r="K401" s="129"/>
    </row>
    <row r="402" spans="3:11" s="120" customFormat="1" x14ac:dyDescent="0.2">
      <c r="C402" s="391"/>
      <c r="E402" s="129"/>
      <c r="F402" s="129"/>
      <c r="G402" s="129"/>
      <c r="H402" s="129"/>
      <c r="I402" s="129"/>
      <c r="J402" s="129"/>
      <c r="K402" s="129"/>
    </row>
    <row r="403" spans="3:11" s="120" customFormat="1" x14ac:dyDescent="0.2">
      <c r="C403" s="391"/>
      <c r="E403" s="129"/>
      <c r="F403" s="129"/>
      <c r="G403" s="129"/>
      <c r="H403" s="129"/>
      <c r="I403" s="129"/>
      <c r="J403" s="129"/>
      <c r="K403" s="129"/>
    </row>
    <row r="404" spans="3:11" s="120" customFormat="1" x14ac:dyDescent="0.2">
      <c r="C404" s="391"/>
      <c r="E404" s="129"/>
      <c r="F404" s="129"/>
      <c r="G404" s="129"/>
      <c r="H404" s="129"/>
      <c r="I404" s="129"/>
      <c r="J404" s="129"/>
      <c r="K404" s="129"/>
    </row>
    <row r="405" spans="3:11" s="120" customFormat="1" x14ac:dyDescent="0.2">
      <c r="C405" s="391"/>
      <c r="E405" s="129"/>
      <c r="F405" s="129"/>
      <c r="G405" s="129"/>
      <c r="H405" s="129"/>
      <c r="I405" s="129"/>
      <c r="J405" s="129"/>
      <c r="K405" s="129"/>
    </row>
    <row r="406" spans="3:11" s="120" customFormat="1" x14ac:dyDescent="0.2">
      <c r="C406" s="391"/>
      <c r="E406" s="129"/>
      <c r="F406" s="129"/>
      <c r="G406" s="129"/>
      <c r="H406" s="129"/>
      <c r="I406" s="129"/>
      <c r="J406" s="129"/>
      <c r="K406" s="129"/>
    </row>
    <row r="407" spans="3:11" s="120" customFormat="1" x14ac:dyDescent="0.2">
      <c r="C407" s="391"/>
      <c r="E407" s="129"/>
      <c r="F407" s="129"/>
      <c r="G407" s="129"/>
      <c r="H407" s="129"/>
      <c r="I407" s="129"/>
      <c r="J407" s="129"/>
      <c r="K407" s="129"/>
    </row>
    <row r="408" spans="3:11" s="120" customFormat="1" x14ac:dyDescent="0.2">
      <c r="C408" s="391"/>
      <c r="E408" s="129"/>
      <c r="F408" s="129"/>
      <c r="G408" s="129"/>
      <c r="H408" s="129"/>
      <c r="I408" s="129"/>
      <c r="J408" s="129"/>
      <c r="K408" s="129"/>
    </row>
    <row r="409" spans="3:11" s="120" customFormat="1" x14ac:dyDescent="0.2">
      <c r="C409" s="391"/>
      <c r="E409" s="129"/>
      <c r="F409" s="129"/>
      <c r="G409" s="129"/>
      <c r="H409" s="129"/>
      <c r="I409" s="129"/>
      <c r="J409" s="129"/>
      <c r="K409" s="129"/>
    </row>
    <row r="410" spans="3:11" s="120" customFormat="1" x14ac:dyDescent="0.2">
      <c r="C410" s="391"/>
      <c r="E410" s="129"/>
      <c r="F410" s="129"/>
      <c r="G410" s="129"/>
      <c r="H410" s="129"/>
      <c r="I410" s="129"/>
      <c r="J410" s="129"/>
      <c r="K410" s="129"/>
    </row>
    <row r="411" spans="3:11" s="120" customFormat="1" x14ac:dyDescent="0.2">
      <c r="C411" s="391"/>
      <c r="E411" s="129"/>
      <c r="F411" s="129"/>
      <c r="G411" s="129"/>
      <c r="H411" s="129"/>
      <c r="I411" s="129"/>
      <c r="J411" s="129"/>
      <c r="K411" s="129"/>
    </row>
    <row r="412" spans="3:11" s="120" customFormat="1" x14ac:dyDescent="0.2">
      <c r="C412" s="391"/>
      <c r="E412" s="129"/>
      <c r="F412" s="129"/>
      <c r="G412" s="129"/>
      <c r="H412" s="129"/>
      <c r="I412" s="129"/>
      <c r="J412" s="129"/>
      <c r="K412" s="129"/>
    </row>
    <row r="413" spans="3:11" s="120" customFormat="1" x14ac:dyDescent="0.2">
      <c r="C413" s="391"/>
      <c r="E413" s="129"/>
      <c r="F413" s="129"/>
      <c r="G413" s="129"/>
      <c r="H413" s="129"/>
      <c r="I413" s="129"/>
      <c r="J413" s="129"/>
      <c r="K413" s="129"/>
    </row>
    <row r="414" spans="3:11" s="120" customFormat="1" x14ac:dyDescent="0.2">
      <c r="C414" s="391"/>
      <c r="E414" s="129"/>
      <c r="F414" s="129"/>
      <c r="G414" s="129"/>
      <c r="H414" s="129"/>
      <c r="I414" s="129"/>
      <c r="J414" s="129"/>
      <c r="K414" s="129"/>
    </row>
    <row r="415" spans="3:11" s="120" customFormat="1" x14ac:dyDescent="0.2">
      <c r="C415" s="391"/>
      <c r="E415" s="129"/>
      <c r="F415" s="129"/>
      <c r="G415" s="129"/>
      <c r="H415" s="129"/>
      <c r="I415" s="129"/>
      <c r="J415" s="129"/>
      <c r="K415" s="129"/>
    </row>
    <row r="416" spans="3:11" s="120" customFormat="1" x14ac:dyDescent="0.2">
      <c r="C416" s="391"/>
      <c r="E416" s="129"/>
      <c r="F416" s="129"/>
      <c r="G416" s="129"/>
      <c r="H416" s="129"/>
      <c r="I416" s="129"/>
      <c r="J416" s="129"/>
      <c r="K416" s="129"/>
    </row>
    <row r="417" spans="3:11" s="120" customFormat="1" x14ac:dyDescent="0.2">
      <c r="C417" s="391"/>
      <c r="E417" s="129"/>
      <c r="F417" s="129"/>
      <c r="G417" s="129"/>
      <c r="H417" s="129"/>
      <c r="I417" s="129"/>
      <c r="J417" s="129"/>
      <c r="K417" s="129"/>
    </row>
    <row r="418" spans="3:11" s="120" customFormat="1" x14ac:dyDescent="0.2">
      <c r="C418" s="391"/>
      <c r="E418" s="129"/>
      <c r="F418" s="129"/>
      <c r="G418" s="129"/>
      <c r="H418" s="129"/>
      <c r="I418" s="129"/>
      <c r="J418" s="129"/>
      <c r="K418" s="129"/>
    </row>
    <row r="419" spans="3:11" s="120" customFormat="1" x14ac:dyDescent="0.2">
      <c r="C419" s="391"/>
      <c r="E419" s="129"/>
      <c r="F419" s="129"/>
      <c r="G419" s="129"/>
      <c r="H419" s="129"/>
      <c r="I419" s="129"/>
      <c r="J419" s="129"/>
      <c r="K419" s="129"/>
    </row>
    <row r="420" spans="3:11" s="120" customFormat="1" x14ac:dyDescent="0.2">
      <c r="C420" s="391"/>
      <c r="E420" s="129"/>
      <c r="F420" s="129"/>
      <c r="G420" s="129"/>
      <c r="H420" s="129"/>
      <c r="I420" s="129"/>
      <c r="J420" s="129"/>
      <c r="K420" s="129"/>
    </row>
    <row r="421" spans="3:11" s="120" customFormat="1" x14ac:dyDescent="0.2">
      <c r="C421" s="391"/>
      <c r="E421" s="129"/>
      <c r="F421" s="129"/>
      <c r="G421" s="129"/>
      <c r="H421" s="129"/>
      <c r="I421" s="129"/>
      <c r="J421" s="129"/>
      <c r="K421" s="129"/>
    </row>
    <row r="422" spans="3:11" s="120" customFormat="1" x14ac:dyDescent="0.2">
      <c r="C422" s="391"/>
      <c r="E422" s="129"/>
      <c r="F422" s="129"/>
      <c r="G422" s="129"/>
      <c r="H422" s="129"/>
      <c r="I422" s="129"/>
      <c r="J422" s="129"/>
      <c r="K422" s="129"/>
    </row>
    <row r="423" spans="3:11" s="120" customFormat="1" x14ac:dyDescent="0.2">
      <c r="C423" s="391"/>
      <c r="E423" s="129"/>
      <c r="F423" s="129"/>
      <c r="G423" s="129"/>
      <c r="H423" s="129"/>
      <c r="I423" s="129"/>
      <c r="J423" s="129"/>
      <c r="K423" s="129"/>
    </row>
    <row r="424" spans="3:11" s="120" customFormat="1" x14ac:dyDescent="0.2">
      <c r="C424" s="391"/>
      <c r="E424" s="129"/>
      <c r="F424" s="129"/>
      <c r="G424" s="129"/>
      <c r="H424" s="129"/>
      <c r="I424" s="129"/>
      <c r="J424" s="129"/>
      <c r="K424" s="129"/>
    </row>
    <row r="425" spans="3:11" s="120" customFormat="1" x14ac:dyDescent="0.2">
      <c r="C425" s="391"/>
      <c r="E425" s="129"/>
      <c r="F425" s="129"/>
      <c r="G425" s="129"/>
      <c r="H425" s="129"/>
      <c r="I425" s="129"/>
      <c r="J425" s="129"/>
      <c r="K425" s="129"/>
    </row>
    <row r="426" spans="3:11" s="120" customFormat="1" x14ac:dyDescent="0.2">
      <c r="C426" s="391"/>
      <c r="E426" s="129"/>
      <c r="F426" s="129"/>
      <c r="G426" s="129"/>
      <c r="H426" s="129"/>
      <c r="I426" s="129"/>
      <c r="J426" s="129"/>
      <c r="K426" s="129"/>
    </row>
    <row r="427" spans="3:11" s="120" customFormat="1" x14ac:dyDescent="0.2">
      <c r="C427" s="391"/>
      <c r="E427" s="129"/>
      <c r="F427" s="129"/>
      <c r="G427" s="129"/>
      <c r="H427" s="129"/>
      <c r="I427" s="129"/>
      <c r="J427" s="129"/>
      <c r="K427" s="129"/>
    </row>
    <row r="428" spans="3:11" s="120" customFormat="1" x14ac:dyDescent="0.2">
      <c r="C428" s="391"/>
      <c r="E428" s="129"/>
      <c r="F428" s="129"/>
      <c r="G428" s="129"/>
      <c r="H428" s="129"/>
      <c r="I428" s="129"/>
      <c r="J428" s="129"/>
      <c r="K428" s="129"/>
    </row>
    <row r="429" spans="3:11" s="120" customFormat="1" x14ac:dyDescent="0.2">
      <c r="C429" s="391"/>
      <c r="E429" s="129"/>
      <c r="F429" s="129"/>
      <c r="G429" s="129"/>
      <c r="H429" s="129"/>
      <c r="I429" s="129"/>
      <c r="J429" s="129"/>
      <c r="K429" s="129"/>
    </row>
    <row r="430" spans="3:11" s="120" customFormat="1" x14ac:dyDescent="0.2">
      <c r="C430" s="391"/>
      <c r="E430" s="129"/>
      <c r="F430" s="129"/>
      <c r="G430" s="129"/>
      <c r="H430" s="129"/>
      <c r="I430" s="129"/>
      <c r="J430" s="129"/>
      <c r="K430" s="129"/>
    </row>
    <row r="431" spans="3:11" s="120" customFormat="1" x14ac:dyDescent="0.2">
      <c r="C431" s="391"/>
      <c r="E431" s="129"/>
      <c r="F431" s="129"/>
      <c r="G431" s="129"/>
      <c r="H431" s="129"/>
      <c r="I431" s="129"/>
      <c r="J431" s="129"/>
      <c r="K431" s="129"/>
    </row>
    <row r="432" spans="3:11" s="120" customFormat="1" x14ac:dyDescent="0.2">
      <c r="C432" s="391"/>
      <c r="E432" s="129"/>
      <c r="F432" s="129"/>
      <c r="G432" s="129"/>
      <c r="H432" s="129"/>
      <c r="I432" s="129"/>
      <c r="J432" s="129"/>
      <c r="K432" s="129"/>
    </row>
    <row r="433" spans="3:11" s="120" customFormat="1" x14ac:dyDescent="0.2">
      <c r="C433" s="391"/>
      <c r="E433" s="129"/>
      <c r="F433" s="129"/>
      <c r="G433" s="129"/>
      <c r="H433" s="129"/>
      <c r="I433" s="129"/>
      <c r="J433" s="129"/>
      <c r="K433" s="129"/>
    </row>
    <row r="434" spans="3:11" s="120" customFormat="1" x14ac:dyDescent="0.2">
      <c r="C434" s="391"/>
      <c r="E434" s="129"/>
      <c r="F434" s="129"/>
      <c r="G434" s="129"/>
      <c r="H434" s="129"/>
      <c r="I434" s="129"/>
      <c r="J434" s="129"/>
      <c r="K434" s="129"/>
    </row>
    <row r="435" spans="3:11" s="120" customFormat="1" x14ac:dyDescent="0.2">
      <c r="C435" s="391"/>
      <c r="E435" s="129"/>
      <c r="F435" s="129"/>
      <c r="G435" s="129"/>
      <c r="H435" s="129"/>
      <c r="I435" s="129"/>
      <c r="J435" s="129"/>
      <c r="K435" s="129"/>
    </row>
    <row r="436" spans="3:11" s="120" customFormat="1" x14ac:dyDescent="0.2">
      <c r="C436" s="391"/>
      <c r="E436" s="129"/>
      <c r="F436" s="129"/>
      <c r="G436" s="129"/>
      <c r="H436" s="129"/>
      <c r="I436" s="129"/>
      <c r="J436" s="129"/>
      <c r="K436" s="129"/>
    </row>
    <row r="437" spans="3:11" s="120" customFormat="1" x14ac:dyDescent="0.2">
      <c r="C437" s="391"/>
      <c r="E437" s="129"/>
      <c r="F437" s="129"/>
      <c r="G437" s="129"/>
      <c r="H437" s="129"/>
      <c r="I437" s="129"/>
      <c r="J437" s="129"/>
      <c r="K437" s="129"/>
    </row>
    <row r="438" spans="3:11" s="120" customFormat="1" x14ac:dyDescent="0.2">
      <c r="C438" s="391"/>
      <c r="E438" s="129"/>
      <c r="F438" s="129"/>
      <c r="G438" s="129"/>
      <c r="H438" s="129"/>
      <c r="I438" s="129"/>
      <c r="J438" s="129"/>
      <c r="K438" s="129"/>
    </row>
    <row r="439" spans="3:11" s="120" customFormat="1" x14ac:dyDescent="0.2">
      <c r="C439" s="391"/>
      <c r="E439" s="129"/>
      <c r="F439" s="129"/>
      <c r="G439" s="129"/>
      <c r="H439" s="129"/>
      <c r="I439" s="129"/>
      <c r="J439" s="129"/>
      <c r="K439" s="129"/>
    </row>
    <row r="440" spans="3:11" s="120" customFormat="1" x14ac:dyDescent="0.2">
      <c r="C440" s="391"/>
      <c r="E440" s="129"/>
      <c r="F440" s="129"/>
      <c r="G440" s="129"/>
      <c r="H440" s="129"/>
      <c r="I440" s="129"/>
      <c r="J440" s="129"/>
      <c r="K440" s="129"/>
    </row>
    <row r="441" spans="3:11" s="120" customFormat="1" x14ac:dyDescent="0.2">
      <c r="C441" s="391"/>
      <c r="E441" s="129"/>
      <c r="F441" s="129"/>
      <c r="G441" s="129"/>
      <c r="H441" s="129"/>
      <c r="I441" s="129"/>
      <c r="J441" s="129"/>
      <c r="K441" s="129"/>
    </row>
    <row r="442" spans="3:11" s="120" customFormat="1" x14ac:dyDescent="0.2">
      <c r="C442" s="391"/>
      <c r="E442" s="129"/>
      <c r="F442" s="129"/>
      <c r="G442" s="129"/>
      <c r="H442" s="129"/>
      <c r="I442" s="129"/>
      <c r="J442" s="129"/>
      <c r="K442" s="129"/>
    </row>
    <row r="443" spans="3:11" s="120" customFormat="1" x14ac:dyDescent="0.2">
      <c r="C443" s="391"/>
      <c r="E443" s="129"/>
      <c r="F443" s="129"/>
      <c r="G443" s="129"/>
      <c r="H443" s="129"/>
      <c r="I443" s="129"/>
      <c r="J443" s="129"/>
      <c r="K443" s="129"/>
    </row>
    <row r="444" spans="3:11" s="120" customFormat="1" x14ac:dyDescent="0.2">
      <c r="C444" s="391"/>
      <c r="E444" s="129"/>
      <c r="F444" s="129"/>
      <c r="G444" s="129"/>
      <c r="H444" s="129"/>
      <c r="I444" s="129"/>
      <c r="J444" s="129"/>
      <c r="K444" s="129"/>
    </row>
    <row r="445" spans="3:11" s="120" customFormat="1" x14ac:dyDescent="0.2">
      <c r="C445" s="391"/>
      <c r="E445" s="129"/>
      <c r="F445" s="129"/>
      <c r="G445" s="129"/>
      <c r="H445" s="129"/>
      <c r="I445" s="129"/>
      <c r="J445" s="129"/>
      <c r="K445" s="129"/>
    </row>
    <row r="446" spans="3:11" s="120" customFormat="1" x14ac:dyDescent="0.2">
      <c r="C446" s="391"/>
      <c r="E446" s="129"/>
      <c r="F446" s="129"/>
      <c r="G446" s="129"/>
      <c r="H446" s="129"/>
      <c r="I446" s="129"/>
      <c r="J446" s="129"/>
      <c r="K446" s="129"/>
    </row>
    <row r="447" spans="3:11" s="120" customFormat="1" x14ac:dyDescent="0.2">
      <c r="C447" s="391"/>
      <c r="E447" s="129"/>
      <c r="F447" s="129"/>
      <c r="G447" s="129"/>
      <c r="H447" s="129"/>
      <c r="I447" s="129"/>
      <c r="J447" s="129"/>
      <c r="K447" s="129"/>
    </row>
    <row r="448" spans="3:11" s="120" customFormat="1" x14ac:dyDescent="0.2">
      <c r="C448" s="391"/>
      <c r="E448" s="129"/>
      <c r="F448" s="129"/>
      <c r="G448" s="129"/>
      <c r="H448" s="129"/>
      <c r="I448" s="129"/>
      <c r="J448" s="129"/>
      <c r="K448" s="129"/>
    </row>
    <row r="449" spans="3:11" s="120" customFormat="1" x14ac:dyDescent="0.2">
      <c r="C449" s="391"/>
      <c r="E449" s="129"/>
      <c r="F449" s="129"/>
      <c r="G449" s="129"/>
      <c r="H449" s="129"/>
      <c r="I449" s="129"/>
      <c r="J449" s="129"/>
      <c r="K449" s="129"/>
    </row>
    <row r="450" spans="3:11" s="120" customFormat="1" x14ac:dyDescent="0.2">
      <c r="C450" s="391"/>
      <c r="E450" s="129"/>
      <c r="F450" s="129"/>
      <c r="G450" s="129"/>
      <c r="H450" s="129"/>
      <c r="I450" s="129"/>
      <c r="J450" s="129"/>
      <c r="K450" s="129"/>
    </row>
    <row r="451" spans="3:11" s="120" customFormat="1" x14ac:dyDescent="0.2">
      <c r="C451" s="391"/>
      <c r="E451" s="129"/>
      <c r="F451" s="129"/>
      <c r="G451" s="129"/>
      <c r="H451" s="129"/>
      <c r="I451" s="129"/>
      <c r="J451" s="129"/>
      <c r="K451" s="129"/>
    </row>
    <row r="452" spans="3:11" s="120" customFormat="1" x14ac:dyDescent="0.2">
      <c r="C452" s="391"/>
      <c r="E452" s="129"/>
      <c r="F452" s="129"/>
      <c r="G452" s="129"/>
      <c r="H452" s="129"/>
      <c r="I452" s="129"/>
      <c r="J452" s="129"/>
      <c r="K452" s="129"/>
    </row>
    <row r="453" spans="3:11" s="120" customFormat="1" x14ac:dyDescent="0.2">
      <c r="C453" s="391"/>
      <c r="E453" s="129"/>
      <c r="F453" s="129"/>
      <c r="G453" s="129"/>
      <c r="H453" s="129"/>
      <c r="I453" s="129"/>
      <c r="J453" s="129"/>
      <c r="K453" s="129"/>
    </row>
    <row r="454" spans="3:11" s="120" customFormat="1" x14ac:dyDescent="0.2">
      <c r="C454" s="391"/>
      <c r="E454" s="129"/>
      <c r="F454" s="129"/>
      <c r="G454" s="129"/>
      <c r="H454" s="129"/>
      <c r="I454" s="129"/>
      <c r="J454" s="129"/>
      <c r="K454" s="129"/>
    </row>
    <row r="455" spans="3:11" s="120" customFormat="1" x14ac:dyDescent="0.2">
      <c r="C455" s="391"/>
      <c r="E455" s="129"/>
      <c r="F455" s="129"/>
      <c r="G455" s="129"/>
      <c r="H455" s="129"/>
      <c r="I455" s="129"/>
      <c r="J455" s="129"/>
      <c r="K455" s="129"/>
    </row>
    <row r="456" spans="3:11" s="120" customFormat="1" x14ac:dyDescent="0.2">
      <c r="C456" s="391"/>
      <c r="E456" s="129"/>
      <c r="F456" s="129"/>
      <c r="G456" s="129"/>
      <c r="H456" s="129"/>
      <c r="I456" s="129"/>
      <c r="J456" s="129"/>
      <c r="K456" s="129"/>
    </row>
    <row r="457" spans="3:11" s="120" customFormat="1" x14ac:dyDescent="0.2">
      <c r="C457" s="391"/>
      <c r="E457" s="129"/>
      <c r="F457" s="129"/>
      <c r="G457" s="129"/>
      <c r="H457" s="129"/>
      <c r="I457" s="129"/>
      <c r="J457" s="129"/>
      <c r="K457" s="129"/>
    </row>
    <row r="458" spans="3:11" s="120" customFormat="1" x14ac:dyDescent="0.2">
      <c r="C458" s="391"/>
      <c r="E458" s="129"/>
      <c r="F458" s="129"/>
      <c r="G458" s="129"/>
      <c r="H458" s="129"/>
      <c r="I458" s="129"/>
      <c r="J458" s="129"/>
      <c r="K458" s="129"/>
    </row>
    <row r="459" spans="3:11" s="120" customFormat="1" x14ac:dyDescent="0.2">
      <c r="C459" s="391"/>
      <c r="E459" s="129"/>
      <c r="F459" s="129"/>
      <c r="G459" s="129"/>
      <c r="H459" s="129"/>
      <c r="I459" s="129"/>
      <c r="J459" s="129"/>
      <c r="K459" s="129"/>
    </row>
    <row r="460" spans="3:11" s="120" customFormat="1" x14ac:dyDescent="0.2">
      <c r="C460" s="391"/>
      <c r="E460" s="129"/>
      <c r="F460" s="129"/>
      <c r="G460" s="129"/>
      <c r="H460" s="129"/>
      <c r="I460" s="129"/>
      <c r="J460" s="129"/>
      <c r="K460" s="129"/>
    </row>
    <row r="461" spans="3:11" s="120" customFormat="1" x14ac:dyDescent="0.2">
      <c r="C461" s="391"/>
      <c r="E461" s="129"/>
      <c r="F461" s="129"/>
      <c r="G461" s="129"/>
      <c r="H461" s="129"/>
      <c r="I461" s="129"/>
      <c r="J461" s="129"/>
      <c r="K461" s="129"/>
    </row>
    <row r="462" spans="3:11" s="120" customFormat="1" x14ac:dyDescent="0.2">
      <c r="C462" s="391"/>
      <c r="E462" s="129"/>
      <c r="F462" s="129"/>
      <c r="G462" s="129"/>
      <c r="H462" s="129"/>
      <c r="I462" s="129"/>
      <c r="J462" s="129"/>
      <c r="K462" s="129"/>
    </row>
    <row r="463" spans="3:11" s="120" customFormat="1" x14ac:dyDescent="0.2">
      <c r="C463" s="391"/>
      <c r="E463" s="129"/>
      <c r="F463" s="129"/>
      <c r="G463" s="129"/>
      <c r="H463" s="129"/>
      <c r="I463" s="129"/>
      <c r="J463" s="129"/>
      <c r="K463" s="129"/>
    </row>
    <row r="464" spans="3:11" s="120" customFormat="1" x14ac:dyDescent="0.2">
      <c r="C464" s="391"/>
      <c r="E464" s="129"/>
      <c r="F464" s="129"/>
      <c r="G464" s="129"/>
      <c r="H464" s="129"/>
      <c r="I464" s="129"/>
      <c r="J464" s="129"/>
      <c r="K464" s="129"/>
    </row>
    <row r="465" spans="3:11" s="120" customFormat="1" x14ac:dyDescent="0.2">
      <c r="C465" s="391"/>
      <c r="E465" s="129"/>
      <c r="F465" s="129"/>
      <c r="G465" s="129"/>
      <c r="H465" s="129"/>
      <c r="I465" s="129"/>
      <c r="J465" s="129"/>
      <c r="K465" s="129"/>
    </row>
    <row r="466" spans="3:11" s="120" customFormat="1" x14ac:dyDescent="0.2">
      <c r="C466" s="391"/>
      <c r="E466" s="129"/>
      <c r="F466" s="129"/>
      <c r="G466" s="129"/>
      <c r="H466" s="129"/>
      <c r="I466" s="129"/>
      <c r="J466" s="129"/>
      <c r="K466" s="129"/>
    </row>
    <row r="467" spans="3:11" s="120" customFormat="1" x14ac:dyDescent="0.2">
      <c r="C467" s="391"/>
      <c r="E467" s="129"/>
      <c r="F467" s="129"/>
      <c r="G467" s="129"/>
      <c r="H467" s="129"/>
      <c r="I467" s="129"/>
      <c r="J467" s="129"/>
      <c r="K467" s="129"/>
    </row>
    <row r="468" spans="3:11" s="120" customFormat="1" x14ac:dyDescent="0.2">
      <c r="C468" s="391"/>
      <c r="E468" s="129"/>
      <c r="F468" s="129"/>
      <c r="G468" s="129"/>
      <c r="H468" s="129"/>
      <c r="I468" s="129"/>
      <c r="J468" s="129"/>
      <c r="K468" s="129"/>
    </row>
    <row r="469" spans="3:11" s="120" customFormat="1" x14ac:dyDescent="0.2">
      <c r="C469" s="391"/>
      <c r="E469" s="129"/>
      <c r="F469" s="129"/>
      <c r="G469" s="129"/>
      <c r="H469" s="129"/>
      <c r="I469" s="129"/>
      <c r="J469" s="129"/>
      <c r="K469" s="129"/>
    </row>
    <row r="470" spans="3:11" s="120" customFormat="1" x14ac:dyDescent="0.2">
      <c r="C470" s="391"/>
      <c r="E470" s="129"/>
      <c r="F470" s="129"/>
      <c r="G470" s="129"/>
      <c r="H470" s="129"/>
      <c r="I470" s="129"/>
      <c r="J470" s="129"/>
      <c r="K470" s="129"/>
    </row>
    <row r="471" spans="3:11" s="120" customFormat="1" x14ac:dyDescent="0.2">
      <c r="C471" s="391"/>
      <c r="E471" s="129"/>
      <c r="F471" s="129"/>
      <c r="G471" s="129"/>
      <c r="H471" s="129"/>
      <c r="I471" s="129"/>
      <c r="J471" s="129"/>
      <c r="K471" s="129"/>
    </row>
    <row r="472" spans="3:11" s="120" customFormat="1" x14ac:dyDescent="0.2">
      <c r="C472" s="391"/>
      <c r="E472" s="129"/>
      <c r="F472" s="129"/>
      <c r="G472" s="129"/>
      <c r="H472" s="129"/>
      <c r="I472" s="129"/>
      <c r="J472" s="129"/>
      <c r="K472" s="129"/>
    </row>
    <row r="473" spans="3:11" s="120" customFormat="1" x14ac:dyDescent="0.2">
      <c r="C473" s="391"/>
      <c r="E473" s="129"/>
      <c r="F473" s="129"/>
      <c r="G473" s="129"/>
      <c r="H473" s="129"/>
      <c r="I473" s="129"/>
      <c r="J473" s="129"/>
      <c r="K473" s="129"/>
    </row>
    <row r="474" spans="3:11" s="120" customFormat="1" x14ac:dyDescent="0.2">
      <c r="C474" s="391"/>
      <c r="E474" s="129"/>
      <c r="F474" s="129"/>
      <c r="G474" s="129"/>
      <c r="H474" s="129"/>
      <c r="I474" s="129"/>
      <c r="J474" s="129"/>
      <c r="K474" s="129"/>
    </row>
    <row r="475" spans="3:11" s="120" customFormat="1" x14ac:dyDescent="0.2">
      <c r="C475" s="391"/>
      <c r="E475" s="129"/>
      <c r="F475" s="129"/>
      <c r="G475" s="129"/>
      <c r="H475" s="129"/>
      <c r="I475" s="129"/>
      <c r="J475" s="129"/>
      <c r="K475" s="129"/>
    </row>
    <row r="476" spans="3:11" s="120" customFormat="1" x14ac:dyDescent="0.2">
      <c r="C476" s="391"/>
      <c r="E476" s="129"/>
      <c r="F476" s="129"/>
      <c r="G476" s="129"/>
      <c r="H476" s="129"/>
      <c r="I476" s="129"/>
      <c r="J476" s="129"/>
      <c r="K476" s="129"/>
    </row>
    <row r="477" spans="3:11" s="120" customFormat="1" x14ac:dyDescent="0.2">
      <c r="C477" s="391"/>
      <c r="E477" s="129"/>
      <c r="F477" s="129"/>
      <c r="G477" s="129"/>
      <c r="H477" s="129"/>
      <c r="I477" s="129"/>
      <c r="J477" s="129"/>
      <c r="K477" s="129"/>
    </row>
    <row r="478" spans="3:11" s="120" customFormat="1" x14ac:dyDescent="0.2">
      <c r="C478" s="391"/>
      <c r="E478" s="129"/>
      <c r="F478" s="129"/>
      <c r="G478" s="129"/>
      <c r="H478" s="129"/>
      <c r="I478" s="129"/>
      <c r="J478" s="129"/>
      <c r="K478" s="129"/>
    </row>
    <row r="479" spans="3:11" s="120" customFormat="1" x14ac:dyDescent="0.2">
      <c r="C479" s="391"/>
      <c r="E479" s="129"/>
      <c r="F479" s="129"/>
      <c r="G479" s="129"/>
      <c r="H479" s="129"/>
      <c r="I479" s="129"/>
      <c r="J479" s="129"/>
      <c r="K479" s="129"/>
    </row>
    <row r="480" spans="3:11" s="120" customFormat="1" x14ac:dyDescent="0.2">
      <c r="C480" s="391"/>
      <c r="E480" s="129"/>
      <c r="F480" s="129"/>
      <c r="G480" s="129"/>
      <c r="H480" s="129"/>
      <c r="I480" s="129"/>
      <c r="J480" s="129"/>
      <c r="K480" s="129"/>
    </row>
    <row r="481" spans="3:11" s="120" customFormat="1" x14ac:dyDescent="0.2">
      <c r="C481" s="391"/>
      <c r="E481" s="129"/>
      <c r="F481" s="129"/>
      <c r="G481" s="129"/>
      <c r="H481" s="129"/>
      <c r="I481" s="129"/>
      <c r="J481" s="129"/>
      <c r="K481" s="129"/>
    </row>
    <row r="482" spans="3:11" s="120" customFormat="1" x14ac:dyDescent="0.2">
      <c r="C482" s="391"/>
      <c r="E482" s="129"/>
      <c r="F482" s="129"/>
      <c r="G482" s="129"/>
      <c r="H482" s="129"/>
      <c r="I482" s="129"/>
      <c r="J482" s="129"/>
      <c r="K482" s="129"/>
    </row>
    <row r="483" spans="3:11" s="120" customFormat="1" x14ac:dyDescent="0.2">
      <c r="C483" s="391"/>
      <c r="E483" s="129"/>
      <c r="F483" s="129"/>
      <c r="G483" s="129"/>
      <c r="H483" s="129"/>
      <c r="I483" s="129"/>
      <c r="J483" s="129"/>
      <c r="K483" s="129"/>
    </row>
    <row r="484" spans="3:11" s="120" customFormat="1" x14ac:dyDescent="0.2">
      <c r="C484" s="391"/>
      <c r="E484" s="129"/>
      <c r="F484" s="129"/>
      <c r="G484" s="129"/>
      <c r="H484" s="129"/>
      <c r="I484" s="129"/>
      <c r="J484" s="129"/>
      <c r="K484" s="129"/>
    </row>
    <row r="485" spans="3:11" s="120" customFormat="1" x14ac:dyDescent="0.2">
      <c r="C485" s="391"/>
      <c r="E485" s="129"/>
      <c r="F485" s="129"/>
      <c r="G485" s="129"/>
      <c r="H485" s="129"/>
      <c r="I485" s="129"/>
      <c r="J485" s="129"/>
      <c r="K485" s="129"/>
    </row>
    <row r="486" spans="3:11" s="120" customFormat="1" x14ac:dyDescent="0.2">
      <c r="C486" s="391"/>
      <c r="E486" s="129"/>
      <c r="F486" s="129"/>
      <c r="G486" s="129"/>
      <c r="H486" s="129"/>
      <c r="I486" s="129"/>
      <c r="J486" s="129"/>
      <c r="K486" s="129"/>
    </row>
    <row r="487" spans="3:11" s="120" customFormat="1" x14ac:dyDescent="0.2">
      <c r="C487" s="391"/>
      <c r="E487" s="129"/>
      <c r="F487" s="129"/>
      <c r="G487" s="129"/>
      <c r="H487" s="129"/>
      <c r="I487" s="129"/>
      <c r="J487" s="129"/>
      <c r="K487" s="129"/>
    </row>
    <row r="488" spans="3:11" s="120" customFormat="1" x14ac:dyDescent="0.2">
      <c r="C488" s="391"/>
      <c r="E488" s="129"/>
      <c r="F488" s="129"/>
      <c r="G488" s="129"/>
      <c r="H488" s="129"/>
      <c r="I488" s="129"/>
      <c r="J488" s="129"/>
      <c r="K488" s="129"/>
    </row>
    <row r="489" spans="3:11" s="120" customFormat="1" x14ac:dyDescent="0.2">
      <c r="C489" s="391"/>
      <c r="E489" s="129"/>
      <c r="F489" s="129"/>
      <c r="G489" s="129"/>
      <c r="H489" s="129"/>
      <c r="I489" s="129"/>
      <c r="J489" s="129"/>
      <c r="K489" s="129"/>
    </row>
    <row r="490" spans="3:11" s="120" customFormat="1" x14ac:dyDescent="0.2">
      <c r="C490" s="391"/>
      <c r="E490" s="129"/>
      <c r="F490" s="129"/>
      <c r="G490" s="129"/>
      <c r="H490" s="129"/>
      <c r="I490" s="129"/>
      <c r="J490" s="129"/>
      <c r="K490" s="129"/>
    </row>
    <row r="491" spans="3:11" s="120" customFormat="1" x14ac:dyDescent="0.2">
      <c r="C491" s="391"/>
      <c r="E491" s="129"/>
      <c r="F491" s="129"/>
      <c r="G491" s="129"/>
      <c r="H491" s="129"/>
      <c r="I491" s="129"/>
      <c r="J491" s="129"/>
      <c r="K491" s="129"/>
    </row>
    <row r="492" spans="3:11" s="120" customFormat="1" x14ac:dyDescent="0.2">
      <c r="C492" s="391"/>
      <c r="E492" s="129"/>
      <c r="F492" s="129"/>
      <c r="G492" s="129"/>
      <c r="H492" s="129"/>
      <c r="I492" s="129"/>
      <c r="J492" s="129"/>
      <c r="K492" s="129"/>
    </row>
    <row r="493" spans="3:11" s="120" customFormat="1" x14ac:dyDescent="0.2">
      <c r="C493" s="391"/>
      <c r="E493" s="129"/>
      <c r="F493" s="129"/>
      <c r="G493" s="129"/>
      <c r="H493" s="129"/>
      <c r="I493" s="129"/>
      <c r="J493" s="129"/>
      <c r="K493" s="129"/>
    </row>
    <row r="494" spans="3:11" s="120" customFormat="1" x14ac:dyDescent="0.2">
      <c r="C494" s="391"/>
      <c r="E494" s="129"/>
      <c r="F494" s="129"/>
      <c r="G494" s="129"/>
      <c r="H494" s="129"/>
      <c r="I494" s="129"/>
      <c r="J494" s="129"/>
      <c r="K494" s="129"/>
    </row>
    <row r="495" spans="3:11" s="120" customFormat="1" x14ac:dyDescent="0.2">
      <c r="C495" s="391"/>
      <c r="E495" s="129"/>
      <c r="F495" s="129"/>
      <c r="G495" s="129"/>
      <c r="H495" s="129"/>
      <c r="I495" s="129"/>
      <c r="J495" s="129"/>
      <c r="K495" s="129"/>
    </row>
    <row r="496" spans="3:11" s="120" customFormat="1" x14ac:dyDescent="0.2">
      <c r="C496" s="391"/>
      <c r="E496" s="129"/>
      <c r="F496" s="129"/>
      <c r="G496" s="129"/>
      <c r="H496" s="129"/>
      <c r="I496" s="129"/>
      <c r="J496" s="129"/>
      <c r="K496" s="129"/>
    </row>
    <row r="497" spans="3:11" s="120" customFormat="1" x14ac:dyDescent="0.2">
      <c r="C497" s="391"/>
      <c r="E497" s="129"/>
      <c r="F497" s="129"/>
      <c r="G497" s="129"/>
      <c r="H497" s="129"/>
      <c r="I497" s="129"/>
      <c r="J497" s="129"/>
      <c r="K497" s="129"/>
    </row>
    <row r="498" spans="3:11" s="120" customFormat="1" x14ac:dyDescent="0.2">
      <c r="C498" s="391"/>
      <c r="E498" s="129"/>
      <c r="F498" s="129"/>
      <c r="G498" s="129"/>
      <c r="H498" s="129"/>
      <c r="I498" s="129"/>
      <c r="J498" s="129"/>
      <c r="K498" s="129"/>
    </row>
    <row r="499" spans="3:11" s="120" customFormat="1" x14ac:dyDescent="0.2">
      <c r="C499" s="391"/>
      <c r="E499" s="129"/>
      <c r="F499" s="129"/>
      <c r="G499" s="129"/>
      <c r="H499" s="129"/>
      <c r="I499" s="129"/>
      <c r="J499" s="129"/>
      <c r="K499" s="129"/>
    </row>
    <row r="500" spans="3:11" s="120" customFormat="1" x14ac:dyDescent="0.2">
      <c r="C500" s="391"/>
      <c r="E500" s="129"/>
      <c r="F500" s="129"/>
      <c r="G500" s="129"/>
      <c r="H500" s="129"/>
      <c r="I500" s="129"/>
      <c r="J500" s="129"/>
      <c r="K500" s="129"/>
    </row>
    <row r="501" spans="3:11" s="120" customFormat="1" x14ac:dyDescent="0.2">
      <c r="C501" s="391"/>
      <c r="E501" s="129"/>
      <c r="F501" s="129"/>
      <c r="G501" s="129"/>
      <c r="H501" s="129"/>
      <c r="I501" s="129"/>
      <c r="J501" s="129"/>
      <c r="K501" s="129"/>
    </row>
    <row r="502" spans="3:11" s="120" customFormat="1" x14ac:dyDescent="0.2">
      <c r="C502" s="391"/>
      <c r="E502" s="129"/>
      <c r="F502" s="129"/>
      <c r="G502" s="129"/>
      <c r="H502" s="129"/>
      <c r="I502" s="129"/>
      <c r="J502" s="129"/>
      <c r="K502" s="129"/>
    </row>
    <row r="503" spans="3:11" s="120" customFormat="1" x14ac:dyDescent="0.2">
      <c r="C503" s="391"/>
      <c r="E503" s="129"/>
      <c r="F503" s="129"/>
      <c r="G503" s="129"/>
      <c r="H503" s="129"/>
      <c r="I503" s="129"/>
      <c r="J503" s="129"/>
      <c r="K503" s="129"/>
    </row>
    <row r="504" spans="3:11" s="120" customFormat="1" x14ac:dyDescent="0.2">
      <c r="C504" s="391"/>
      <c r="E504" s="129"/>
      <c r="F504" s="129"/>
      <c r="G504" s="129"/>
      <c r="H504" s="129"/>
      <c r="I504" s="129"/>
      <c r="J504" s="129"/>
      <c r="K504" s="129"/>
    </row>
    <row r="505" spans="3:11" s="120" customFormat="1" x14ac:dyDescent="0.2">
      <c r="C505" s="391"/>
      <c r="E505" s="129"/>
      <c r="F505" s="129"/>
      <c r="G505" s="129"/>
      <c r="H505" s="129"/>
      <c r="I505" s="129"/>
      <c r="J505" s="129"/>
      <c r="K505" s="129"/>
    </row>
    <row r="506" spans="3:11" s="120" customFormat="1" x14ac:dyDescent="0.2">
      <c r="C506" s="391"/>
      <c r="E506" s="129"/>
      <c r="F506" s="129"/>
      <c r="G506" s="129"/>
      <c r="H506" s="129"/>
      <c r="I506" s="129"/>
      <c r="J506" s="129"/>
      <c r="K506" s="129"/>
    </row>
    <row r="507" spans="3:11" s="120" customFormat="1" x14ac:dyDescent="0.2">
      <c r="C507" s="391"/>
      <c r="E507" s="129"/>
      <c r="F507" s="129"/>
      <c r="G507" s="129"/>
      <c r="H507" s="129"/>
      <c r="I507" s="129"/>
      <c r="J507" s="129"/>
      <c r="K507" s="129"/>
    </row>
    <row r="508" spans="3:11" s="120" customFormat="1" x14ac:dyDescent="0.2">
      <c r="C508" s="391"/>
      <c r="E508" s="129"/>
      <c r="F508" s="129"/>
      <c r="G508" s="129"/>
      <c r="H508" s="129"/>
      <c r="I508" s="129"/>
      <c r="J508" s="129"/>
      <c r="K508" s="129"/>
    </row>
    <row r="509" spans="3:11" s="120" customFormat="1" x14ac:dyDescent="0.2">
      <c r="C509" s="391"/>
      <c r="E509" s="129"/>
      <c r="F509" s="129"/>
      <c r="G509" s="129"/>
      <c r="H509" s="129"/>
      <c r="I509" s="129"/>
      <c r="J509" s="129"/>
      <c r="K509" s="129"/>
    </row>
    <row r="510" spans="3:11" s="120" customFormat="1" x14ac:dyDescent="0.2">
      <c r="C510" s="391"/>
      <c r="E510" s="129"/>
      <c r="F510" s="129"/>
      <c r="G510" s="129"/>
      <c r="H510" s="129"/>
      <c r="I510" s="129"/>
      <c r="J510" s="129"/>
      <c r="K510" s="129"/>
    </row>
    <row r="511" spans="3:11" s="120" customFormat="1" x14ac:dyDescent="0.2">
      <c r="C511" s="391"/>
      <c r="E511" s="129"/>
      <c r="F511" s="129"/>
      <c r="G511" s="129"/>
      <c r="H511" s="129"/>
      <c r="I511" s="129"/>
      <c r="J511" s="129"/>
      <c r="K511" s="129"/>
    </row>
    <row r="512" spans="3:11" s="120" customFormat="1" x14ac:dyDescent="0.2">
      <c r="C512" s="391"/>
      <c r="E512" s="129"/>
      <c r="F512" s="129"/>
      <c r="G512" s="129"/>
      <c r="H512" s="129"/>
      <c r="I512" s="129"/>
      <c r="J512" s="129"/>
      <c r="K512" s="129"/>
    </row>
    <row r="513" spans="3:11" s="120" customFormat="1" x14ac:dyDescent="0.2">
      <c r="C513" s="391"/>
      <c r="E513" s="129"/>
      <c r="F513" s="129"/>
      <c r="G513" s="129"/>
      <c r="H513" s="129"/>
      <c r="I513" s="129"/>
      <c r="J513" s="129"/>
      <c r="K513" s="129"/>
    </row>
    <row r="514" spans="3:11" s="120" customFormat="1" x14ac:dyDescent="0.2">
      <c r="C514" s="391"/>
      <c r="E514" s="129"/>
      <c r="F514" s="129"/>
      <c r="G514" s="129"/>
      <c r="H514" s="129"/>
      <c r="I514" s="129"/>
      <c r="J514" s="129"/>
      <c r="K514" s="129"/>
    </row>
    <row r="515" spans="3:11" s="120" customFormat="1" x14ac:dyDescent="0.2">
      <c r="C515" s="391"/>
      <c r="E515" s="129"/>
      <c r="F515" s="129"/>
      <c r="G515" s="129"/>
      <c r="H515" s="129"/>
      <c r="I515" s="129"/>
      <c r="J515" s="129"/>
      <c r="K515" s="129"/>
    </row>
    <row r="516" spans="3:11" s="120" customFormat="1" x14ac:dyDescent="0.2">
      <c r="C516" s="391"/>
      <c r="E516" s="129"/>
      <c r="F516" s="129"/>
      <c r="G516" s="129"/>
      <c r="H516" s="129"/>
      <c r="I516" s="129"/>
      <c r="J516" s="129"/>
      <c r="K516" s="129"/>
    </row>
    <row r="517" spans="3:11" s="120" customFormat="1" x14ac:dyDescent="0.2">
      <c r="C517" s="391"/>
      <c r="E517" s="129"/>
      <c r="F517" s="129"/>
      <c r="G517" s="129"/>
      <c r="H517" s="129"/>
      <c r="I517" s="129"/>
      <c r="J517" s="129"/>
      <c r="K517" s="129"/>
    </row>
    <row r="518" spans="3:11" s="120" customFormat="1" x14ac:dyDescent="0.2">
      <c r="C518" s="391"/>
      <c r="E518" s="129"/>
      <c r="F518" s="129"/>
      <c r="G518" s="129"/>
      <c r="H518" s="129"/>
      <c r="I518" s="129"/>
      <c r="J518" s="129"/>
      <c r="K518" s="129"/>
    </row>
    <row r="519" spans="3:11" s="120" customFormat="1" x14ac:dyDescent="0.2">
      <c r="C519" s="391"/>
      <c r="E519" s="129"/>
      <c r="F519" s="129"/>
      <c r="G519" s="129"/>
      <c r="H519" s="129"/>
      <c r="I519" s="129"/>
      <c r="J519" s="129"/>
      <c r="K519" s="129"/>
    </row>
    <row r="520" spans="3:11" s="120" customFormat="1" x14ac:dyDescent="0.2">
      <c r="C520" s="391"/>
      <c r="E520" s="129"/>
      <c r="F520" s="129"/>
      <c r="G520" s="129"/>
      <c r="H520" s="129"/>
      <c r="I520" s="129"/>
      <c r="J520" s="129"/>
      <c r="K520" s="129"/>
    </row>
    <row r="521" spans="3:11" s="120" customFormat="1" x14ac:dyDescent="0.2">
      <c r="C521" s="391"/>
      <c r="E521" s="129"/>
      <c r="F521" s="129"/>
      <c r="G521" s="129"/>
      <c r="H521" s="129"/>
      <c r="I521" s="129"/>
      <c r="J521" s="129"/>
      <c r="K521" s="129"/>
    </row>
    <row r="522" spans="3:11" s="120" customFormat="1" x14ac:dyDescent="0.2">
      <c r="C522" s="391"/>
      <c r="E522" s="129"/>
      <c r="F522" s="129"/>
      <c r="G522" s="129"/>
      <c r="H522" s="129"/>
      <c r="I522" s="129"/>
      <c r="J522" s="129"/>
      <c r="K522" s="129"/>
    </row>
    <row r="523" spans="3:11" s="120" customFormat="1" x14ac:dyDescent="0.2">
      <c r="C523" s="391"/>
      <c r="E523" s="129"/>
      <c r="F523" s="129"/>
      <c r="G523" s="129"/>
      <c r="H523" s="129"/>
      <c r="I523" s="129"/>
      <c r="J523" s="129"/>
      <c r="K523" s="129"/>
    </row>
    <row r="524" spans="3:11" s="120" customFormat="1" x14ac:dyDescent="0.2">
      <c r="C524" s="391"/>
      <c r="E524" s="129"/>
      <c r="F524" s="129"/>
      <c r="G524" s="129"/>
      <c r="H524" s="129"/>
      <c r="I524" s="129"/>
      <c r="J524" s="129"/>
      <c r="K524" s="129"/>
    </row>
    <row r="525" spans="3:11" s="120" customFormat="1" x14ac:dyDescent="0.2">
      <c r="C525" s="391"/>
      <c r="E525" s="129"/>
      <c r="F525" s="129"/>
      <c r="G525" s="129"/>
      <c r="H525" s="129"/>
      <c r="I525" s="129"/>
      <c r="J525" s="129"/>
      <c r="K525" s="129"/>
    </row>
    <row r="526" spans="3:11" s="120" customFormat="1" x14ac:dyDescent="0.2">
      <c r="C526" s="391"/>
      <c r="E526" s="129"/>
      <c r="F526" s="129"/>
      <c r="G526" s="129"/>
      <c r="H526" s="129"/>
      <c r="I526" s="129"/>
      <c r="J526" s="129"/>
      <c r="K526" s="129"/>
    </row>
    <row r="527" spans="3:11" s="120" customFormat="1" x14ac:dyDescent="0.2">
      <c r="C527" s="391"/>
      <c r="E527" s="129"/>
      <c r="F527" s="129"/>
      <c r="G527" s="129"/>
      <c r="H527" s="129"/>
      <c r="I527" s="129"/>
      <c r="J527" s="129"/>
      <c r="K527" s="129"/>
    </row>
    <row r="528" spans="3:11" s="120" customFormat="1" x14ac:dyDescent="0.2">
      <c r="C528" s="391"/>
      <c r="E528" s="129"/>
      <c r="F528" s="129"/>
      <c r="G528" s="129"/>
      <c r="H528" s="129"/>
      <c r="I528" s="129"/>
      <c r="J528" s="129"/>
      <c r="K528" s="129"/>
    </row>
    <row r="529" spans="3:11" s="120" customFormat="1" x14ac:dyDescent="0.2">
      <c r="C529" s="391"/>
      <c r="E529" s="129"/>
      <c r="F529" s="129"/>
      <c r="G529" s="129"/>
      <c r="H529" s="129"/>
      <c r="I529" s="129"/>
      <c r="J529" s="129"/>
      <c r="K529" s="129"/>
    </row>
    <row r="530" spans="3:11" s="120" customFormat="1" x14ac:dyDescent="0.2">
      <c r="C530" s="391"/>
      <c r="E530" s="129"/>
      <c r="F530" s="129"/>
      <c r="G530" s="129"/>
      <c r="H530" s="129"/>
      <c r="I530" s="129"/>
      <c r="J530" s="129"/>
      <c r="K530" s="129"/>
    </row>
    <row r="531" spans="3:11" s="120" customFormat="1" x14ac:dyDescent="0.2">
      <c r="C531" s="391"/>
      <c r="E531" s="129"/>
      <c r="F531" s="129"/>
      <c r="G531" s="129"/>
      <c r="H531" s="129"/>
      <c r="I531" s="129"/>
      <c r="J531" s="129"/>
      <c r="K531" s="129"/>
    </row>
    <row r="532" spans="3:11" s="120" customFormat="1" x14ac:dyDescent="0.2">
      <c r="C532" s="391"/>
      <c r="E532" s="129"/>
      <c r="F532" s="129"/>
      <c r="G532" s="129"/>
      <c r="H532" s="129"/>
      <c r="I532" s="129"/>
      <c r="J532" s="129"/>
      <c r="K532" s="129"/>
    </row>
    <row r="533" spans="3:11" s="120" customFormat="1" x14ac:dyDescent="0.2">
      <c r="C533" s="391"/>
      <c r="E533" s="129"/>
      <c r="F533" s="129"/>
      <c r="G533" s="129"/>
      <c r="H533" s="129"/>
      <c r="I533" s="129"/>
      <c r="J533" s="129"/>
      <c r="K533" s="129"/>
    </row>
    <row r="534" spans="3:11" s="120" customFormat="1" x14ac:dyDescent="0.2">
      <c r="C534" s="391"/>
      <c r="E534" s="129"/>
      <c r="F534" s="129"/>
      <c r="G534" s="129"/>
      <c r="H534" s="129"/>
      <c r="I534" s="129"/>
      <c r="J534" s="129"/>
      <c r="K534" s="129"/>
    </row>
    <row r="535" spans="3:11" s="120" customFormat="1" x14ac:dyDescent="0.2">
      <c r="C535" s="391"/>
      <c r="E535" s="129"/>
      <c r="F535" s="129"/>
      <c r="G535" s="129"/>
      <c r="H535" s="129"/>
      <c r="I535" s="129"/>
      <c r="J535" s="129"/>
      <c r="K535" s="129"/>
    </row>
    <row r="536" spans="3:11" s="120" customFormat="1" x14ac:dyDescent="0.2">
      <c r="C536" s="391"/>
      <c r="E536" s="129"/>
      <c r="F536" s="129"/>
      <c r="G536" s="129"/>
      <c r="H536" s="129"/>
      <c r="I536" s="129"/>
      <c r="J536" s="129"/>
      <c r="K536" s="129"/>
    </row>
    <row r="537" spans="3:11" s="120" customFormat="1" x14ac:dyDescent="0.2">
      <c r="C537" s="391"/>
      <c r="E537" s="129"/>
      <c r="F537" s="129"/>
      <c r="G537" s="129"/>
      <c r="H537" s="129"/>
      <c r="I537" s="129"/>
      <c r="J537" s="129"/>
      <c r="K537" s="129"/>
    </row>
    <row r="538" spans="3:11" s="120" customFormat="1" x14ac:dyDescent="0.2">
      <c r="C538" s="391"/>
      <c r="E538" s="129"/>
      <c r="F538" s="129"/>
      <c r="G538" s="129"/>
      <c r="H538" s="129"/>
      <c r="I538" s="129"/>
      <c r="J538" s="129"/>
      <c r="K538" s="129"/>
    </row>
    <row r="539" spans="3:11" s="120" customFormat="1" x14ac:dyDescent="0.2">
      <c r="C539" s="391"/>
      <c r="E539" s="129"/>
      <c r="F539" s="129"/>
      <c r="G539" s="129"/>
      <c r="H539" s="129"/>
      <c r="I539" s="129"/>
      <c r="J539" s="129"/>
      <c r="K539" s="129"/>
    </row>
    <row r="540" spans="3:11" s="120" customFormat="1" x14ac:dyDescent="0.2">
      <c r="C540" s="391"/>
      <c r="E540" s="129"/>
      <c r="F540" s="129"/>
      <c r="G540" s="129"/>
      <c r="H540" s="129"/>
      <c r="I540" s="129"/>
      <c r="J540" s="129"/>
      <c r="K540" s="129"/>
    </row>
    <row r="541" spans="3:11" s="120" customFormat="1" x14ac:dyDescent="0.2">
      <c r="C541" s="391"/>
      <c r="E541" s="129"/>
      <c r="F541" s="129"/>
      <c r="G541" s="129"/>
      <c r="H541" s="129"/>
      <c r="I541" s="129"/>
      <c r="J541" s="129"/>
      <c r="K541" s="129"/>
    </row>
    <row r="542" spans="3:11" s="120" customFormat="1" x14ac:dyDescent="0.2">
      <c r="C542" s="391"/>
      <c r="E542" s="129"/>
      <c r="F542" s="129"/>
      <c r="G542" s="129"/>
      <c r="H542" s="129"/>
      <c r="I542" s="129"/>
      <c r="J542" s="129"/>
      <c r="K542" s="129"/>
    </row>
    <row r="543" spans="3:11" s="120" customFormat="1" x14ac:dyDescent="0.2">
      <c r="C543" s="391"/>
      <c r="E543" s="129"/>
      <c r="F543" s="129"/>
      <c r="G543" s="129"/>
      <c r="H543" s="129"/>
      <c r="I543" s="129"/>
      <c r="J543" s="129"/>
      <c r="K543" s="129"/>
    </row>
    <row r="544" spans="3:11" s="120" customFormat="1" x14ac:dyDescent="0.2">
      <c r="C544" s="391"/>
      <c r="E544" s="129"/>
      <c r="F544" s="129"/>
      <c r="G544" s="129"/>
      <c r="H544" s="129"/>
      <c r="I544" s="129"/>
      <c r="J544" s="129"/>
      <c r="K544" s="129"/>
    </row>
    <row r="545" spans="3:11" s="120" customFormat="1" x14ac:dyDescent="0.2">
      <c r="C545" s="391"/>
      <c r="E545" s="129"/>
      <c r="F545" s="129"/>
      <c r="G545" s="129"/>
      <c r="H545" s="129"/>
      <c r="I545" s="129"/>
      <c r="J545" s="129"/>
      <c r="K545" s="129"/>
    </row>
    <row r="546" spans="3:11" s="120" customFormat="1" x14ac:dyDescent="0.2">
      <c r="C546" s="391"/>
      <c r="E546" s="129"/>
      <c r="F546" s="129"/>
      <c r="G546" s="129"/>
      <c r="H546" s="129"/>
      <c r="I546" s="129"/>
      <c r="J546" s="129"/>
      <c r="K546" s="129"/>
    </row>
    <row r="547" spans="3:11" s="120" customFormat="1" x14ac:dyDescent="0.2">
      <c r="C547" s="391"/>
      <c r="E547" s="129"/>
      <c r="F547" s="129"/>
      <c r="G547" s="129"/>
      <c r="H547" s="129"/>
      <c r="I547" s="129"/>
      <c r="J547" s="129"/>
      <c r="K547" s="129"/>
    </row>
    <row r="548" spans="3:11" s="120" customFormat="1" x14ac:dyDescent="0.2">
      <c r="C548" s="391"/>
      <c r="E548" s="129"/>
      <c r="F548" s="129"/>
      <c r="G548" s="129"/>
      <c r="H548" s="129"/>
      <c r="I548" s="129"/>
      <c r="J548" s="129"/>
      <c r="K548" s="129"/>
    </row>
    <row r="549" spans="3:11" s="120" customFormat="1" x14ac:dyDescent="0.2">
      <c r="C549" s="391"/>
      <c r="E549" s="129"/>
      <c r="F549" s="129"/>
      <c r="G549" s="129"/>
      <c r="H549" s="129"/>
      <c r="I549" s="129"/>
      <c r="J549" s="129"/>
      <c r="K549" s="129"/>
    </row>
    <row r="550" spans="3:11" s="120" customFormat="1" x14ac:dyDescent="0.2">
      <c r="C550" s="391"/>
      <c r="E550" s="129"/>
      <c r="F550" s="129"/>
      <c r="G550" s="129"/>
      <c r="H550" s="129"/>
      <c r="I550" s="129"/>
      <c r="J550" s="129"/>
      <c r="K550" s="129"/>
    </row>
    <row r="551" spans="3:11" s="120" customFormat="1" x14ac:dyDescent="0.2">
      <c r="C551" s="391"/>
      <c r="E551" s="129"/>
      <c r="F551" s="129"/>
      <c r="G551" s="129"/>
      <c r="H551" s="129"/>
      <c r="I551" s="129"/>
      <c r="J551" s="129"/>
      <c r="K551" s="129"/>
    </row>
    <row r="552" spans="3:11" s="120" customFormat="1" x14ac:dyDescent="0.2">
      <c r="C552" s="391"/>
      <c r="E552" s="129"/>
      <c r="F552" s="129"/>
      <c r="G552" s="129"/>
      <c r="H552" s="129"/>
      <c r="I552" s="129"/>
      <c r="J552" s="129"/>
      <c r="K552" s="129"/>
    </row>
    <row r="553" spans="3:11" s="120" customFormat="1" x14ac:dyDescent="0.2">
      <c r="C553" s="391"/>
      <c r="E553" s="129"/>
      <c r="F553" s="129"/>
      <c r="G553" s="129"/>
      <c r="H553" s="129"/>
      <c r="I553" s="129"/>
      <c r="J553" s="129"/>
      <c r="K553" s="129"/>
    </row>
    <row r="554" spans="3:11" s="120" customFormat="1" x14ac:dyDescent="0.2">
      <c r="C554" s="391"/>
      <c r="E554" s="129"/>
      <c r="F554" s="129"/>
      <c r="G554" s="129"/>
      <c r="H554" s="129"/>
      <c r="I554" s="129"/>
      <c r="J554" s="129"/>
      <c r="K554" s="129"/>
    </row>
    <row r="555" spans="3:11" s="120" customFormat="1" x14ac:dyDescent="0.2">
      <c r="C555" s="391"/>
      <c r="E555" s="129"/>
      <c r="F555" s="129"/>
      <c r="G555" s="129"/>
      <c r="H555" s="129"/>
      <c r="I555" s="129"/>
      <c r="J555" s="129"/>
      <c r="K555" s="129"/>
    </row>
    <row r="556" spans="3:11" s="120" customFormat="1" x14ac:dyDescent="0.2">
      <c r="C556" s="391"/>
      <c r="E556" s="129"/>
      <c r="F556" s="129"/>
      <c r="G556" s="129"/>
      <c r="H556" s="129"/>
      <c r="I556" s="129"/>
      <c r="J556" s="129"/>
      <c r="K556" s="129"/>
    </row>
    <row r="557" spans="3:11" s="120" customFormat="1" x14ac:dyDescent="0.2">
      <c r="C557" s="391"/>
      <c r="E557" s="129"/>
      <c r="F557" s="129"/>
      <c r="G557" s="129"/>
      <c r="H557" s="129"/>
      <c r="I557" s="129"/>
      <c r="J557" s="129"/>
      <c r="K557" s="129"/>
    </row>
    <row r="558" spans="3:11" s="120" customFormat="1" x14ac:dyDescent="0.2">
      <c r="C558" s="391"/>
      <c r="E558" s="129"/>
      <c r="F558" s="129"/>
      <c r="G558" s="129"/>
      <c r="H558" s="129"/>
      <c r="I558" s="129"/>
      <c r="J558" s="129"/>
      <c r="K558" s="129"/>
    </row>
    <row r="559" spans="3:11" s="120" customFormat="1" x14ac:dyDescent="0.2">
      <c r="C559" s="391"/>
      <c r="E559" s="129"/>
      <c r="F559" s="129"/>
      <c r="G559" s="129"/>
      <c r="H559" s="129"/>
      <c r="I559" s="129"/>
      <c r="J559" s="129"/>
      <c r="K559" s="129"/>
    </row>
    <row r="560" spans="3:11" s="120" customFormat="1" x14ac:dyDescent="0.2">
      <c r="C560" s="391"/>
      <c r="E560" s="129"/>
      <c r="F560" s="129"/>
      <c r="G560" s="129"/>
      <c r="H560" s="129"/>
      <c r="I560" s="129"/>
      <c r="J560" s="129"/>
      <c r="K560" s="129"/>
    </row>
    <row r="561" spans="3:11" s="120" customFormat="1" x14ac:dyDescent="0.2">
      <c r="C561" s="391"/>
      <c r="E561" s="129"/>
      <c r="F561" s="129"/>
      <c r="G561" s="129"/>
      <c r="H561" s="129"/>
      <c r="I561" s="129"/>
      <c r="J561" s="129"/>
      <c r="K561" s="129"/>
    </row>
    <row r="562" spans="3:11" s="120" customFormat="1" x14ac:dyDescent="0.2">
      <c r="C562" s="391"/>
      <c r="E562" s="129"/>
      <c r="F562" s="129"/>
      <c r="G562" s="129"/>
      <c r="H562" s="129"/>
      <c r="I562" s="129"/>
      <c r="J562" s="129"/>
      <c r="K562" s="129"/>
    </row>
    <row r="563" spans="3:11" s="120" customFormat="1" x14ac:dyDescent="0.2">
      <c r="C563" s="391"/>
      <c r="E563" s="129"/>
      <c r="F563" s="129"/>
      <c r="G563" s="129"/>
      <c r="H563" s="129"/>
      <c r="I563" s="129"/>
      <c r="J563" s="129"/>
      <c r="K563" s="129"/>
    </row>
    <row r="564" spans="3:11" s="120" customFormat="1" x14ac:dyDescent="0.2">
      <c r="C564" s="391"/>
      <c r="E564" s="129"/>
      <c r="F564" s="129"/>
      <c r="G564" s="129"/>
      <c r="H564" s="129"/>
      <c r="I564" s="129"/>
      <c r="J564" s="129"/>
      <c r="K564" s="129"/>
    </row>
    <row r="565" spans="3:11" s="120" customFormat="1" x14ac:dyDescent="0.2">
      <c r="C565" s="391"/>
      <c r="E565" s="129"/>
      <c r="F565" s="129"/>
      <c r="G565" s="129"/>
      <c r="H565" s="129"/>
      <c r="I565" s="129"/>
      <c r="J565" s="129"/>
      <c r="K565" s="129"/>
    </row>
    <row r="566" spans="3:11" s="120" customFormat="1" x14ac:dyDescent="0.2">
      <c r="C566" s="391"/>
      <c r="E566" s="129"/>
      <c r="F566" s="129"/>
      <c r="G566" s="129"/>
      <c r="H566" s="129"/>
      <c r="I566" s="129"/>
      <c r="J566" s="129"/>
      <c r="K566" s="129"/>
    </row>
    <row r="567" spans="3:11" s="120" customFormat="1" x14ac:dyDescent="0.2">
      <c r="C567" s="391"/>
      <c r="E567" s="129"/>
      <c r="F567" s="129"/>
      <c r="G567" s="129"/>
      <c r="H567" s="129"/>
      <c r="I567" s="129"/>
      <c r="J567" s="129"/>
      <c r="K567" s="129"/>
    </row>
    <row r="568" spans="3:11" s="120" customFormat="1" x14ac:dyDescent="0.2">
      <c r="C568" s="391"/>
      <c r="E568" s="129"/>
      <c r="F568" s="129"/>
      <c r="G568" s="129"/>
      <c r="H568" s="129"/>
      <c r="I568" s="129"/>
      <c r="J568" s="129"/>
      <c r="K568" s="129"/>
    </row>
    <row r="569" spans="3:11" s="120" customFormat="1" x14ac:dyDescent="0.2">
      <c r="C569" s="391"/>
      <c r="E569" s="129"/>
      <c r="F569" s="129"/>
      <c r="G569" s="129"/>
      <c r="H569" s="129"/>
      <c r="I569" s="129"/>
      <c r="J569" s="129"/>
      <c r="K569" s="129"/>
    </row>
    <row r="570" spans="3:11" s="120" customFormat="1" x14ac:dyDescent="0.2">
      <c r="C570" s="391"/>
      <c r="E570" s="129"/>
      <c r="F570" s="129"/>
      <c r="G570" s="129"/>
      <c r="H570" s="129"/>
      <c r="I570" s="129"/>
      <c r="J570" s="129"/>
      <c r="K570" s="129"/>
    </row>
    <row r="571" spans="3:11" s="120" customFormat="1" x14ac:dyDescent="0.2">
      <c r="C571" s="391"/>
      <c r="E571" s="129"/>
      <c r="F571" s="129"/>
      <c r="G571" s="129"/>
      <c r="H571" s="129"/>
      <c r="I571" s="129"/>
      <c r="J571" s="129"/>
      <c r="K571" s="129"/>
    </row>
    <row r="572" spans="3:11" s="120" customFormat="1" x14ac:dyDescent="0.2">
      <c r="C572" s="391"/>
      <c r="E572" s="129"/>
      <c r="F572" s="129"/>
      <c r="G572" s="129"/>
      <c r="H572" s="129"/>
      <c r="I572" s="129"/>
      <c r="J572" s="129"/>
      <c r="K572" s="129"/>
    </row>
    <row r="573" spans="3:11" s="120" customFormat="1" x14ac:dyDescent="0.2">
      <c r="C573" s="391"/>
      <c r="E573" s="129"/>
      <c r="F573" s="129"/>
      <c r="G573" s="129"/>
      <c r="H573" s="129"/>
      <c r="I573" s="129"/>
      <c r="J573" s="129"/>
      <c r="K573" s="129"/>
    </row>
    <row r="574" spans="3:11" s="120" customFormat="1" x14ac:dyDescent="0.2">
      <c r="C574" s="391"/>
      <c r="E574" s="129"/>
      <c r="F574" s="129"/>
      <c r="G574" s="129"/>
      <c r="H574" s="129"/>
      <c r="I574" s="129"/>
      <c r="J574" s="129"/>
      <c r="K574" s="129"/>
    </row>
    <row r="575" spans="3:11" s="120" customFormat="1" x14ac:dyDescent="0.2">
      <c r="C575" s="391"/>
      <c r="E575" s="129"/>
      <c r="F575" s="129"/>
      <c r="G575" s="129"/>
      <c r="H575" s="129"/>
      <c r="I575" s="129"/>
      <c r="J575" s="129"/>
      <c r="K575" s="129"/>
    </row>
    <row r="576" spans="3:11" s="120" customFormat="1" x14ac:dyDescent="0.2">
      <c r="C576" s="391"/>
      <c r="E576" s="129"/>
      <c r="F576" s="129"/>
      <c r="G576" s="129"/>
      <c r="H576" s="129"/>
      <c r="I576" s="129"/>
      <c r="J576" s="129"/>
      <c r="K576" s="129"/>
    </row>
    <row r="577" spans="3:11" s="120" customFormat="1" x14ac:dyDescent="0.2">
      <c r="C577" s="391"/>
      <c r="E577" s="129"/>
      <c r="F577" s="129"/>
      <c r="G577" s="129"/>
      <c r="H577" s="129"/>
      <c r="I577" s="129"/>
      <c r="J577" s="129"/>
      <c r="K577" s="129"/>
    </row>
    <row r="578" spans="3:11" s="120" customFormat="1" x14ac:dyDescent="0.2">
      <c r="C578" s="391"/>
      <c r="E578" s="129"/>
      <c r="F578" s="129"/>
      <c r="G578" s="129"/>
      <c r="H578" s="129"/>
      <c r="I578" s="129"/>
      <c r="J578" s="129"/>
      <c r="K578" s="129"/>
    </row>
    <row r="579" spans="3:11" s="120" customFormat="1" x14ac:dyDescent="0.2">
      <c r="C579" s="391"/>
      <c r="E579" s="129"/>
      <c r="F579" s="129"/>
      <c r="G579" s="129"/>
      <c r="H579" s="129"/>
      <c r="I579" s="129"/>
      <c r="J579" s="129"/>
      <c r="K579" s="129"/>
    </row>
    <row r="580" spans="3:11" s="120" customFormat="1" x14ac:dyDescent="0.2">
      <c r="C580" s="391"/>
      <c r="E580" s="129"/>
      <c r="F580" s="129"/>
      <c r="G580" s="129"/>
      <c r="H580" s="129"/>
      <c r="I580" s="129"/>
      <c r="J580" s="129"/>
      <c r="K580" s="129"/>
    </row>
    <row r="581" spans="3:11" s="120" customFormat="1" x14ac:dyDescent="0.2">
      <c r="C581" s="391"/>
      <c r="E581" s="129"/>
      <c r="F581" s="129"/>
      <c r="G581" s="129"/>
      <c r="H581" s="129"/>
      <c r="I581" s="129"/>
      <c r="J581" s="129"/>
      <c r="K581" s="129"/>
    </row>
    <row r="582" spans="3:11" s="120" customFormat="1" x14ac:dyDescent="0.2">
      <c r="C582" s="391"/>
      <c r="E582" s="129"/>
      <c r="F582" s="129"/>
      <c r="G582" s="129"/>
      <c r="H582" s="129"/>
      <c r="I582" s="129"/>
      <c r="J582" s="129"/>
      <c r="K582" s="129"/>
    </row>
    <row r="583" spans="3:11" s="120" customFormat="1" x14ac:dyDescent="0.2">
      <c r="C583" s="391"/>
      <c r="E583" s="129"/>
      <c r="F583" s="129"/>
      <c r="G583" s="129"/>
      <c r="H583" s="129"/>
      <c r="I583" s="129"/>
      <c r="J583" s="129"/>
      <c r="K583" s="129"/>
    </row>
    <row r="584" spans="3:11" s="120" customFormat="1" x14ac:dyDescent="0.2">
      <c r="C584" s="391"/>
      <c r="E584" s="129"/>
      <c r="F584" s="129"/>
      <c r="G584" s="129"/>
      <c r="H584" s="129"/>
      <c r="I584" s="129"/>
      <c r="J584" s="129"/>
      <c r="K584" s="129"/>
    </row>
    <row r="585" spans="3:11" s="120" customFormat="1" x14ac:dyDescent="0.2">
      <c r="C585" s="391"/>
      <c r="E585" s="129"/>
      <c r="F585" s="129"/>
      <c r="G585" s="129"/>
      <c r="H585" s="129"/>
      <c r="I585" s="129"/>
      <c r="J585" s="129"/>
      <c r="K585" s="129"/>
    </row>
    <row r="586" spans="3:11" s="120" customFormat="1" x14ac:dyDescent="0.2">
      <c r="C586" s="391"/>
      <c r="E586" s="129"/>
      <c r="F586" s="129"/>
      <c r="G586" s="129"/>
      <c r="H586" s="129"/>
      <c r="I586" s="129"/>
      <c r="J586" s="129"/>
      <c r="K586" s="129"/>
    </row>
    <row r="587" spans="3:11" s="120" customFormat="1" x14ac:dyDescent="0.2">
      <c r="C587" s="391"/>
      <c r="E587" s="129"/>
      <c r="F587" s="129"/>
      <c r="G587" s="129"/>
      <c r="H587" s="129"/>
      <c r="I587" s="129"/>
      <c r="J587" s="129"/>
      <c r="K587" s="129"/>
    </row>
    <row r="588" spans="3:11" s="120" customFormat="1" x14ac:dyDescent="0.2">
      <c r="C588" s="391"/>
      <c r="E588" s="129"/>
      <c r="F588" s="129"/>
      <c r="G588" s="129"/>
      <c r="H588" s="129"/>
      <c r="I588" s="129"/>
      <c r="J588" s="129"/>
      <c r="K588" s="129"/>
    </row>
    <row r="589" spans="3:11" s="120" customFormat="1" x14ac:dyDescent="0.2">
      <c r="C589" s="391"/>
      <c r="E589" s="129"/>
      <c r="F589" s="129"/>
      <c r="G589" s="129"/>
      <c r="H589" s="129"/>
      <c r="I589" s="129"/>
      <c r="J589" s="129"/>
      <c r="K589" s="129"/>
    </row>
    <row r="590" spans="3:11" s="120" customFormat="1" x14ac:dyDescent="0.2">
      <c r="C590" s="391"/>
      <c r="E590" s="129"/>
      <c r="F590" s="129"/>
      <c r="G590" s="129"/>
      <c r="H590" s="129"/>
      <c r="I590" s="129"/>
      <c r="J590" s="129"/>
      <c r="K590" s="129"/>
    </row>
    <row r="591" spans="3:11" s="120" customFormat="1" x14ac:dyDescent="0.2">
      <c r="C591" s="391"/>
      <c r="E591" s="129"/>
      <c r="F591" s="129"/>
      <c r="G591" s="129"/>
      <c r="H591" s="129"/>
      <c r="I591" s="129"/>
      <c r="J591" s="129"/>
      <c r="K591" s="129"/>
    </row>
    <row r="592" spans="3:11" s="120" customFormat="1" x14ac:dyDescent="0.2">
      <c r="C592" s="391"/>
      <c r="E592" s="129"/>
      <c r="F592" s="129"/>
      <c r="G592" s="129"/>
      <c r="H592" s="129"/>
      <c r="I592" s="129"/>
      <c r="J592" s="129"/>
      <c r="K592" s="129"/>
    </row>
    <row r="593" spans="3:11" s="120" customFormat="1" x14ac:dyDescent="0.2">
      <c r="C593" s="391"/>
      <c r="E593" s="129"/>
      <c r="F593" s="129"/>
      <c r="G593" s="129"/>
      <c r="H593" s="129"/>
      <c r="I593" s="129"/>
      <c r="J593" s="129"/>
      <c r="K593" s="129"/>
    </row>
    <row r="594" spans="3:11" s="120" customFormat="1" x14ac:dyDescent="0.2">
      <c r="C594" s="391"/>
      <c r="E594" s="129"/>
      <c r="F594" s="129"/>
      <c r="G594" s="129"/>
      <c r="H594" s="129"/>
      <c r="I594" s="129"/>
      <c r="J594" s="129"/>
      <c r="K594" s="129"/>
    </row>
    <row r="595" spans="3:11" s="120" customFormat="1" x14ac:dyDescent="0.2">
      <c r="C595" s="391"/>
      <c r="E595" s="129"/>
      <c r="F595" s="129"/>
      <c r="G595" s="129"/>
      <c r="H595" s="129"/>
      <c r="I595" s="129"/>
      <c r="J595" s="129"/>
      <c r="K595" s="129"/>
    </row>
    <row r="596" spans="3:11" s="120" customFormat="1" x14ac:dyDescent="0.2">
      <c r="C596" s="391"/>
      <c r="E596" s="129"/>
      <c r="F596" s="129"/>
      <c r="G596" s="129"/>
      <c r="H596" s="129"/>
      <c r="I596" s="129"/>
      <c r="J596" s="129"/>
      <c r="K596" s="129"/>
    </row>
    <row r="597" spans="3:11" s="120" customFormat="1" x14ac:dyDescent="0.2">
      <c r="C597" s="391"/>
      <c r="E597" s="129"/>
      <c r="F597" s="129"/>
      <c r="G597" s="129"/>
      <c r="H597" s="129"/>
      <c r="I597" s="129"/>
      <c r="J597" s="129"/>
      <c r="K597" s="129"/>
    </row>
    <row r="598" spans="3:11" s="120" customFormat="1" x14ac:dyDescent="0.2">
      <c r="C598" s="391"/>
      <c r="E598" s="129"/>
      <c r="F598" s="129"/>
      <c r="G598" s="129"/>
      <c r="H598" s="129"/>
      <c r="I598" s="129"/>
      <c r="J598" s="129"/>
      <c r="K598" s="129"/>
    </row>
    <row r="599" spans="3:11" s="120" customFormat="1" x14ac:dyDescent="0.2">
      <c r="C599" s="391"/>
      <c r="E599" s="129"/>
      <c r="F599" s="129"/>
      <c r="G599" s="129"/>
      <c r="H599" s="129"/>
      <c r="I599" s="129"/>
      <c r="J599" s="129"/>
      <c r="K599" s="129"/>
    </row>
    <row r="600" spans="3:11" s="120" customFormat="1" x14ac:dyDescent="0.2">
      <c r="C600" s="391"/>
      <c r="E600" s="129"/>
      <c r="F600" s="129"/>
      <c r="G600" s="129"/>
      <c r="H600" s="129"/>
      <c r="I600" s="129"/>
      <c r="J600" s="129"/>
      <c r="K600" s="129"/>
    </row>
    <row r="601" spans="3:11" s="120" customFormat="1" x14ac:dyDescent="0.2">
      <c r="C601" s="391"/>
      <c r="E601" s="129"/>
      <c r="F601" s="129"/>
      <c r="G601" s="129"/>
      <c r="H601" s="129"/>
      <c r="I601" s="129"/>
      <c r="J601" s="129"/>
      <c r="K601" s="129"/>
    </row>
    <row r="602" spans="3:11" s="120" customFormat="1" x14ac:dyDescent="0.2">
      <c r="C602" s="391"/>
      <c r="E602" s="129"/>
      <c r="F602" s="129"/>
      <c r="G602" s="129"/>
      <c r="H602" s="129"/>
      <c r="I602" s="129"/>
      <c r="J602" s="129"/>
      <c r="K602" s="129"/>
    </row>
    <row r="603" spans="3:11" s="120" customFormat="1" x14ac:dyDescent="0.2">
      <c r="C603" s="391"/>
      <c r="E603" s="129"/>
      <c r="F603" s="129"/>
      <c r="G603" s="129"/>
      <c r="H603" s="129"/>
      <c r="I603" s="129"/>
      <c r="J603" s="129"/>
      <c r="K603" s="129"/>
    </row>
    <row r="604" spans="3:11" s="120" customFormat="1" x14ac:dyDescent="0.2">
      <c r="C604" s="391"/>
      <c r="E604" s="129"/>
      <c r="F604" s="129"/>
      <c r="G604" s="129"/>
      <c r="H604" s="129"/>
      <c r="I604" s="129"/>
      <c r="J604" s="129"/>
      <c r="K604" s="129"/>
    </row>
    <row r="605" spans="3:11" s="120" customFormat="1" x14ac:dyDescent="0.2">
      <c r="C605" s="391"/>
      <c r="E605" s="129"/>
      <c r="F605" s="129"/>
      <c r="G605" s="129"/>
      <c r="H605" s="129"/>
      <c r="I605" s="129"/>
      <c r="J605" s="129"/>
      <c r="K605" s="129"/>
    </row>
    <row r="606" spans="3:11" s="120" customFormat="1" x14ac:dyDescent="0.2">
      <c r="C606" s="391"/>
      <c r="E606" s="129"/>
      <c r="F606" s="129"/>
      <c r="G606" s="129"/>
      <c r="H606" s="129"/>
      <c r="I606" s="129"/>
      <c r="J606" s="129"/>
      <c r="K606" s="129"/>
    </row>
    <row r="607" spans="3:11" s="120" customFormat="1" x14ac:dyDescent="0.2">
      <c r="C607" s="391"/>
      <c r="E607" s="129"/>
      <c r="F607" s="129"/>
      <c r="G607" s="129"/>
      <c r="H607" s="129"/>
      <c r="I607" s="129"/>
      <c r="J607" s="129"/>
      <c r="K607" s="129"/>
    </row>
    <row r="608" spans="3:11" s="120" customFormat="1" x14ac:dyDescent="0.2">
      <c r="C608" s="391"/>
      <c r="E608" s="129"/>
      <c r="F608" s="129"/>
      <c r="G608" s="129"/>
      <c r="H608" s="129"/>
      <c r="I608" s="129"/>
      <c r="J608" s="129"/>
      <c r="K608" s="129"/>
    </row>
    <row r="609" spans="3:11" s="120" customFormat="1" x14ac:dyDescent="0.2">
      <c r="C609" s="391"/>
      <c r="E609" s="129"/>
      <c r="F609" s="129"/>
      <c r="G609" s="129"/>
      <c r="H609" s="129"/>
      <c r="I609" s="129"/>
      <c r="J609" s="129"/>
      <c r="K609" s="129"/>
    </row>
    <row r="610" spans="3:11" s="120" customFormat="1" x14ac:dyDescent="0.2">
      <c r="C610" s="391"/>
      <c r="E610" s="129"/>
      <c r="F610" s="129"/>
      <c r="G610" s="129"/>
      <c r="H610" s="129"/>
      <c r="I610" s="129"/>
      <c r="J610" s="129"/>
      <c r="K610" s="129"/>
    </row>
    <row r="611" spans="3:11" s="120" customFormat="1" x14ac:dyDescent="0.2">
      <c r="C611" s="391"/>
      <c r="E611" s="129"/>
      <c r="F611" s="129"/>
      <c r="G611" s="129"/>
      <c r="H611" s="129"/>
      <c r="I611" s="129"/>
      <c r="J611" s="129"/>
      <c r="K611" s="129"/>
    </row>
    <row r="612" spans="3:11" s="120" customFormat="1" x14ac:dyDescent="0.2">
      <c r="C612" s="391"/>
      <c r="E612" s="129"/>
      <c r="F612" s="129"/>
      <c r="G612" s="129"/>
      <c r="H612" s="129"/>
      <c r="I612" s="129"/>
      <c r="J612" s="129"/>
      <c r="K612" s="129"/>
    </row>
    <row r="613" spans="3:11" s="120" customFormat="1" x14ac:dyDescent="0.2">
      <c r="C613" s="391"/>
      <c r="E613" s="129"/>
      <c r="F613" s="129"/>
      <c r="G613" s="129"/>
      <c r="H613" s="129"/>
      <c r="I613" s="129"/>
      <c r="J613" s="129"/>
      <c r="K613" s="129"/>
    </row>
    <row r="614" spans="3:11" s="120" customFormat="1" x14ac:dyDescent="0.2">
      <c r="C614" s="391"/>
      <c r="E614" s="129"/>
      <c r="F614" s="129"/>
      <c r="G614" s="129"/>
      <c r="H614" s="129"/>
      <c r="I614" s="129"/>
      <c r="J614" s="129"/>
      <c r="K614" s="129"/>
    </row>
    <row r="615" spans="3:11" s="120" customFormat="1" x14ac:dyDescent="0.2">
      <c r="C615" s="391"/>
      <c r="E615" s="129"/>
      <c r="F615" s="129"/>
      <c r="G615" s="129"/>
      <c r="H615" s="129"/>
      <c r="I615" s="129"/>
      <c r="J615" s="129"/>
      <c r="K615" s="129"/>
    </row>
    <row r="616" spans="3:11" s="120" customFormat="1" x14ac:dyDescent="0.2">
      <c r="C616" s="391"/>
      <c r="E616" s="129"/>
      <c r="F616" s="129"/>
      <c r="G616" s="129"/>
      <c r="H616" s="129"/>
      <c r="I616" s="129"/>
      <c r="J616" s="129"/>
      <c r="K616" s="129"/>
    </row>
    <row r="617" spans="3:11" s="120" customFormat="1" x14ac:dyDescent="0.2">
      <c r="C617" s="391"/>
      <c r="E617" s="129"/>
      <c r="F617" s="129"/>
      <c r="G617" s="129"/>
      <c r="H617" s="129"/>
      <c r="I617" s="129"/>
      <c r="J617" s="129"/>
      <c r="K617" s="129"/>
    </row>
    <row r="618" spans="3:11" s="120" customFormat="1" x14ac:dyDescent="0.2">
      <c r="C618" s="391"/>
      <c r="E618" s="129"/>
      <c r="F618" s="129"/>
      <c r="G618" s="129"/>
      <c r="H618" s="129"/>
      <c r="I618" s="129"/>
      <c r="J618" s="129"/>
      <c r="K618" s="129"/>
    </row>
    <row r="619" spans="3:11" s="120" customFormat="1" x14ac:dyDescent="0.2">
      <c r="C619" s="391"/>
      <c r="E619" s="129"/>
      <c r="F619" s="129"/>
      <c r="G619" s="129"/>
      <c r="H619" s="129"/>
      <c r="I619" s="129"/>
      <c r="J619" s="129"/>
      <c r="K619" s="129"/>
    </row>
    <row r="620" spans="3:11" s="120" customFormat="1" x14ac:dyDescent="0.2">
      <c r="C620" s="391"/>
      <c r="E620" s="129"/>
      <c r="F620" s="129"/>
      <c r="G620" s="129"/>
      <c r="H620" s="129"/>
      <c r="I620" s="129"/>
      <c r="J620" s="129"/>
      <c r="K620" s="129"/>
    </row>
    <row r="621" spans="3:11" s="120" customFormat="1" x14ac:dyDescent="0.2">
      <c r="C621" s="391"/>
      <c r="E621" s="129"/>
      <c r="F621" s="129"/>
      <c r="G621" s="129"/>
      <c r="H621" s="129"/>
      <c r="I621" s="129"/>
      <c r="J621" s="129"/>
      <c r="K621" s="129"/>
    </row>
    <row r="622" spans="3:11" s="120" customFormat="1" x14ac:dyDescent="0.2">
      <c r="C622" s="391"/>
      <c r="E622" s="129"/>
      <c r="F622" s="129"/>
      <c r="G622" s="129"/>
      <c r="H622" s="129"/>
      <c r="I622" s="129"/>
      <c r="J622" s="129"/>
      <c r="K622" s="129"/>
    </row>
    <row r="623" spans="3:11" s="120" customFormat="1" x14ac:dyDescent="0.2">
      <c r="C623" s="391"/>
      <c r="E623" s="129"/>
      <c r="F623" s="129"/>
      <c r="G623" s="129"/>
      <c r="H623" s="129"/>
      <c r="I623" s="129"/>
      <c r="J623" s="129"/>
      <c r="K623" s="129"/>
    </row>
    <row r="624" spans="3:11" s="120" customFormat="1" x14ac:dyDescent="0.2">
      <c r="C624" s="391"/>
      <c r="E624" s="129"/>
      <c r="F624" s="129"/>
      <c r="G624" s="129"/>
      <c r="H624" s="129"/>
      <c r="I624" s="129"/>
      <c r="J624" s="129"/>
      <c r="K624" s="129"/>
    </row>
    <row r="625" spans="3:11" s="120" customFormat="1" x14ac:dyDescent="0.2">
      <c r="C625" s="391"/>
      <c r="E625" s="129"/>
      <c r="F625" s="129"/>
      <c r="G625" s="129"/>
      <c r="H625" s="129"/>
      <c r="I625" s="129"/>
      <c r="J625" s="129"/>
      <c r="K625" s="129"/>
    </row>
    <row r="626" spans="3:11" s="120" customFormat="1" x14ac:dyDescent="0.2">
      <c r="C626" s="391"/>
      <c r="E626" s="129"/>
      <c r="F626" s="129"/>
      <c r="G626" s="129"/>
      <c r="H626" s="129"/>
      <c r="I626" s="129"/>
      <c r="J626" s="129"/>
      <c r="K626" s="129"/>
    </row>
    <row r="627" spans="3:11" s="120" customFormat="1" x14ac:dyDescent="0.2">
      <c r="C627" s="391"/>
      <c r="E627" s="129"/>
      <c r="F627" s="129"/>
      <c r="G627" s="129"/>
      <c r="H627" s="129"/>
      <c r="I627" s="129"/>
      <c r="J627" s="129"/>
      <c r="K627" s="129"/>
    </row>
    <row r="628" spans="3:11" s="120" customFormat="1" x14ac:dyDescent="0.2">
      <c r="C628" s="391"/>
      <c r="E628" s="129"/>
      <c r="F628" s="129"/>
      <c r="G628" s="129"/>
      <c r="H628" s="129"/>
      <c r="I628" s="129"/>
      <c r="J628" s="129"/>
      <c r="K628" s="129"/>
    </row>
    <row r="629" spans="3:11" s="120" customFormat="1" x14ac:dyDescent="0.2">
      <c r="C629" s="391"/>
      <c r="E629" s="129"/>
      <c r="F629" s="129"/>
      <c r="G629" s="129"/>
      <c r="H629" s="129"/>
      <c r="I629" s="129"/>
      <c r="J629" s="129"/>
      <c r="K629" s="129"/>
    </row>
    <row r="630" spans="3:11" s="120" customFormat="1" x14ac:dyDescent="0.2">
      <c r="C630" s="391"/>
      <c r="E630" s="129"/>
      <c r="F630" s="129"/>
      <c r="G630" s="129"/>
      <c r="H630" s="129"/>
      <c r="I630" s="129"/>
      <c r="J630" s="129"/>
      <c r="K630" s="129"/>
    </row>
    <row r="631" spans="3:11" s="120" customFormat="1" x14ac:dyDescent="0.2">
      <c r="C631" s="391"/>
      <c r="E631" s="129"/>
      <c r="F631" s="129"/>
      <c r="G631" s="129"/>
      <c r="H631" s="129"/>
      <c r="I631" s="129"/>
      <c r="J631" s="129"/>
      <c r="K631" s="129"/>
    </row>
    <row r="632" spans="3:11" s="120" customFormat="1" x14ac:dyDescent="0.2">
      <c r="C632" s="391"/>
      <c r="E632" s="129"/>
      <c r="F632" s="129"/>
      <c r="G632" s="129"/>
      <c r="H632" s="129"/>
      <c r="I632" s="129"/>
      <c r="J632" s="129"/>
      <c r="K632" s="129"/>
    </row>
    <row r="633" spans="3:11" s="120" customFormat="1" x14ac:dyDescent="0.2">
      <c r="C633" s="391"/>
      <c r="E633" s="129"/>
      <c r="F633" s="129"/>
      <c r="G633" s="129"/>
      <c r="H633" s="129"/>
      <c r="I633" s="129"/>
      <c r="J633" s="129"/>
      <c r="K633" s="129"/>
    </row>
    <row r="634" spans="3:11" s="120" customFormat="1" x14ac:dyDescent="0.2">
      <c r="C634" s="391"/>
      <c r="E634" s="129"/>
      <c r="F634" s="129"/>
      <c r="G634" s="129"/>
      <c r="H634" s="129"/>
      <c r="I634" s="129"/>
      <c r="J634" s="129"/>
      <c r="K634" s="129"/>
    </row>
    <row r="635" spans="3:11" s="120" customFormat="1" x14ac:dyDescent="0.2">
      <c r="C635" s="391"/>
      <c r="E635" s="129"/>
      <c r="F635" s="129"/>
      <c r="G635" s="129"/>
      <c r="H635" s="129"/>
      <c r="I635" s="129"/>
      <c r="J635" s="129"/>
      <c r="K635" s="129"/>
    </row>
    <row r="636" spans="3:11" s="120" customFormat="1" x14ac:dyDescent="0.2">
      <c r="C636" s="391"/>
      <c r="E636" s="129"/>
      <c r="F636" s="129"/>
      <c r="G636" s="129"/>
      <c r="H636" s="129"/>
      <c r="I636" s="129"/>
      <c r="J636" s="129"/>
      <c r="K636" s="129"/>
    </row>
    <row r="637" spans="3:11" s="120" customFormat="1" x14ac:dyDescent="0.2">
      <c r="C637" s="391"/>
      <c r="E637" s="129"/>
      <c r="F637" s="129"/>
      <c r="G637" s="129"/>
      <c r="H637" s="129"/>
      <c r="I637" s="129"/>
      <c r="J637" s="129"/>
      <c r="K637" s="129"/>
    </row>
    <row r="638" spans="3:11" s="120" customFormat="1" x14ac:dyDescent="0.2">
      <c r="C638" s="391"/>
      <c r="E638" s="129"/>
      <c r="F638" s="129"/>
      <c r="G638" s="129"/>
      <c r="H638" s="129"/>
      <c r="I638" s="129"/>
      <c r="J638" s="129"/>
      <c r="K638" s="129"/>
    </row>
    <row r="639" spans="3:11" s="120" customFormat="1" x14ac:dyDescent="0.2">
      <c r="C639" s="391"/>
      <c r="E639" s="129"/>
      <c r="F639" s="129"/>
      <c r="G639" s="129"/>
      <c r="H639" s="129"/>
      <c r="I639" s="129"/>
      <c r="J639" s="129"/>
      <c r="K639" s="129"/>
    </row>
    <row r="640" spans="3:11" s="120" customFormat="1" x14ac:dyDescent="0.2">
      <c r="C640" s="391"/>
      <c r="E640" s="129"/>
      <c r="F640" s="129"/>
      <c r="G640" s="129"/>
      <c r="H640" s="129"/>
      <c r="I640" s="129"/>
      <c r="J640" s="129"/>
      <c r="K640" s="129"/>
    </row>
    <row r="641" spans="3:11" s="120" customFormat="1" x14ac:dyDescent="0.2">
      <c r="C641" s="391"/>
      <c r="E641" s="129"/>
      <c r="F641" s="129"/>
      <c r="G641" s="129"/>
      <c r="H641" s="129"/>
      <c r="I641" s="129"/>
      <c r="J641" s="129"/>
      <c r="K641" s="129"/>
    </row>
    <row r="642" spans="3:11" s="120" customFormat="1" x14ac:dyDescent="0.2">
      <c r="C642" s="391"/>
      <c r="E642" s="129"/>
      <c r="F642" s="129"/>
      <c r="G642" s="129"/>
      <c r="H642" s="129"/>
      <c r="I642" s="129"/>
      <c r="J642" s="129"/>
      <c r="K642" s="129"/>
    </row>
    <row r="643" spans="3:11" s="120" customFormat="1" x14ac:dyDescent="0.2">
      <c r="C643" s="391"/>
      <c r="E643" s="129"/>
      <c r="F643" s="129"/>
      <c r="G643" s="129"/>
      <c r="H643" s="129"/>
      <c r="I643" s="129"/>
      <c r="J643" s="129"/>
      <c r="K643" s="129"/>
    </row>
    <row r="644" spans="3:11" s="120" customFormat="1" x14ac:dyDescent="0.2">
      <c r="C644" s="391"/>
      <c r="E644" s="129"/>
      <c r="F644" s="129"/>
      <c r="G644" s="129"/>
      <c r="H644" s="129"/>
      <c r="I644" s="129"/>
      <c r="J644" s="129"/>
      <c r="K644" s="129"/>
    </row>
    <row r="645" spans="3:11" s="120" customFormat="1" x14ac:dyDescent="0.2">
      <c r="C645" s="391"/>
      <c r="E645" s="129"/>
      <c r="F645" s="129"/>
      <c r="G645" s="129"/>
      <c r="H645" s="129"/>
      <c r="I645" s="129"/>
      <c r="J645" s="129"/>
      <c r="K645" s="129"/>
    </row>
    <row r="646" spans="3:11" s="120" customFormat="1" x14ac:dyDescent="0.2">
      <c r="C646" s="391"/>
      <c r="E646" s="129"/>
      <c r="F646" s="129"/>
      <c r="G646" s="129"/>
      <c r="H646" s="129"/>
      <c r="I646" s="129"/>
      <c r="J646" s="129"/>
      <c r="K646" s="129"/>
    </row>
    <row r="647" spans="3:11" s="120" customFormat="1" x14ac:dyDescent="0.2">
      <c r="C647" s="391"/>
      <c r="E647" s="129"/>
      <c r="F647" s="129"/>
      <c r="G647" s="129"/>
      <c r="H647" s="129"/>
      <c r="I647" s="129"/>
      <c r="J647" s="129"/>
      <c r="K647" s="129"/>
    </row>
    <row r="648" spans="3:11" s="120" customFormat="1" x14ac:dyDescent="0.2">
      <c r="C648" s="391"/>
      <c r="E648" s="129"/>
      <c r="F648" s="129"/>
      <c r="G648" s="129"/>
      <c r="H648" s="129"/>
      <c r="I648" s="129"/>
      <c r="J648" s="129"/>
      <c r="K648" s="129"/>
    </row>
    <row r="649" spans="3:11" s="120" customFormat="1" x14ac:dyDescent="0.2">
      <c r="C649" s="391"/>
      <c r="E649" s="129"/>
      <c r="F649" s="129"/>
      <c r="G649" s="129"/>
      <c r="H649" s="129"/>
      <c r="I649" s="129"/>
      <c r="J649" s="129"/>
      <c r="K649" s="129"/>
    </row>
    <row r="650" spans="3:11" s="120" customFormat="1" x14ac:dyDescent="0.2">
      <c r="C650" s="391"/>
      <c r="E650" s="129"/>
      <c r="F650" s="129"/>
      <c r="G650" s="129"/>
      <c r="H650" s="129"/>
      <c r="I650" s="129"/>
      <c r="J650" s="129"/>
      <c r="K650" s="129"/>
    </row>
    <row r="651" spans="3:11" s="120" customFormat="1" x14ac:dyDescent="0.2">
      <c r="C651" s="391"/>
      <c r="E651" s="129"/>
      <c r="F651" s="129"/>
      <c r="G651" s="129"/>
      <c r="H651" s="129"/>
      <c r="I651" s="129"/>
      <c r="J651" s="129"/>
      <c r="K651" s="129"/>
    </row>
    <row r="652" spans="3:11" s="120" customFormat="1" x14ac:dyDescent="0.2">
      <c r="C652" s="391"/>
      <c r="E652" s="129"/>
      <c r="F652" s="129"/>
      <c r="G652" s="129"/>
      <c r="H652" s="129"/>
      <c r="I652" s="129"/>
      <c r="J652" s="129"/>
      <c r="K652" s="129"/>
    </row>
    <row r="653" spans="3:11" s="120" customFormat="1" x14ac:dyDescent="0.2">
      <c r="C653" s="391"/>
      <c r="E653" s="129"/>
      <c r="F653" s="129"/>
      <c r="G653" s="129"/>
      <c r="H653" s="129"/>
      <c r="I653" s="129"/>
      <c r="J653" s="129"/>
      <c r="K653" s="129"/>
    </row>
    <row r="654" spans="3:11" s="120" customFormat="1" x14ac:dyDescent="0.2">
      <c r="C654" s="391"/>
      <c r="E654" s="129"/>
      <c r="F654" s="129"/>
      <c r="G654" s="129"/>
      <c r="H654" s="129"/>
      <c r="I654" s="129"/>
      <c r="J654" s="129"/>
      <c r="K654" s="129"/>
    </row>
    <row r="655" spans="3:11" s="120" customFormat="1" x14ac:dyDescent="0.2">
      <c r="C655" s="391"/>
      <c r="E655" s="129"/>
      <c r="F655" s="129"/>
      <c r="G655" s="129"/>
      <c r="H655" s="129"/>
      <c r="I655" s="129"/>
      <c r="J655" s="129"/>
      <c r="K655" s="129"/>
    </row>
    <row r="656" spans="3:11" s="120" customFormat="1" x14ac:dyDescent="0.2">
      <c r="C656" s="391"/>
      <c r="E656" s="129"/>
      <c r="F656" s="129"/>
      <c r="G656" s="129"/>
      <c r="H656" s="129"/>
      <c r="I656" s="129"/>
      <c r="J656" s="129"/>
      <c r="K656" s="129"/>
    </row>
    <row r="657" spans="3:11" s="120" customFormat="1" x14ac:dyDescent="0.2">
      <c r="C657" s="391"/>
      <c r="E657" s="129"/>
      <c r="F657" s="129"/>
      <c r="G657" s="129"/>
      <c r="H657" s="129"/>
      <c r="I657" s="129"/>
      <c r="J657" s="129"/>
      <c r="K657" s="129"/>
    </row>
    <row r="658" spans="3:11" s="120" customFormat="1" x14ac:dyDescent="0.2">
      <c r="C658" s="391"/>
      <c r="E658" s="129"/>
      <c r="F658" s="129"/>
      <c r="G658" s="129"/>
      <c r="H658" s="129"/>
      <c r="I658" s="129"/>
      <c r="J658" s="129"/>
      <c r="K658" s="129"/>
    </row>
    <row r="659" spans="3:11" s="120" customFormat="1" x14ac:dyDescent="0.2">
      <c r="C659" s="391"/>
      <c r="E659" s="129"/>
      <c r="F659" s="129"/>
      <c r="G659" s="129"/>
      <c r="H659" s="129"/>
      <c r="I659" s="129"/>
      <c r="J659" s="129"/>
      <c r="K659" s="129"/>
    </row>
    <row r="660" spans="3:11" s="120" customFormat="1" x14ac:dyDescent="0.2">
      <c r="C660" s="391"/>
      <c r="E660" s="129"/>
      <c r="F660" s="129"/>
      <c r="G660" s="129"/>
      <c r="H660" s="129"/>
      <c r="I660" s="129"/>
      <c r="J660" s="129"/>
      <c r="K660" s="129"/>
    </row>
    <row r="661" spans="3:11" s="120" customFormat="1" x14ac:dyDescent="0.2">
      <c r="C661" s="391"/>
      <c r="E661" s="129"/>
      <c r="F661" s="129"/>
      <c r="G661" s="129"/>
      <c r="H661" s="129"/>
      <c r="I661" s="129"/>
      <c r="J661" s="129"/>
      <c r="K661" s="129"/>
    </row>
    <row r="662" spans="3:11" s="120" customFormat="1" x14ac:dyDescent="0.2">
      <c r="C662" s="391"/>
      <c r="E662" s="129"/>
      <c r="F662" s="129"/>
      <c r="G662" s="129"/>
      <c r="H662" s="129"/>
      <c r="I662" s="129"/>
      <c r="J662" s="129"/>
      <c r="K662" s="129"/>
    </row>
    <row r="663" spans="3:11" s="120" customFormat="1" x14ac:dyDescent="0.2">
      <c r="C663" s="391"/>
      <c r="E663" s="129"/>
      <c r="F663" s="129"/>
      <c r="G663" s="129"/>
      <c r="H663" s="129"/>
      <c r="I663" s="129"/>
      <c r="J663" s="129"/>
      <c r="K663" s="129"/>
    </row>
    <row r="664" spans="3:11" s="120" customFormat="1" x14ac:dyDescent="0.2">
      <c r="C664" s="391"/>
      <c r="E664" s="129"/>
      <c r="F664" s="129"/>
      <c r="G664" s="129"/>
      <c r="H664" s="129"/>
      <c r="I664" s="129"/>
      <c r="J664" s="129"/>
      <c r="K664" s="129"/>
    </row>
    <row r="665" spans="3:11" s="120" customFormat="1" x14ac:dyDescent="0.2">
      <c r="C665" s="391"/>
      <c r="E665" s="129"/>
      <c r="F665" s="129"/>
      <c r="G665" s="129"/>
      <c r="H665" s="129"/>
      <c r="I665" s="129"/>
      <c r="J665" s="129"/>
      <c r="K665" s="129"/>
    </row>
    <row r="666" spans="3:11" s="120" customFormat="1" x14ac:dyDescent="0.2">
      <c r="C666" s="391"/>
      <c r="E666" s="129"/>
      <c r="F666" s="129"/>
      <c r="G666" s="129"/>
      <c r="H666" s="129"/>
      <c r="I666" s="129"/>
      <c r="J666" s="129"/>
      <c r="K666" s="129"/>
    </row>
    <row r="667" spans="3:11" s="120" customFormat="1" x14ac:dyDescent="0.2">
      <c r="C667" s="391"/>
      <c r="E667" s="129"/>
      <c r="F667" s="129"/>
      <c r="G667" s="129"/>
      <c r="H667" s="129"/>
      <c r="I667" s="129"/>
      <c r="J667" s="129"/>
      <c r="K667" s="129"/>
    </row>
    <row r="668" spans="3:11" s="120" customFormat="1" x14ac:dyDescent="0.2">
      <c r="C668" s="391"/>
      <c r="E668" s="129"/>
      <c r="F668" s="129"/>
      <c r="G668" s="129"/>
      <c r="H668" s="129"/>
      <c r="I668" s="129"/>
      <c r="J668" s="129"/>
      <c r="K668" s="129"/>
    </row>
    <row r="669" spans="3:11" s="120" customFormat="1" x14ac:dyDescent="0.2">
      <c r="C669" s="391"/>
      <c r="E669" s="129"/>
      <c r="F669" s="129"/>
      <c r="G669" s="129"/>
      <c r="H669" s="129"/>
      <c r="I669" s="129"/>
      <c r="J669" s="129"/>
      <c r="K669" s="129"/>
    </row>
    <row r="670" spans="3:11" s="120" customFormat="1" x14ac:dyDescent="0.2">
      <c r="C670" s="391"/>
      <c r="E670" s="129"/>
      <c r="F670" s="129"/>
      <c r="G670" s="129"/>
      <c r="H670" s="129"/>
      <c r="I670" s="129"/>
      <c r="J670" s="129"/>
      <c r="K670" s="129"/>
    </row>
    <row r="671" spans="3:11" s="120" customFormat="1" x14ac:dyDescent="0.2">
      <c r="C671" s="391"/>
      <c r="E671" s="129"/>
      <c r="F671" s="129"/>
      <c r="G671" s="129"/>
      <c r="H671" s="129"/>
      <c r="I671" s="129"/>
      <c r="J671" s="129"/>
      <c r="K671" s="129"/>
    </row>
    <row r="672" spans="3:11" s="120" customFormat="1" x14ac:dyDescent="0.2">
      <c r="C672" s="391"/>
      <c r="E672" s="129"/>
      <c r="F672" s="129"/>
      <c r="G672" s="129"/>
      <c r="H672" s="129"/>
      <c r="I672" s="129"/>
      <c r="J672" s="129"/>
      <c r="K672" s="129"/>
    </row>
    <row r="673" spans="3:11" s="120" customFormat="1" x14ac:dyDescent="0.2">
      <c r="C673" s="391"/>
      <c r="E673" s="129"/>
      <c r="F673" s="129"/>
      <c r="G673" s="129"/>
      <c r="H673" s="129"/>
      <c r="I673" s="129"/>
      <c r="J673" s="129"/>
      <c r="K673" s="129"/>
    </row>
    <row r="674" spans="3:11" s="120" customFormat="1" x14ac:dyDescent="0.2">
      <c r="C674" s="391"/>
      <c r="E674" s="129"/>
      <c r="F674" s="129"/>
      <c r="G674" s="129"/>
      <c r="H674" s="129"/>
      <c r="I674" s="129"/>
      <c r="J674" s="129"/>
      <c r="K674" s="129"/>
    </row>
    <row r="675" spans="3:11" s="120" customFormat="1" x14ac:dyDescent="0.2">
      <c r="C675" s="391"/>
      <c r="E675" s="129"/>
      <c r="F675" s="129"/>
      <c r="G675" s="129"/>
      <c r="H675" s="129"/>
      <c r="I675" s="129"/>
      <c r="J675" s="129"/>
      <c r="K675" s="129"/>
    </row>
    <row r="676" spans="3:11" s="120" customFormat="1" x14ac:dyDescent="0.2">
      <c r="C676" s="391"/>
      <c r="E676" s="129"/>
      <c r="F676" s="129"/>
      <c r="G676" s="129"/>
      <c r="H676" s="129"/>
      <c r="I676" s="129"/>
      <c r="J676" s="129"/>
      <c r="K676" s="129"/>
    </row>
    <row r="677" spans="3:11" s="120" customFormat="1" x14ac:dyDescent="0.2">
      <c r="C677" s="391"/>
      <c r="E677" s="129"/>
      <c r="F677" s="129"/>
      <c r="G677" s="129"/>
      <c r="H677" s="129"/>
      <c r="I677" s="129"/>
      <c r="J677" s="129"/>
      <c r="K677" s="129"/>
    </row>
    <row r="678" spans="3:11" s="120" customFormat="1" x14ac:dyDescent="0.2">
      <c r="C678" s="391"/>
      <c r="E678" s="129"/>
      <c r="F678" s="129"/>
      <c r="G678" s="129"/>
      <c r="H678" s="129"/>
      <c r="I678" s="129"/>
      <c r="J678" s="129"/>
      <c r="K678" s="129"/>
    </row>
    <row r="679" spans="3:11" s="120" customFormat="1" x14ac:dyDescent="0.2">
      <c r="C679" s="391"/>
      <c r="E679" s="129"/>
      <c r="F679" s="129"/>
      <c r="G679" s="129"/>
      <c r="H679" s="129"/>
      <c r="I679" s="129"/>
      <c r="J679" s="129"/>
      <c r="K679" s="129"/>
    </row>
    <row r="680" spans="3:11" s="120" customFormat="1" x14ac:dyDescent="0.2">
      <c r="C680" s="391"/>
      <c r="E680" s="129"/>
      <c r="F680" s="129"/>
      <c r="G680" s="129"/>
      <c r="H680" s="129"/>
      <c r="I680" s="129"/>
      <c r="J680" s="129"/>
      <c r="K680" s="129"/>
    </row>
    <row r="681" spans="3:11" s="120" customFormat="1" x14ac:dyDescent="0.2">
      <c r="C681" s="391"/>
      <c r="E681" s="129"/>
      <c r="F681" s="129"/>
      <c r="G681" s="129"/>
      <c r="H681" s="129"/>
      <c r="I681" s="129"/>
      <c r="J681" s="129"/>
      <c r="K681" s="129"/>
    </row>
    <row r="682" spans="3:11" s="120" customFormat="1" x14ac:dyDescent="0.2">
      <c r="C682" s="391"/>
      <c r="E682" s="129"/>
      <c r="F682" s="129"/>
      <c r="G682" s="129"/>
      <c r="H682" s="129"/>
      <c r="I682" s="129"/>
      <c r="J682" s="129"/>
      <c r="K682" s="129"/>
    </row>
    <row r="683" spans="3:11" s="120" customFormat="1" x14ac:dyDescent="0.2">
      <c r="C683" s="391"/>
      <c r="E683" s="129"/>
      <c r="F683" s="129"/>
      <c r="G683" s="129"/>
      <c r="H683" s="129"/>
      <c r="I683" s="129"/>
      <c r="J683" s="129"/>
      <c r="K683" s="129"/>
    </row>
    <row r="684" spans="3:11" s="120" customFormat="1" x14ac:dyDescent="0.2">
      <c r="C684" s="391"/>
      <c r="E684" s="129"/>
      <c r="F684" s="129"/>
      <c r="G684" s="129"/>
      <c r="H684" s="129"/>
      <c r="I684" s="129"/>
      <c r="J684" s="129"/>
      <c r="K684" s="129"/>
    </row>
    <row r="685" spans="3:11" s="120" customFormat="1" x14ac:dyDescent="0.2">
      <c r="C685" s="391"/>
      <c r="E685" s="129"/>
      <c r="F685" s="129"/>
      <c r="G685" s="129"/>
      <c r="H685" s="129"/>
      <c r="I685" s="129"/>
      <c r="J685" s="129"/>
      <c r="K685" s="129"/>
    </row>
    <row r="686" spans="3:11" s="120" customFormat="1" x14ac:dyDescent="0.2">
      <c r="C686" s="391"/>
      <c r="E686" s="129"/>
      <c r="F686" s="129"/>
      <c r="G686" s="129"/>
      <c r="H686" s="129"/>
      <c r="I686" s="129"/>
      <c r="J686" s="129"/>
      <c r="K686" s="129"/>
    </row>
    <row r="687" spans="3:11" s="120" customFormat="1" x14ac:dyDescent="0.2">
      <c r="C687" s="391"/>
      <c r="E687" s="129"/>
      <c r="F687" s="129"/>
      <c r="G687" s="129"/>
      <c r="H687" s="129"/>
      <c r="I687" s="129"/>
      <c r="J687" s="129"/>
      <c r="K687" s="129"/>
    </row>
    <row r="688" spans="3:11" s="120" customFormat="1" x14ac:dyDescent="0.2">
      <c r="C688" s="391"/>
      <c r="E688" s="129"/>
      <c r="F688" s="129"/>
      <c r="G688" s="129"/>
      <c r="H688" s="129"/>
      <c r="I688" s="129"/>
      <c r="J688" s="129"/>
      <c r="K688" s="129"/>
    </row>
    <row r="689" spans="3:11" s="120" customFormat="1" x14ac:dyDescent="0.2">
      <c r="C689" s="391"/>
      <c r="E689" s="129"/>
      <c r="F689" s="129"/>
      <c r="G689" s="129"/>
      <c r="H689" s="129"/>
      <c r="I689" s="129"/>
      <c r="J689" s="129"/>
      <c r="K689" s="129"/>
    </row>
    <row r="690" spans="3:11" s="120" customFormat="1" x14ac:dyDescent="0.2">
      <c r="C690" s="391"/>
      <c r="E690" s="129"/>
      <c r="F690" s="129"/>
      <c r="G690" s="129"/>
      <c r="H690" s="129"/>
      <c r="I690" s="129"/>
      <c r="J690" s="129"/>
      <c r="K690" s="129"/>
    </row>
    <row r="691" spans="3:11" s="120" customFormat="1" x14ac:dyDescent="0.2">
      <c r="C691" s="391"/>
      <c r="E691" s="129"/>
      <c r="F691" s="129"/>
      <c r="G691" s="129"/>
      <c r="H691" s="129"/>
      <c r="I691" s="129"/>
      <c r="J691" s="129"/>
      <c r="K691" s="129"/>
    </row>
    <row r="692" spans="3:11" s="120" customFormat="1" x14ac:dyDescent="0.2">
      <c r="C692" s="391"/>
      <c r="E692" s="129"/>
      <c r="F692" s="129"/>
      <c r="G692" s="129"/>
      <c r="H692" s="129"/>
      <c r="I692" s="129"/>
      <c r="J692" s="129"/>
      <c r="K692" s="129"/>
    </row>
    <row r="693" spans="3:11" s="120" customFormat="1" x14ac:dyDescent="0.2">
      <c r="C693" s="391"/>
      <c r="E693" s="129"/>
      <c r="F693" s="129"/>
      <c r="G693" s="129"/>
      <c r="H693" s="129"/>
      <c r="I693" s="129"/>
      <c r="J693" s="129"/>
      <c r="K693" s="129"/>
    </row>
    <row r="694" spans="3:11" s="120" customFormat="1" x14ac:dyDescent="0.2">
      <c r="C694" s="391"/>
      <c r="E694" s="129"/>
      <c r="F694" s="129"/>
      <c r="G694" s="129"/>
      <c r="H694" s="129"/>
      <c r="I694" s="129"/>
      <c r="J694" s="129"/>
      <c r="K694" s="129"/>
    </row>
    <row r="695" spans="3:11" s="120" customFormat="1" x14ac:dyDescent="0.2">
      <c r="C695" s="391"/>
      <c r="E695" s="129"/>
      <c r="F695" s="129"/>
      <c r="G695" s="129"/>
      <c r="H695" s="129"/>
      <c r="I695" s="129"/>
      <c r="J695" s="129"/>
      <c r="K695" s="129"/>
    </row>
    <row r="696" spans="3:11" s="120" customFormat="1" x14ac:dyDescent="0.2">
      <c r="C696" s="391"/>
      <c r="E696" s="129"/>
      <c r="F696" s="129"/>
      <c r="G696" s="129"/>
      <c r="H696" s="129"/>
      <c r="I696" s="129"/>
      <c r="J696" s="129"/>
      <c r="K696" s="129"/>
    </row>
    <row r="697" spans="3:11" s="120" customFormat="1" x14ac:dyDescent="0.2">
      <c r="C697" s="391"/>
      <c r="E697" s="129"/>
      <c r="F697" s="129"/>
      <c r="G697" s="129"/>
      <c r="H697" s="129"/>
      <c r="I697" s="129"/>
      <c r="J697" s="129"/>
      <c r="K697" s="129"/>
    </row>
    <row r="698" spans="3:11" s="120" customFormat="1" x14ac:dyDescent="0.2">
      <c r="C698" s="391"/>
      <c r="E698" s="129"/>
      <c r="F698" s="129"/>
      <c r="G698" s="129"/>
      <c r="H698" s="129"/>
      <c r="I698" s="129"/>
      <c r="J698" s="129"/>
      <c r="K698" s="129"/>
    </row>
    <row r="699" spans="3:11" s="120" customFormat="1" x14ac:dyDescent="0.2">
      <c r="C699" s="391"/>
      <c r="E699" s="129"/>
      <c r="F699" s="129"/>
      <c r="G699" s="129"/>
      <c r="H699" s="129"/>
      <c r="I699" s="129"/>
      <c r="J699" s="129"/>
      <c r="K699" s="129"/>
    </row>
    <row r="700" spans="3:11" s="120" customFormat="1" x14ac:dyDescent="0.2">
      <c r="C700" s="391"/>
      <c r="E700" s="129"/>
      <c r="F700" s="129"/>
      <c r="G700" s="129"/>
      <c r="H700" s="129"/>
      <c r="I700" s="129"/>
      <c r="J700" s="129"/>
      <c r="K700" s="129"/>
    </row>
    <row r="701" spans="3:11" s="120" customFormat="1" x14ac:dyDescent="0.2">
      <c r="C701" s="391"/>
      <c r="E701" s="129"/>
      <c r="F701" s="129"/>
      <c r="G701" s="129"/>
      <c r="H701" s="129"/>
      <c r="I701" s="129"/>
      <c r="J701" s="129"/>
      <c r="K701" s="129"/>
    </row>
    <row r="702" spans="3:11" s="120" customFormat="1" x14ac:dyDescent="0.2">
      <c r="C702" s="391"/>
      <c r="E702" s="129"/>
      <c r="F702" s="129"/>
      <c r="G702" s="129"/>
      <c r="H702" s="129"/>
      <c r="I702" s="129"/>
      <c r="J702" s="129"/>
      <c r="K702" s="129"/>
    </row>
    <row r="703" spans="3:11" s="120" customFormat="1" x14ac:dyDescent="0.2">
      <c r="C703" s="391"/>
      <c r="E703" s="129"/>
      <c r="F703" s="129"/>
      <c r="G703" s="129"/>
      <c r="H703" s="129"/>
      <c r="I703" s="129"/>
      <c r="J703" s="129"/>
      <c r="K703" s="129"/>
    </row>
    <row r="704" spans="3:11" s="120" customFormat="1" x14ac:dyDescent="0.2">
      <c r="C704" s="391"/>
      <c r="E704" s="129"/>
      <c r="F704" s="129"/>
      <c r="G704" s="129"/>
      <c r="H704" s="129"/>
      <c r="I704" s="129"/>
      <c r="J704" s="129"/>
      <c r="K704" s="129"/>
    </row>
    <row r="705" spans="3:11" s="120" customFormat="1" x14ac:dyDescent="0.2">
      <c r="C705" s="391"/>
      <c r="E705" s="129"/>
      <c r="F705" s="129"/>
      <c r="G705" s="129"/>
      <c r="H705" s="129"/>
      <c r="I705" s="129"/>
      <c r="J705" s="129"/>
      <c r="K705" s="129"/>
    </row>
    <row r="706" spans="3:11" s="120" customFormat="1" x14ac:dyDescent="0.2">
      <c r="C706" s="391"/>
      <c r="E706" s="129"/>
      <c r="F706" s="129"/>
      <c r="G706" s="129"/>
      <c r="H706" s="129"/>
      <c r="I706" s="129"/>
      <c r="J706" s="129"/>
      <c r="K706" s="129"/>
    </row>
    <row r="707" spans="3:11" s="120" customFormat="1" x14ac:dyDescent="0.2">
      <c r="C707" s="391"/>
      <c r="E707" s="129"/>
      <c r="F707" s="129"/>
      <c r="G707" s="129"/>
      <c r="H707" s="129"/>
      <c r="I707" s="129"/>
      <c r="J707" s="129"/>
      <c r="K707" s="129"/>
    </row>
    <row r="708" spans="3:11" s="120" customFormat="1" x14ac:dyDescent="0.2">
      <c r="C708" s="391"/>
      <c r="E708" s="129"/>
      <c r="F708" s="129"/>
      <c r="G708" s="129"/>
      <c r="H708" s="129"/>
      <c r="I708" s="129"/>
      <c r="J708" s="129"/>
      <c r="K708" s="129"/>
    </row>
    <row r="709" spans="3:11" s="120" customFormat="1" x14ac:dyDescent="0.2">
      <c r="C709" s="391"/>
      <c r="E709" s="129"/>
      <c r="F709" s="129"/>
      <c r="G709" s="129"/>
      <c r="H709" s="129"/>
      <c r="I709" s="129"/>
      <c r="J709" s="129"/>
      <c r="K709" s="129"/>
    </row>
    <row r="710" spans="3:11" s="120" customFormat="1" x14ac:dyDescent="0.2">
      <c r="C710" s="391"/>
      <c r="E710" s="129"/>
      <c r="F710" s="129"/>
      <c r="G710" s="129"/>
      <c r="H710" s="129"/>
      <c r="I710" s="129"/>
      <c r="J710" s="129"/>
      <c r="K710" s="129"/>
    </row>
    <row r="711" spans="3:11" s="120" customFormat="1" x14ac:dyDescent="0.2">
      <c r="C711" s="391"/>
      <c r="E711" s="129"/>
      <c r="F711" s="129"/>
      <c r="G711" s="129"/>
      <c r="H711" s="129"/>
      <c r="I711" s="129"/>
      <c r="J711" s="129"/>
      <c r="K711" s="129"/>
    </row>
    <row r="712" spans="3:11" s="120" customFormat="1" x14ac:dyDescent="0.2">
      <c r="C712" s="391"/>
      <c r="E712" s="129"/>
      <c r="F712" s="129"/>
      <c r="G712" s="129"/>
      <c r="H712" s="129"/>
      <c r="I712" s="129"/>
      <c r="J712" s="129"/>
      <c r="K712" s="129"/>
    </row>
    <row r="713" spans="3:11" s="120" customFormat="1" x14ac:dyDescent="0.2">
      <c r="C713" s="391"/>
      <c r="E713" s="129"/>
      <c r="F713" s="129"/>
      <c r="G713" s="129"/>
      <c r="H713" s="129"/>
      <c r="I713" s="129"/>
      <c r="J713" s="129"/>
      <c r="K713" s="129"/>
    </row>
    <row r="714" spans="3:11" s="120" customFormat="1" x14ac:dyDescent="0.2">
      <c r="C714" s="391"/>
      <c r="E714" s="129"/>
      <c r="F714" s="129"/>
      <c r="G714" s="129"/>
      <c r="H714" s="129"/>
      <c r="I714" s="129"/>
      <c r="J714" s="129"/>
      <c r="K714" s="129"/>
    </row>
    <row r="715" spans="3:11" s="120" customFormat="1" x14ac:dyDescent="0.2">
      <c r="C715" s="391"/>
      <c r="E715" s="129"/>
      <c r="F715" s="129"/>
      <c r="G715" s="129"/>
      <c r="H715" s="129"/>
      <c r="I715" s="129"/>
      <c r="J715" s="129"/>
      <c r="K715" s="129"/>
    </row>
    <row r="716" spans="3:11" s="120" customFormat="1" x14ac:dyDescent="0.2">
      <c r="C716" s="391"/>
      <c r="E716" s="129"/>
      <c r="F716" s="129"/>
      <c r="G716" s="129"/>
      <c r="H716" s="129"/>
      <c r="I716" s="129"/>
      <c r="J716" s="129"/>
      <c r="K716" s="129"/>
    </row>
    <row r="717" spans="3:11" s="120" customFormat="1" x14ac:dyDescent="0.2">
      <c r="C717" s="391"/>
      <c r="E717" s="129"/>
      <c r="F717" s="129"/>
      <c r="G717" s="129"/>
      <c r="H717" s="129"/>
      <c r="I717" s="129"/>
      <c r="J717" s="129"/>
      <c r="K717" s="129"/>
    </row>
    <row r="718" spans="3:11" s="120" customFormat="1" x14ac:dyDescent="0.2">
      <c r="C718" s="391"/>
      <c r="E718" s="129"/>
      <c r="F718" s="129"/>
      <c r="G718" s="129"/>
      <c r="H718" s="129"/>
      <c r="I718" s="129"/>
      <c r="J718" s="129"/>
      <c r="K718" s="129"/>
    </row>
    <row r="719" spans="3:11" s="120" customFormat="1" x14ac:dyDescent="0.2">
      <c r="C719" s="391"/>
      <c r="E719" s="129"/>
      <c r="F719" s="129"/>
      <c r="G719" s="129"/>
      <c r="H719" s="129"/>
      <c r="I719" s="129"/>
      <c r="J719" s="129"/>
      <c r="K719" s="129"/>
    </row>
    <row r="720" spans="3:11" s="120" customFormat="1" x14ac:dyDescent="0.2">
      <c r="C720" s="391"/>
      <c r="E720" s="129"/>
      <c r="F720" s="129"/>
      <c r="G720" s="129"/>
      <c r="H720" s="129"/>
      <c r="I720" s="129"/>
      <c r="J720" s="129"/>
      <c r="K720" s="129"/>
    </row>
    <row r="721" spans="3:11" s="120" customFormat="1" x14ac:dyDescent="0.2">
      <c r="C721" s="391"/>
      <c r="E721" s="129"/>
      <c r="F721" s="129"/>
      <c r="G721" s="129"/>
      <c r="H721" s="129"/>
      <c r="I721" s="129"/>
      <c r="J721" s="129"/>
      <c r="K721" s="129"/>
    </row>
    <row r="722" spans="3:11" s="120" customFormat="1" x14ac:dyDescent="0.2">
      <c r="C722" s="391"/>
      <c r="E722" s="129"/>
      <c r="F722" s="129"/>
      <c r="G722" s="129"/>
      <c r="H722" s="129"/>
      <c r="I722" s="129"/>
      <c r="J722" s="129"/>
      <c r="K722" s="129"/>
    </row>
    <row r="723" spans="3:11" s="120" customFormat="1" x14ac:dyDescent="0.2">
      <c r="C723" s="391"/>
      <c r="E723" s="129"/>
      <c r="F723" s="129"/>
      <c r="G723" s="129"/>
      <c r="H723" s="129"/>
      <c r="I723" s="129"/>
      <c r="J723" s="129"/>
      <c r="K723" s="129"/>
    </row>
    <row r="724" spans="3:11" s="120" customFormat="1" x14ac:dyDescent="0.2">
      <c r="C724" s="391"/>
      <c r="E724" s="129"/>
      <c r="F724" s="129"/>
      <c r="G724" s="129"/>
      <c r="H724" s="129"/>
      <c r="I724" s="129"/>
      <c r="J724" s="129"/>
      <c r="K724" s="129"/>
    </row>
    <row r="725" spans="3:11" s="120" customFormat="1" x14ac:dyDescent="0.2">
      <c r="C725" s="391"/>
      <c r="E725" s="129"/>
      <c r="F725" s="129"/>
      <c r="G725" s="129"/>
      <c r="H725" s="129"/>
      <c r="I725" s="129"/>
      <c r="J725" s="129"/>
      <c r="K725" s="129"/>
    </row>
    <row r="726" spans="3:11" s="120" customFormat="1" x14ac:dyDescent="0.2">
      <c r="C726" s="391"/>
      <c r="E726" s="129"/>
      <c r="F726" s="129"/>
      <c r="G726" s="129"/>
      <c r="H726" s="129"/>
      <c r="I726" s="129"/>
      <c r="J726" s="129"/>
      <c r="K726" s="129"/>
    </row>
    <row r="727" spans="3:11" s="120" customFormat="1" x14ac:dyDescent="0.2">
      <c r="C727" s="391"/>
      <c r="E727" s="129"/>
      <c r="F727" s="129"/>
      <c r="G727" s="129"/>
      <c r="H727" s="129"/>
      <c r="I727" s="129"/>
      <c r="J727" s="129"/>
      <c r="K727" s="129"/>
    </row>
    <row r="728" spans="3:11" s="120" customFormat="1" x14ac:dyDescent="0.2">
      <c r="C728" s="391"/>
      <c r="E728" s="129"/>
      <c r="F728" s="129"/>
      <c r="G728" s="129"/>
      <c r="H728" s="129"/>
      <c r="I728" s="129"/>
      <c r="J728" s="129"/>
      <c r="K728" s="129"/>
    </row>
    <row r="729" spans="3:11" s="120" customFormat="1" x14ac:dyDescent="0.2">
      <c r="C729" s="391"/>
      <c r="E729" s="129"/>
      <c r="F729" s="129"/>
      <c r="G729" s="129"/>
      <c r="H729" s="129"/>
      <c r="I729" s="129"/>
      <c r="J729" s="129"/>
      <c r="K729" s="129"/>
    </row>
    <row r="730" spans="3:11" s="120" customFormat="1" x14ac:dyDescent="0.2">
      <c r="C730" s="391"/>
      <c r="E730" s="129"/>
      <c r="F730" s="129"/>
      <c r="G730" s="129"/>
      <c r="H730" s="129"/>
      <c r="I730" s="129"/>
      <c r="J730" s="129"/>
      <c r="K730" s="129"/>
    </row>
    <row r="731" spans="3:11" s="120" customFormat="1" x14ac:dyDescent="0.2">
      <c r="C731" s="391"/>
      <c r="E731" s="129"/>
      <c r="F731" s="129"/>
      <c r="G731" s="129"/>
      <c r="H731" s="129"/>
      <c r="I731" s="129"/>
      <c r="J731" s="129"/>
      <c r="K731" s="129"/>
    </row>
    <row r="732" spans="3:11" s="120" customFormat="1" x14ac:dyDescent="0.2">
      <c r="C732" s="391"/>
      <c r="E732" s="129"/>
      <c r="F732" s="129"/>
      <c r="G732" s="129"/>
      <c r="H732" s="129"/>
      <c r="I732" s="129"/>
      <c r="J732" s="129"/>
      <c r="K732" s="129"/>
    </row>
    <row r="733" spans="3:11" s="120" customFormat="1" x14ac:dyDescent="0.2">
      <c r="C733" s="391"/>
      <c r="E733" s="129"/>
      <c r="F733" s="129"/>
      <c r="G733" s="129"/>
      <c r="H733" s="129"/>
      <c r="I733" s="129"/>
      <c r="J733" s="129"/>
      <c r="K733" s="129"/>
    </row>
    <row r="734" spans="3:11" s="120" customFormat="1" x14ac:dyDescent="0.2">
      <c r="C734" s="391"/>
      <c r="E734" s="129"/>
      <c r="F734" s="129"/>
      <c r="G734" s="129"/>
      <c r="H734" s="129"/>
      <c r="I734" s="129"/>
      <c r="J734" s="129"/>
      <c r="K734" s="129"/>
    </row>
    <row r="735" spans="3:11" s="120" customFormat="1" x14ac:dyDescent="0.2">
      <c r="C735" s="391"/>
      <c r="E735" s="129"/>
      <c r="F735" s="129"/>
      <c r="G735" s="129"/>
      <c r="H735" s="129"/>
      <c r="I735" s="129"/>
      <c r="J735" s="129"/>
      <c r="K735" s="129"/>
    </row>
    <row r="736" spans="3:11" s="120" customFormat="1" x14ac:dyDescent="0.2">
      <c r="C736" s="391"/>
      <c r="E736" s="129"/>
      <c r="F736" s="129"/>
      <c r="G736" s="129"/>
      <c r="H736" s="129"/>
      <c r="I736" s="129"/>
      <c r="J736" s="129"/>
      <c r="K736" s="129"/>
    </row>
    <row r="737" spans="3:11" s="120" customFormat="1" x14ac:dyDescent="0.2">
      <c r="C737" s="391"/>
      <c r="E737" s="129"/>
      <c r="F737" s="129"/>
      <c r="G737" s="129"/>
      <c r="H737" s="129"/>
      <c r="I737" s="129"/>
      <c r="J737" s="129"/>
      <c r="K737" s="129"/>
    </row>
    <row r="738" spans="3:11" s="120" customFormat="1" x14ac:dyDescent="0.2">
      <c r="C738" s="391"/>
      <c r="E738" s="129"/>
      <c r="F738" s="129"/>
      <c r="G738" s="129"/>
      <c r="H738" s="129"/>
      <c r="I738" s="129"/>
      <c r="J738" s="129"/>
      <c r="K738" s="129"/>
    </row>
    <row r="739" spans="3:11" s="120" customFormat="1" x14ac:dyDescent="0.2">
      <c r="C739" s="391"/>
      <c r="E739" s="129"/>
      <c r="F739" s="129"/>
      <c r="G739" s="129"/>
      <c r="H739" s="129"/>
      <c r="I739" s="129"/>
      <c r="J739" s="129"/>
      <c r="K739" s="129"/>
    </row>
    <row r="740" spans="3:11" s="120" customFormat="1" x14ac:dyDescent="0.2">
      <c r="C740" s="391"/>
      <c r="E740" s="129"/>
      <c r="F740" s="129"/>
      <c r="G740" s="129"/>
      <c r="H740" s="129"/>
      <c r="I740" s="129"/>
      <c r="J740" s="129"/>
      <c r="K740" s="129"/>
    </row>
    <row r="741" spans="3:11" s="120" customFormat="1" x14ac:dyDescent="0.2">
      <c r="C741" s="391"/>
      <c r="E741" s="129"/>
      <c r="F741" s="129"/>
      <c r="G741" s="129"/>
      <c r="H741" s="129"/>
      <c r="I741" s="129"/>
      <c r="J741" s="129"/>
      <c r="K741" s="129"/>
    </row>
    <row r="742" spans="3:11" s="120" customFormat="1" x14ac:dyDescent="0.2">
      <c r="C742" s="391"/>
      <c r="E742" s="129"/>
      <c r="F742" s="129"/>
      <c r="G742" s="129"/>
      <c r="H742" s="129"/>
      <c r="I742" s="129"/>
      <c r="J742" s="129"/>
      <c r="K742" s="129"/>
    </row>
    <row r="743" spans="3:11" s="120" customFormat="1" x14ac:dyDescent="0.2">
      <c r="C743" s="391"/>
      <c r="E743" s="129"/>
      <c r="F743" s="129"/>
      <c r="G743" s="129"/>
      <c r="H743" s="129"/>
      <c r="I743" s="129"/>
      <c r="J743" s="129"/>
      <c r="K743" s="129"/>
    </row>
    <row r="744" spans="3:11" s="120" customFormat="1" x14ac:dyDescent="0.2">
      <c r="C744" s="391"/>
      <c r="E744" s="129"/>
      <c r="F744" s="129"/>
      <c r="G744" s="129"/>
      <c r="H744" s="129"/>
      <c r="I744" s="129"/>
      <c r="J744" s="129"/>
      <c r="K744" s="129"/>
    </row>
    <row r="745" spans="3:11" s="120" customFormat="1" x14ac:dyDescent="0.2">
      <c r="C745" s="391"/>
      <c r="E745" s="129"/>
      <c r="F745" s="129"/>
      <c r="G745" s="129"/>
      <c r="H745" s="129"/>
      <c r="I745" s="129"/>
      <c r="J745" s="129"/>
      <c r="K745" s="129"/>
    </row>
    <row r="746" spans="3:11" s="120" customFormat="1" x14ac:dyDescent="0.2">
      <c r="C746" s="391"/>
      <c r="E746" s="129"/>
      <c r="F746" s="129"/>
      <c r="G746" s="129"/>
      <c r="H746" s="129"/>
      <c r="I746" s="129"/>
      <c r="J746" s="129"/>
      <c r="K746" s="129"/>
    </row>
    <row r="747" spans="3:11" s="120" customFormat="1" x14ac:dyDescent="0.2">
      <c r="C747" s="391"/>
      <c r="E747" s="129"/>
      <c r="F747" s="129"/>
      <c r="G747" s="129"/>
      <c r="H747" s="129"/>
      <c r="I747" s="129"/>
      <c r="J747" s="129"/>
      <c r="K747" s="129"/>
    </row>
    <row r="748" spans="3:11" s="120" customFormat="1" x14ac:dyDescent="0.2">
      <c r="C748" s="391"/>
      <c r="E748" s="129"/>
      <c r="F748" s="129"/>
      <c r="G748" s="129"/>
      <c r="H748" s="129"/>
      <c r="I748" s="129"/>
      <c r="J748" s="129"/>
      <c r="K748" s="129"/>
    </row>
    <row r="749" spans="3:11" s="120" customFormat="1" x14ac:dyDescent="0.2">
      <c r="C749" s="391"/>
      <c r="E749" s="129"/>
      <c r="F749" s="129"/>
      <c r="G749" s="129"/>
      <c r="H749" s="129"/>
      <c r="I749" s="129"/>
      <c r="J749" s="129"/>
      <c r="K749" s="129"/>
    </row>
    <row r="750" spans="3:11" s="120" customFormat="1" x14ac:dyDescent="0.2">
      <c r="C750" s="391"/>
      <c r="E750" s="129"/>
      <c r="F750" s="129"/>
      <c r="G750" s="129"/>
      <c r="H750" s="129"/>
      <c r="I750" s="129"/>
      <c r="J750" s="129"/>
      <c r="K750" s="129"/>
    </row>
    <row r="751" spans="3:11" s="120" customFormat="1" x14ac:dyDescent="0.2">
      <c r="C751" s="391"/>
      <c r="E751" s="129"/>
      <c r="F751" s="129"/>
      <c r="G751" s="129"/>
      <c r="H751" s="129"/>
      <c r="I751" s="129"/>
      <c r="J751" s="129"/>
      <c r="K751" s="129"/>
    </row>
    <row r="752" spans="3:11" s="120" customFormat="1" x14ac:dyDescent="0.2">
      <c r="C752" s="391"/>
      <c r="E752" s="129"/>
      <c r="F752" s="129"/>
      <c r="G752" s="129"/>
      <c r="H752" s="129"/>
      <c r="I752" s="129"/>
      <c r="J752" s="129"/>
      <c r="K752" s="129"/>
    </row>
    <row r="753" spans="3:11" s="120" customFormat="1" x14ac:dyDescent="0.2">
      <c r="C753" s="391"/>
      <c r="E753" s="129"/>
      <c r="F753" s="129"/>
      <c r="G753" s="129"/>
      <c r="H753" s="129"/>
      <c r="I753" s="129"/>
      <c r="J753" s="129"/>
      <c r="K753" s="129"/>
    </row>
    <row r="754" spans="3:11" s="120" customFormat="1" x14ac:dyDescent="0.2">
      <c r="C754" s="391"/>
      <c r="E754" s="129"/>
      <c r="F754" s="129"/>
      <c r="G754" s="129"/>
      <c r="H754" s="129"/>
      <c r="I754" s="129"/>
      <c r="J754" s="129"/>
      <c r="K754" s="129"/>
    </row>
    <row r="755" spans="3:11" s="120" customFormat="1" x14ac:dyDescent="0.2">
      <c r="C755" s="391"/>
      <c r="E755" s="129"/>
      <c r="F755" s="129"/>
      <c r="G755" s="129"/>
      <c r="H755" s="129"/>
      <c r="I755" s="129"/>
      <c r="J755" s="129"/>
      <c r="K755" s="129"/>
    </row>
    <row r="756" spans="3:11" s="120" customFormat="1" x14ac:dyDescent="0.2">
      <c r="C756" s="391"/>
      <c r="E756" s="129"/>
      <c r="F756" s="129"/>
      <c r="G756" s="129"/>
      <c r="H756" s="129"/>
      <c r="I756" s="129"/>
      <c r="J756" s="129"/>
      <c r="K756" s="129"/>
    </row>
    <row r="757" spans="3:11" s="120" customFormat="1" x14ac:dyDescent="0.2">
      <c r="C757" s="391"/>
      <c r="E757" s="129"/>
      <c r="F757" s="129"/>
      <c r="G757" s="129"/>
      <c r="H757" s="129"/>
      <c r="I757" s="129"/>
      <c r="J757" s="129"/>
      <c r="K757" s="129"/>
    </row>
    <row r="758" spans="3:11" s="120" customFormat="1" x14ac:dyDescent="0.2">
      <c r="C758" s="391"/>
      <c r="E758" s="129"/>
      <c r="F758" s="129"/>
      <c r="G758" s="129"/>
      <c r="H758" s="129"/>
      <c r="I758" s="129"/>
      <c r="J758" s="129"/>
      <c r="K758" s="129"/>
    </row>
    <row r="759" spans="3:11" s="120" customFormat="1" x14ac:dyDescent="0.2">
      <c r="C759" s="391"/>
      <c r="E759" s="129"/>
      <c r="F759" s="129"/>
      <c r="G759" s="129"/>
      <c r="H759" s="129"/>
      <c r="I759" s="129"/>
      <c r="J759" s="129"/>
      <c r="K759" s="129"/>
    </row>
    <row r="760" spans="3:11" s="120" customFormat="1" x14ac:dyDescent="0.2">
      <c r="C760" s="391"/>
      <c r="E760" s="129"/>
      <c r="F760" s="129"/>
      <c r="G760" s="129"/>
      <c r="H760" s="129"/>
      <c r="I760" s="129"/>
      <c r="J760" s="129"/>
      <c r="K760" s="129"/>
    </row>
    <row r="761" spans="3:11" s="120" customFormat="1" x14ac:dyDescent="0.2">
      <c r="C761" s="391"/>
      <c r="E761" s="129"/>
      <c r="F761" s="129"/>
      <c r="G761" s="129"/>
      <c r="H761" s="129"/>
      <c r="I761" s="129"/>
      <c r="J761" s="129"/>
      <c r="K761" s="129"/>
    </row>
    <row r="762" spans="3:11" s="120" customFormat="1" x14ac:dyDescent="0.2">
      <c r="C762" s="391"/>
      <c r="E762" s="129"/>
      <c r="F762" s="129"/>
      <c r="G762" s="129"/>
      <c r="H762" s="129"/>
      <c r="I762" s="129"/>
      <c r="J762" s="129"/>
      <c r="K762" s="129"/>
    </row>
    <row r="763" spans="3:11" s="120" customFormat="1" x14ac:dyDescent="0.2">
      <c r="C763" s="391"/>
      <c r="E763" s="129"/>
      <c r="F763" s="129"/>
      <c r="G763" s="129"/>
      <c r="H763" s="129"/>
      <c r="I763" s="129"/>
      <c r="J763" s="129"/>
      <c r="K763" s="129"/>
    </row>
    <row r="764" spans="3:11" s="120" customFormat="1" x14ac:dyDescent="0.2">
      <c r="C764" s="391"/>
      <c r="E764" s="129"/>
      <c r="F764" s="129"/>
      <c r="G764" s="129"/>
      <c r="H764" s="129"/>
      <c r="I764" s="129"/>
      <c r="J764" s="129"/>
      <c r="K764" s="129"/>
    </row>
    <row r="765" spans="3:11" s="120" customFormat="1" x14ac:dyDescent="0.2">
      <c r="C765" s="391"/>
      <c r="E765" s="129"/>
      <c r="F765" s="129"/>
      <c r="G765" s="129"/>
      <c r="H765" s="129"/>
      <c r="I765" s="129"/>
      <c r="J765" s="129"/>
      <c r="K765" s="129"/>
    </row>
    <row r="766" spans="3:11" s="120" customFormat="1" x14ac:dyDescent="0.2">
      <c r="C766" s="391"/>
      <c r="E766" s="129"/>
      <c r="F766" s="129"/>
      <c r="G766" s="129"/>
      <c r="H766" s="129"/>
      <c r="I766" s="129"/>
      <c r="J766" s="129"/>
      <c r="K766" s="129"/>
    </row>
    <row r="767" spans="3:11" s="120" customFormat="1" x14ac:dyDescent="0.2">
      <c r="C767" s="391"/>
      <c r="E767" s="129"/>
      <c r="F767" s="129"/>
      <c r="G767" s="129"/>
      <c r="H767" s="129"/>
      <c r="I767" s="129"/>
      <c r="J767" s="129"/>
      <c r="K767" s="129"/>
    </row>
    <row r="768" spans="3:11" s="120" customFormat="1" x14ac:dyDescent="0.2">
      <c r="C768" s="391"/>
      <c r="E768" s="129"/>
      <c r="F768" s="129"/>
      <c r="G768" s="129"/>
      <c r="H768" s="129"/>
      <c r="I768" s="129"/>
      <c r="J768" s="129"/>
      <c r="K768" s="129"/>
    </row>
    <row r="769" spans="3:11" s="120" customFormat="1" x14ac:dyDescent="0.2">
      <c r="C769" s="391"/>
      <c r="E769" s="129"/>
      <c r="F769" s="129"/>
      <c r="G769" s="129"/>
      <c r="H769" s="129"/>
      <c r="I769" s="129"/>
      <c r="J769" s="129"/>
      <c r="K769" s="129"/>
    </row>
    <row r="770" spans="3:11" s="120" customFormat="1" x14ac:dyDescent="0.2">
      <c r="C770" s="391"/>
      <c r="E770" s="129"/>
      <c r="F770" s="129"/>
      <c r="G770" s="129"/>
      <c r="H770" s="129"/>
      <c r="I770" s="129"/>
      <c r="J770" s="129"/>
      <c r="K770" s="129"/>
    </row>
    <row r="771" spans="3:11" s="120" customFormat="1" x14ac:dyDescent="0.2">
      <c r="C771" s="391"/>
      <c r="E771" s="129"/>
      <c r="F771" s="129"/>
      <c r="G771" s="129"/>
      <c r="H771" s="129"/>
      <c r="I771" s="129"/>
      <c r="J771" s="129"/>
      <c r="K771" s="129"/>
    </row>
    <row r="772" spans="3:11" s="120" customFormat="1" x14ac:dyDescent="0.2">
      <c r="C772" s="391"/>
      <c r="E772" s="129"/>
      <c r="F772" s="129"/>
      <c r="G772" s="129"/>
      <c r="H772" s="129"/>
      <c r="I772" s="129"/>
      <c r="J772" s="129"/>
      <c r="K772" s="129"/>
    </row>
    <row r="773" spans="3:11" s="120" customFormat="1" x14ac:dyDescent="0.2">
      <c r="C773" s="391"/>
      <c r="E773" s="129"/>
      <c r="F773" s="129"/>
      <c r="G773" s="129"/>
      <c r="H773" s="129"/>
      <c r="I773" s="129"/>
      <c r="J773" s="129"/>
      <c r="K773" s="129"/>
    </row>
    <row r="774" spans="3:11" s="120" customFormat="1" x14ac:dyDescent="0.2">
      <c r="C774" s="391"/>
      <c r="E774" s="129"/>
      <c r="F774" s="129"/>
      <c r="G774" s="129"/>
      <c r="H774" s="129"/>
      <c r="I774" s="129"/>
      <c r="J774" s="129"/>
      <c r="K774" s="129"/>
    </row>
    <row r="775" spans="3:11" s="120" customFormat="1" x14ac:dyDescent="0.2">
      <c r="C775" s="391"/>
      <c r="E775" s="129"/>
      <c r="F775" s="129"/>
      <c r="G775" s="129"/>
      <c r="H775" s="129"/>
      <c r="I775" s="129"/>
      <c r="J775" s="129"/>
      <c r="K775" s="129"/>
    </row>
    <row r="776" spans="3:11" s="120" customFormat="1" x14ac:dyDescent="0.2">
      <c r="C776" s="391"/>
      <c r="E776" s="129"/>
      <c r="F776" s="129"/>
      <c r="G776" s="129"/>
      <c r="H776" s="129"/>
      <c r="I776" s="129"/>
      <c r="J776" s="129"/>
      <c r="K776" s="129"/>
    </row>
    <row r="777" spans="3:11" s="120" customFormat="1" x14ac:dyDescent="0.2">
      <c r="C777" s="391"/>
      <c r="E777" s="129"/>
      <c r="F777" s="129"/>
      <c r="G777" s="129"/>
      <c r="H777" s="129"/>
      <c r="I777" s="129"/>
      <c r="J777" s="129"/>
      <c r="K777" s="129"/>
    </row>
    <row r="778" spans="3:11" s="120" customFormat="1" x14ac:dyDescent="0.2">
      <c r="C778" s="391"/>
      <c r="E778" s="129"/>
      <c r="F778" s="129"/>
      <c r="G778" s="129"/>
      <c r="H778" s="129"/>
      <c r="I778" s="129"/>
      <c r="J778" s="129"/>
      <c r="K778" s="129"/>
    </row>
    <row r="779" spans="3:11" s="120" customFormat="1" x14ac:dyDescent="0.2">
      <c r="C779" s="391"/>
      <c r="E779" s="129"/>
      <c r="F779" s="129"/>
      <c r="G779" s="129"/>
      <c r="H779" s="129"/>
      <c r="I779" s="129"/>
      <c r="J779" s="129"/>
      <c r="K779" s="129"/>
    </row>
    <row r="780" spans="3:11" x14ac:dyDescent="0.2">
      <c r="D780" s="120"/>
      <c r="E780" s="129"/>
    </row>
    <row r="781" spans="3:11" x14ac:dyDescent="0.2">
      <c r="D781" s="120"/>
      <c r="E781" s="129"/>
    </row>
    <row r="782" spans="3:11" x14ac:dyDescent="0.2">
      <c r="D782" s="120"/>
      <c r="E782" s="129"/>
    </row>
    <row r="783" spans="3:11" x14ac:dyDescent="0.2">
      <c r="D783" s="120"/>
      <c r="E783" s="129"/>
    </row>
    <row r="784" spans="3:11" x14ac:dyDescent="0.2">
      <c r="D784" s="120"/>
      <c r="E784" s="129"/>
    </row>
    <row r="785" spans="4:5" x14ac:dyDescent="0.2">
      <c r="D785" s="120"/>
      <c r="E785" s="129"/>
    </row>
    <row r="786" spans="4:5" x14ac:dyDescent="0.2">
      <c r="D786" s="120"/>
      <c r="E786" s="129"/>
    </row>
    <row r="787" spans="4:5" x14ac:dyDescent="0.2">
      <c r="D787" s="120"/>
      <c r="E787" s="129"/>
    </row>
    <row r="788" spans="4:5" x14ac:dyDescent="0.2">
      <c r="D788" s="120"/>
      <c r="E788" s="129"/>
    </row>
    <row r="789" spans="4:5" x14ac:dyDescent="0.2">
      <c r="D789" s="120"/>
      <c r="E789" s="129"/>
    </row>
    <row r="790" spans="4:5" x14ac:dyDescent="0.2">
      <c r="D790" s="120"/>
      <c r="E790" s="129"/>
    </row>
    <row r="791" spans="4:5" x14ac:dyDescent="0.2">
      <c r="D791" s="120"/>
      <c r="E791" s="129"/>
    </row>
    <row r="792" spans="4:5" x14ac:dyDescent="0.2">
      <c r="D792" s="120"/>
      <c r="E792" s="129"/>
    </row>
    <row r="793" spans="4:5" x14ac:dyDescent="0.2">
      <c r="D793" s="120"/>
      <c r="E793" s="129"/>
    </row>
    <row r="794" spans="4:5" x14ac:dyDescent="0.2">
      <c r="D794" s="120"/>
      <c r="E794" s="129"/>
    </row>
    <row r="795" spans="4:5" x14ac:dyDescent="0.2">
      <c r="D795" s="120"/>
      <c r="E795" s="129"/>
    </row>
    <row r="796" spans="4:5" x14ac:dyDescent="0.2">
      <c r="D796" s="120"/>
      <c r="E796" s="129"/>
    </row>
    <row r="797" spans="4:5" x14ac:dyDescent="0.2">
      <c r="D797" s="120"/>
      <c r="E797" s="129"/>
    </row>
    <row r="798" spans="4:5" x14ac:dyDescent="0.2">
      <c r="D798" s="120"/>
      <c r="E798" s="129"/>
    </row>
    <row r="799" spans="4:5" x14ac:dyDescent="0.2">
      <c r="D799" s="120"/>
      <c r="E799" s="129"/>
    </row>
    <row r="800" spans="4:5" x14ac:dyDescent="0.2">
      <c r="D800" s="120"/>
      <c r="E800" s="129"/>
    </row>
    <row r="801" spans="4:5" x14ac:dyDescent="0.2">
      <c r="D801" s="120"/>
      <c r="E801" s="129"/>
    </row>
    <row r="802" spans="4:5" x14ac:dyDescent="0.2">
      <c r="D802" s="120"/>
      <c r="E802" s="129"/>
    </row>
    <row r="803" spans="4:5" x14ac:dyDescent="0.2">
      <c r="D803" s="120"/>
      <c r="E803" s="129"/>
    </row>
    <row r="804" spans="4:5" x14ac:dyDescent="0.2">
      <c r="D804" s="120"/>
      <c r="E804" s="129"/>
    </row>
    <row r="805" spans="4:5" x14ac:dyDescent="0.2">
      <c r="D805" s="120"/>
      <c r="E805" s="129"/>
    </row>
    <row r="806" spans="4:5" x14ac:dyDescent="0.2">
      <c r="D806" s="120"/>
      <c r="E806" s="129"/>
    </row>
    <row r="807" spans="4:5" x14ac:dyDescent="0.2">
      <c r="D807" s="120"/>
      <c r="E807" s="129"/>
    </row>
    <row r="808" spans="4:5" x14ac:dyDescent="0.2">
      <c r="D808" s="120"/>
      <c r="E808" s="129"/>
    </row>
    <row r="809" spans="4:5" x14ac:dyDescent="0.2">
      <c r="D809" s="120"/>
      <c r="E809" s="129"/>
    </row>
    <row r="810" spans="4:5" x14ac:dyDescent="0.2">
      <c r="D810" s="120"/>
      <c r="E810" s="129"/>
    </row>
    <row r="811" spans="4:5" x14ac:dyDescent="0.2">
      <c r="D811" s="120"/>
      <c r="E811" s="129"/>
    </row>
    <row r="812" spans="4:5" x14ac:dyDescent="0.2">
      <c r="D812" s="120"/>
      <c r="E812" s="129"/>
    </row>
    <row r="813" spans="4:5" x14ac:dyDescent="0.2">
      <c r="D813" s="120"/>
      <c r="E813" s="129"/>
    </row>
    <row r="814" spans="4:5" x14ac:dyDescent="0.2">
      <c r="D814" s="120"/>
      <c r="E814" s="129"/>
    </row>
    <row r="815" spans="4:5" x14ac:dyDescent="0.2">
      <c r="D815" s="120"/>
      <c r="E815" s="129"/>
    </row>
    <row r="816" spans="4:5" x14ac:dyDescent="0.2">
      <c r="D816" s="120"/>
      <c r="E816" s="129"/>
    </row>
    <row r="817" spans="4:5" x14ac:dyDescent="0.2">
      <c r="D817" s="120"/>
      <c r="E817" s="129"/>
    </row>
    <row r="818" spans="4:5" x14ac:dyDescent="0.2">
      <c r="D818" s="120"/>
      <c r="E818" s="129"/>
    </row>
    <row r="819" spans="4:5" x14ac:dyDescent="0.2">
      <c r="D819" s="120"/>
      <c r="E819" s="129"/>
    </row>
    <row r="820" spans="4:5" x14ac:dyDescent="0.2">
      <c r="D820" s="120"/>
      <c r="E820" s="129"/>
    </row>
    <row r="821" spans="4:5" x14ac:dyDescent="0.2">
      <c r="D821" s="120"/>
      <c r="E821" s="129"/>
    </row>
    <row r="822" spans="4:5" x14ac:dyDescent="0.2">
      <c r="D822" s="120"/>
      <c r="E822" s="129"/>
    </row>
    <row r="823" spans="4:5" x14ac:dyDescent="0.2">
      <c r="D823" s="120"/>
      <c r="E823" s="129"/>
    </row>
    <row r="824" spans="4:5" x14ac:dyDescent="0.2">
      <c r="D824" s="120"/>
      <c r="E824" s="129"/>
    </row>
    <row r="825" spans="4:5" x14ac:dyDescent="0.2">
      <c r="D825" s="120"/>
      <c r="E825" s="129"/>
    </row>
    <row r="826" spans="4:5" x14ac:dyDescent="0.2">
      <c r="D826" s="120"/>
      <c r="E826" s="129"/>
    </row>
    <row r="827" spans="4:5" x14ac:dyDescent="0.2">
      <c r="D827" s="120"/>
      <c r="E827" s="129"/>
    </row>
    <row r="828" spans="4:5" x14ac:dyDescent="0.2">
      <c r="D828" s="120"/>
      <c r="E828" s="129"/>
    </row>
    <row r="829" spans="4:5" x14ac:dyDescent="0.2">
      <c r="D829" s="120"/>
      <c r="E829" s="129"/>
    </row>
    <row r="830" spans="4:5" x14ac:dyDescent="0.2">
      <c r="D830" s="120"/>
      <c r="E830" s="129"/>
    </row>
    <row r="831" spans="4:5" x14ac:dyDescent="0.2">
      <c r="D831" s="120"/>
      <c r="E831" s="129"/>
    </row>
    <row r="832" spans="4:5" x14ac:dyDescent="0.2">
      <c r="D832" s="120"/>
      <c r="E832" s="129"/>
    </row>
    <row r="833" spans="4:5" x14ac:dyDescent="0.2">
      <c r="D833" s="120"/>
      <c r="E833" s="129"/>
    </row>
    <row r="834" spans="4:5" x14ac:dyDescent="0.2">
      <c r="D834" s="120"/>
      <c r="E834" s="129"/>
    </row>
    <row r="835" spans="4:5" x14ac:dyDescent="0.2">
      <c r="D835" s="120"/>
      <c r="E835" s="129"/>
    </row>
    <row r="836" spans="4:5" x14ac:dyDescent="0.2">
      <c r="D836" s="120"/>
      <c r="E836" s="129"/>
    </row>
    <row r="837" spans="4:5" x14ac:dyDescent="0.2">
      <c r="D837" s="120"/>
      <c r="E837" s="129"/>
    </row>
    <row r="838" spans="4:5" x14ac:dyDescent="0.2">
      <c r="D838" s="120"/>
      <c r="E838" s="129"/>
    </row>
    <row r="839" spans="4:5" x14ac:dyDescent="0.2">
      <c r="D839" s="120"/>
      <c r="E839" s="129"/>
    </row>
    <row r="840" spans="4:5" x14ac:dyDescent="0.2">
      <c r="D840" s="120"/>
      <c r="E840" s="129"/>
    </row>
    <row r="841" spans="4:5" x14ac:dyDescent="0.2">
      <c r="D841" s="120"/>
      <c r="E841" s="129"/>
    </row>
    <row r="842" spans="4:5" x14ac:dyDescent="0.2">
      <c r="D842" s="120"/>
      <c r="E842" s="129"/>
    </row>
    <row r="843" spans="4:5" x14ac:dyDescent="0.2">
      <c r="D843" s="120"/>
      <c r="E843" s="129"/>
    </row>
    <row r="844" spans="4:5" x14ac:dyDescent="0.2">
      <c r="D844" s="120"/>
      <c r="E844" s="129"/>
    </row>
    <row r="845" spans="4:5" x14ac:dyDescent="0.2">
      <c r="D845" s="120"/>
      <c r="E845" s="129"/>
    </row>
    <row r="846" spans="4:5" x14ac:dyDescent="0.2">
      <c r="D846" s="120"/>
      <c r="E846" s="129"/>
    </row>
    <row r="847" spans="4:5" x14ac:dyDescent="0.2">
      <c r="D847" s="120"/>
      <c r="E847" s="129"/>
    </row>
    <row r="848" spans="4:5" x14ac:dyDescent="0.2">
      <c r="D848" s="120"/>
      <c r="E848" s="129"/>
    </row>
    <row r="849" spans="4:5" x14ac:dyDescent="0.2">
      <c r="D849" s="120"/>
      <c r="E849" s="129"/>
    </row>
    <row r="850" spans="4:5" x14ac:dyDescent="0.2">
      <c r="D850" s="120"/>
      <c r="E850" s="129"/>
    </row>
    <row r="851" spans="4:5" x14ac:dyDescent="0.2">
      <c r="D851" s="120"/>
      <c r="E851" s="129"/>
    </row>
    <row r="852" spans="4:5" x14ac:dyDescent="0.2">
      <c r="D852" s="120"/>
      <c r="E852" s="129"/>
    </row>
    <row r="853" spans="4:5" x14ac:dyDescent="0.2">
      <c r="D853" s="120"/>
      <c r="E853" s="129"/>
    </row>
    <row r="854" spans="4:5" x14ac:dyDescent="0.2">
      <c r="D854" s="120"/>
      <c r="E854" s="129"/>
    </row>
    <row r="855" spans="4:5" x14ac:dyDescent="0.2">
      <c r="D855" s="120"/>
      <c r="E855" s="129"/>
    </row>
    <row r="856" spans="4:5" x14ac:dyDescent="0.2">
      <c r="D856" s="120"/>
      <c r="E856" s="129"/>
    </row>
    <row r="857" spans="4:5" x14ac:dyDescent="0.2">
      <c r="D857" s="120"/>
      <c r="E857" s="129"/>
    </row>
    <row r="858" spans="4:5" x14ac:dyDescent="0.2">
      <c r="D858" s="120"/>
      <c r="E858" s="129"/>
    </row>
    <row r="859" spans="4:5" x14ac:dyDescent="0.2">
      <c r="D859" s="120"/>
      <c r="E859" s="129"/>
    </row>
    <row r="860" spans="4:5" x14ac:dyDescent="0.2">
      <c r="D860" s="120"/>
      <c r="E860" s="129"/>
    </row>
    <row r="861" spans="4:5" x14ac:dyDescent="0.2">
      <c r="D861" s="120"/>
      <c r="E861" s="129"/>
    </row>
    <row r="862" spans="4:5" x14ac:dyDescent="0.2">
      <c r="D862" s="120"/>
      <c r="E862" s="129"/>
    </row>
    <row r="863" spans="4:5" x14ac:dyDescent="0.2">
      <c r="D863" s="120"/>
      <c r="E863" s="129"/>
    </row>
    <row r="864" spans="4:5" x14ac:dyDescent="0.2">
      <c r="D864" s="120"/>
      <c r="E864" s="129"/>
    </row>
    <row r="865" spans="4:5" x14ac:dyDescent="0.2">
      <c r="D865" s="120"/>
      <c r="E865" s="129"/>
    </row>
    <row r="866" spans="4:5" x14ac:dyDescent="0.2">
      <c r="D866" s="120"/>
      <c r="E866" s="129"/>
    </row>
    <row r="867" spans="4:5" x14ac:dyDescent="0.2">
      <c r="D867" s="120"/>
      <c r="E867" s="129"/>
    </row>
    <row r="868" spans="4:5" x14ac:dyDescent="0.2">
      <c r="D868" s="120"/>
      <c r="E868" s="129"/>
    </row>
    <row r="869" spans="4:5" x14ac:dyDescent="0.2">
      <c r="D869" s="120"/>
      <c r="E869" s="129"/>
    </row>
    <row r="870" spans="4:5" x14ac:dyDescent="0.2">
      <c r="D870" s="120"/>
      <c r="E870" s="129"/>
    </row>
    <row r="871" spans="4:5" x14ac:dyDescent="0.2">
      <c r="D871" s="120"/>
      <c r="E871" s="129"/>
    </row>
    <row r="872" spans="4:5" x14ac:dyDescent="0.2">
      <c r="D872" s="120"/>
      <c r="E872" s="129"/>
    </row>
    <row r="873" spans="4:5" x14ac:dyDescent="0.2">
      <c r="D873" s="120"/>
      <c r="E873" s="129"/>
    </row>
    <row r="874" spans="4:5" x14ac:dyDescent="0.2">
      <c r="D874" s="120"/>
      <c r="E874" s="129"/>
    </row>
    <row r="875" spans="4:5" x14ac:dyDescent="0.2">
      <c r="D875" s="120"/>
      <c r="E875" s="129"/>
    </row>
    <row r="876" spans="4:5" x14ac:dyDescent="0.2">
      <c r="D876" s="120"/>
      <c r="E876" s="129"/>
    </row>
    <row r="877" spans="4:5" x14ac:dyDescent="0.2">
      <c r="D877" s="120"/>
      <c r="E877" s="129"/>
    </row>
    <row r="878" spans="4:5" x14ac:dyDescent="0.2">
      <c r="D878" s="120"/>
      <c r="E878" s="129"/>
    </row>
    <row r="879" spans="4:5" x14ac:dyDescent="0.2">
      <c r="D879" s="120"/>
      <c r="E879" s="129"/>
    </row>
    <row r="880" spans="4:5" x14ac:dyDescent="0.2">
      <c r="D880" s="120"/>
      <c r="E880" s="129"/>
    </row>
    <row r="881" spans="4:5" x14ac:dyDescent="0.2">
      <c r="D881" s="120"/>
      <c r="E881" s="129"/>
    </row>
    <row r="882" spans="4:5" x14ac:dyDescent="0.2">
      <c r="D882" s="120"/>
      <c r="E882" s="129"/>
    </row>
    <row r="883" spans="4:5" x14ac:dyDescent="0.2">
      <c r="D883" s="120"/>
      <c r="E883" s="129"/>
    </row>
    <row r="884" spans="4:5" x14ac:dyDescent="0.2">
      <c r="D884" s="120"/>
      <c r="E884" s="129"/>
    </row>
    <row r="885" spans="4:5" x14ac:dyDescent="0.2">
      <c r="D885" s="120"/>
      <c r="E885" s="129"/>
    </row>
    <row r="886" spans="4:5" x14ac:dyDescent="0.2">
      <c r="D886" s="120"/>
      <c r="E886" s="129"/>
    </row>
    <row r="887" spans="4:5" x14ac:dyDescent="0.2">
      <c r="D887" s="120"/>
      <c r="E887" s="129"/>
    </row>
    <row r="888" spans="4:5" x14ac:dyDescent="0.2">
      <c r="D888" s="120"/>
      <c r="E888" s="129"/>
    </row>
    <row r="889" spans="4:5" x14ac:dyDescent="0.2">
      <c r="D889" s="120"/>
      <c r="E889" s="129"/>
    </row>
    <row r="890" spans="4:5" x14ac:dyDescent="0.2">
      <c r="D890" s="120"/>
      <c r="E890" s="129"/>
    </row>
    <row r="891" spans="4:5" x14ac:dyDescent="0.2">
      <c r="D891" s="120"/>
      <c r="E891" s="129"/>
    </row>
    <row r="892" spans="4:5" x14ac:dyDescent="0.2">
      <c r="D892" s="120"/>
      <c r="E892" s="129"/>
    </row>
    <row r="893" spans="4:5" x14ac:dyDescent="0.2">
      <c r="D893" s="120"/>
      <c r="E893" s="129"/>
    </row>
    <row r="894" spans="4:5" x14ac:dyDescent="0.2">
      <c r="D894" s="120"/>
      <c r="E894" s="129"/>
    </row>
    <row r="895" spans="4:5" x14ac:dyDescent="0.2">
      <c r="D895" s="120"/>
      <c r="E895" s="129"/>
    </row>
    <row r="896" spans="4:5" x14ac:dyDescent="0.2">
      <c r="D896" s="120"/>
      <c r="E896" s="129"/>
    </row>
    <row r="897" spans="4:5" x14ac:dyDescent="0.2">
      <c r="D897" s="120"/>
      <c r="E897" s="129"/>
    </row>
    <row r="898" spans="4:5" x14ac:dyDescent="0.2">
      <c r="D898" s="120"/>
      <c r="E898" s="129"/>
    </row>
    <row r="899" spans="4:5" x14ac:dyDescent="0.2">
      <c r="D899" s="120"/>
      <c r="E899" s="129"/>
    </row>
    <row r="900" spans="4:5" x14ac:dyDescent="0.2">
      <c r="D900" s="120"/>
      <c r="E900" s="129"/>
    </row>
    <row r="901" spans="4:5" x14ac:dyDescent="0.2">
      <c r="D901" s="120"/>
      <c r="E901" s="129"/>
    </row>
    <row r="902" spans="4:5" x14ac:dyDescent="0.2">
      <c r="D902" s="120"/>
      <c r="E902" s="129"/>
    </row>
    <row r="903" spans="4:5" x14ac:dyDescent="0.2">
      <c r="D903" s="120"/>
      <c r="E903" s="129"/>
    </row>
    <row r="904" spans="4:5" x14ac:dyDescent="0.2">
      <c r="D904" s="120"/>
      <c r="E904" s="129"/>
    </row>
    <row r="905" spans="4:5" x14ac:dyDescent="0.2">
      <c r="D905" s="120"/>
      <c r="E905" s="129"/>
    </row>
    <row r="906" spans="4:5" x14ac:dyDescent="0.2">
      <c r="D906" s="120"/>
      <c r="E906" s="129"/>
    </row>
    <row r="907" spans="4:5" x14ac:dyDescent="0.2">
      <c r="D907" s="120"/>
      <c r="E907" s="129"/>
    </row>
    <row r="908" spans="4:5" x14ac:dyDescent="0.2">
      <c r="D908" s="120"/>
      <c r="E908" s="129"/>
    </row>
    <row r="909" spans="4:5" x14ac:dyDescent="0.2">
      <c r="D909" s="120"/>
      <c r="E909" s="129"/>
    </row>
    <row r="910" spans="4:5" x14ac:dyDescent="0.2">
      <c r="D910" s="120"/>
      <c r="E910" s="129"/>
    </row>
    <row r="911" spans="4:5" x14ac:dyDescent="0.2">
      <c r="D911" s="120"/>
      <c r="E911" s="129"/>
    </row>
    <row r="912" spans="4:5" x14ac:dyDescent="0.2">
      <c r="D912" s="120"/>
      <c r="E912" s="129"/>
    </row>
    <row r="913" spans="4:5" x14ac:dyDescent="0.2">
      <c r="D913" s="120"/>
      <c r="E913" s="129"/>
    </row>
    <row r="914" spans="4:5" x14ac:dyDescent="0.2">
      <c r="D914" s="120"/>
      <c r="E914" s="129"/>
    </row>
    <row r="915" spans="4:5" x14ac:dyDescent="0.2">
      <c r="D915" s="120"/>
      <c r="E915" s="129"/>
    </row>
    <row r="916" spans="4:5" x14ac:dyDescent="0.2">
      <c r="D916" s="120"/>
      <c r="E916" s="129"/>
    </row>
    <row r="917" spans="4:5" x14ac:dyDescent="0.2">
      <c r="D917" s="120"/>
      <c r="E917" s="129"/>
    </row>
    <row r="918" spans="4:5" x14ac:dyDescent="0.2">
      <c r="D918" s="120"/>
      <c r="E918" s="129"/>
    </row>
    <row r="919" spans="4:5" x14ac:dyDescent="0.2">
      <c r="D919" s="120"/>
      <c r="E919" s="129"/>
    </row>
    <row r="920" spans="4:5" x14ac:dyDescent="0.2">
      <c r="D920" s="120"/>
      <c r="E920" s="129"/>
    </row>
    <row r="921" spans="4:5" x14ac:dyDescent="0.2">
      <c r="D921" s="120"/>
      <c r="E921" s="129"/>
    </row>
    <row r="922" spans="4:5" x14ac:dyDescent="0.2">
      <c r="D922" s="120"/>
      <c r="E922" s="129"/>
    </row>
    <row r="923" spans="4:5" x14ac:dyDescent="0.2">
      <c r="D923" s="120"/>
      <c r="E923" s="129"/>
    </row>
    <row r="924" spans="4:5" x14ac:dyDescent="0.2">
      <c r="D924" s="120"/>
      <c r="E924" s="129"/>
    </row>
    <row r="925" spans="4:5" x14ac:dyDescent="0.2">
      <c r="D925" s="120"/>
      <c r="E925" s="129"/>
    </row>
    <row r="926" spans="4:5" x14ac:dyDescent="0.2">
      <c r="D926" s="120"/>
      <c r="E926" s="129"/>
    </row>
    <row r="927" spans="4:5" x14ac:dyDescent="0.2">
      <c r="D927" s="120"/>
      <c r="E927" s="129"/>
    </row>
    <row r="928" spans="4:5" x14ac:dyDescent="0.2">
      <c r="D928" s="120"/>
      <c r="E928" s="129"/>
    </row>
    <row r="929" spans="4:5" x14ac:dyDescent="0.2">
      <c r="D929" s="120"/>
      <c r="E929" s="129"/>
    </row>
    <row r="930" spans="4:5" x14ac:dyDescent="0.2">
      <c r="D930" s="120"/>
      <c r="E930" s="129"/>
    </row>
    <row r="931" spans="4:5" x14ac:dyDescent="0.2">
      <c r="D931" s="120"/>
      <c r="E931" s="129"/>
    </row>
    <row r="932" spans="4:5" x14ac:dyDescent="0.2">
      <c r="D932" s="120"/>
      <c r="E932" s="129"/>
    </row>
    <row r="933" spans="4:5" x14ac:dyDescent="0.2">
      <c r="D933" s="120"/>
      <c r="E933" s="129"/>
    </row>
    <row r="934" spans="4:5" x14ac:dyDescent="0.2">
      <c r="D934" s="120"/>
      <c r="E934" s="129"/>
    </row>
    <row r="935" spans="4:5" x14ac:dyDescent="0.2">
      <c r="D935" s="120"/>
      <c r="E935" s="129"/>
    </row>
    <row r="936" spans="4:5" x14ac:dyDescent="0.2">
      <c r="D936" s="120"/>
      <c r="E936" s="129"/>
    </row>
    <row r="937" spans="4:5" x14ac:dyDescent="0.2">
      <c r="D937" s="120"/>
      <c r="E937" s="129"/>
    </row>
    <row r="938" spans="4:5" x14ac:dyDescent="0.2">
      <c r="D938" s="120"/>
      <c r="E938" s="129"/>
    </row>
    <row r="939" spans="4:5" x14ac:dyDescent="0.2">
      <c r="D939" s="120"/>
      <c r="E939" s="129"/>
    </row>
    <row r="940" spans="4:5" x14ac:dyDescent="0.2">
      <c r="D940" s="120"/>
      <c r="E940" s="129"/>
    </row>
    <row r="941" spans="4:5" x14ac:dyDescent="0.2">
      <c r="D941" s="120"/>
      <c r="E941" s="129"/>
    </row>
    <row r="942" spans="4:5" x14ac:dyDescent="0.2">
      <c r="D942" s="120"/>
      <c r="E942" s="129"/>
    </row>
    <row r="943" spans="4:5" x14ac:dyDescent="0.2">
      <c r="D943" s="120"/>
      <c r="E943" s="129"/>
    </row>
    <row r="944" spans="4:5" x14ac:dyDescent="0.2">
      <c r="D944" s="120"/>
      <c r="E944" s="129"/>
    </row>
    <row r="945" spans="4:5" x14ac:dyDescent="0.2">
      <c r="D945" s="120"/>
      <c r="E945" s="129"/>
    </row>
    <row r="946" spans="4:5" x14ac:dyDescent="0.2">
      <c r="D946" s="120"/>
      <c r="E946" s="129"/>
    </row>
    <row r="947" spans="4:5" x14ac:dyDescent="0.2">
      <c r="D947" s="120"/>
      <c r="E947" s="129"/>
    </row>
    <row r="948" spans="4:5" x14ac:dyDescent="0.2">
      <c r="D948" s="120"/>
      <c r="E948" s="129"/>
    </row>
    <row r="949" spans="4:5" x14ac:dyDescent="0.2">
      <c r="D949" s="120"/>
      <c r="E949" s="129"/>
    </row>
    <row r="950" spans="4:5" x14ac:dyDescent="0.2">
      <c r="D950" s="120"/>
      <c r="E950" s="129"/>
    </row>
    <row r="951" spans="4:5" x14ac:dyDescent="0.2">
      <c r="D951" s="120"/>
      <c r="E951" s="129"/>
    </row>
    <row r="952" spans="4:5" x14ac:dyDescent="0.2">
      <c r="D952" s="120"/>
      <c r="E952" s="129"/>
    </row>
    <row r="953" spans="4:5" x14ac:dyDescent="0.2">
      <c r="D953" s="120"/>
      <c r="E953" s="129"/>
    </row>
    <row r="954" spans="4:5" x14ac:dyDescent="0.2">
      <c r="D954" s="120"/>
      <c r="E954" s="129"/>
    </row>
    <row r="955" spans="4:5" x14ac:dyDescent="0.2">
      <c r="D955" s="120"/>
      <c r="E955" s="129"/>
    </row>
    <row r="956" spans="4:5" x14ac:dyDescent="0.2">
      <c r="D956" s="120"/>
      <c r="E956" s="129"/>
    </row>
    <row r="957" spans="4:5" x14ac:dyDescent="0.2">
      <c r="D957" s="120"/>
      <c r="E957" s="129"/>
    </row>
    <row r="958" spans="4:5" x14ac:dyDescent="0.2">
      <c r="D958" s="120"/>
      <c r="E958" s="129"/>
    </row>
    <row r="959" spans="4:5" x14ac:dyDescent="0.2">
      <c r="D959" s="120"/>
      <c r="E959" s="129"/>
    </row>
    <row r="960" spans="4:5" x14ac:dyDescent="0.2">
      <c r="D960" s="120"/>
      <c r="E960" s="129"/>
    </row>
    <row r="961" spans="4:5" x14ac:dyDescent="0.2">
      <c r="D961" s="120"/>
      <c r="E961" s="129"/>
    </row>
    <row r="962" spans="4:5" x14ac:dyDescent="0.2">
      <c r="D962" s="120"/>
      <c r="E962" s="129"/>
    </row>
    <row r="963" spans="4:5" x14ac:dyDescent="0.2">
      <c r="D963" s="120"/>
      <c r="E963" s="129"/>
    </row>
    <row r="964" spans="4:5" x14ac:dyDescent="0.2">
      <c r="D964" s="120"/>
      <c r="E964" s="129"/>
    </row>
    <row r="965" spans="4:5" x14ac:dyDescent="0.2">
      <c r="D965" s="120"/>
      <c r="E965" s="129"/>
    </row>
    <row r="966" spans="4:5" x14ac:dyDescent="0.2">
      <c r="D966" s="120"/>
      <c r="E966" s="129"/>
    </row>
    <row r="967" spans="4:5" x14ac:dyDescent="0.2">
      <c r="D967" s="120"/>
      <c r="E967" s="129"/>
    </row>
    <row r="968" spans="4:5" x14ac:dyDescent="0.2">
      <c r="D968" s="120"/>
      <c r="E968" s="129"/>
    </row>
    <row r="969" spans="4:5" x14ac:dyDescent="0.2">
      <c r="D969" s="120"/>
      <c r="E969" s="129"/>
    </row>
    <row r="970" spans="4:5" x14ac:dyDescent="0.2">
      <c r="D970" s="120"/>
      <c r="E970" s="129"/>
    </row>
    <row r="971" spans="4:5" x14ac:dyDescent="0.2">
      <c r="D971" s="120"/>
      <c r="E971" s="129"/>
    </row>
    <row r="972" spans="4:5" x14ac:dyDescent="0.2">
      <c r="D972" s="120"/>
      <c r="E972" s="129"/>
    </row>
    <row r="973" spans="4:5" x14ac:dyDescent="0.2">
      <c r="D973" s="120"/>
      <c r="E973" s="129"/>
    </row>
    <row r="974" spans="4:5" x14ac:dyDescent="0.2">
      <c r="D974" s="120"/>
      <c r="E974" s="129"/>
    </row>
    <row r="975" spans="4:5" x14ac:dyDescent="0.2">
      <c r="D975" s="120"/>
      <c r="E975" s="129"/>
    </row>
    <row r="976" spans="4:5" x14ac:dyDescent="0.2">
      <c r="D976" s="120"/>
      <c r="E976" s="129"/>
    </row>
    <row r="977" spans="4:5" x14ac:dyDescent="0.2">
      <c r="D977" s="120"/>
      <c r="E977" s="129"/>
    </row>
    <row r="978" spans="4:5" x14ac:dyDescent="0.2">
      <c r="D978" s="120"/>
      <c r="E978" s="129"/>
    </row>
    <row r="979" spans="4:5" x14ac:dyDescent="0.2">
      <c r="D979" s="120"/>
      <c r="E979" s="129"/>
    </row>
    <row r="980" spans="4:5" x14ac:dyDescent="0.2">
      <c r="D980" s="120"/>
      <c r="E980" s="129"/>
    </row>
    <row r="981" spans="4:5" x14ac:dyDescent="0.2">
      <c r="D981" s="120"/>
      <c r="E981" s="129"/>
    </row>
    <row r="982" spans="4:5" x14ac:dyDescent="0.2">
      <c r="D982" s="120"/>
      <c r="E982" s="129"/>
    </row>
    <row r="983" spans="4:5" x14ac:dyDescent="0.2">
      <c r="D983" s="120"/>
      <c r="E983" s="129"/>
    </row>
  </sheetData>
  <mergeCells count="11">
    <mergeCell ref="B2:G2"/>
    <mergeCell ref="I3:J3"/>
    <mergeCell ref="I2:J2"/>
    <mergeCell ref="I4:J4"/>
    <mergeCell ref="C4:G4"/>
    <mergeCell ref="C6:G6"/>
    <mergeCell ref="C7:G7"/>
    <mergeCell ref="C8:G8"/>
    <mergeCell ref="I5:J5"/>
    <mergeCell ref="C3:G3"/>
    <mergeCell ref="C5:G5"/>
  </mergeCells>
  <phoneticPr fontId="23" type="noConversion"/>
  <pageMargins left="0.25" right="0.25" top="0.75" bottom="0.75" header="0.3" footer="0.3"/>
  <pageSetup paperSize="9" scale="48" fitToHeight="2" orientation="portrait" r:id="rId1"/>
  <headerFooter>
    <oddFooter>&amp;L&amp;P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E617B-2A37-476D-B1A7-9C11A7FB914E}">
  <sheetPr>
    <tabColor rgb="FF92D050"/>
    <pageSetUpPr fitToPage="1"/>
  </sheetPr>
  <dimension ref="A1:N1041"/>
  <sheetViews>
    <sheetView topLeftCell="A47" zoomScale="125" zoomScaleNormal="100" workbookViewId="0">
      <selection activeCell="B48" sqref="B48"/>
    </sheetView>
  </sheetViews>
  <sheetFormatPr baseColWidth="10" defaultColWidth="10.83203125" defaultRowHeight="16" x14ac:dyDescent="0.2"/>
  <cols>
    <col min="1" max="1" width="3.5" style="111" customWidth="1"/>
    <col min="2" max="2" width="49.83203125" style="111" customWidth="1"/>
    <col min="3" max="3" width="8.6640625" style="111" customWidth="1"/>
    <col min="4" max="4" width="19.5" style="111" customWidth="1"/>
    <col min="5" max="6" width="9.33203125" style="111" customWidth="1"/>
    <col min="7" max="7" width="11.1640625" style="111" customWidth="1"/>
    <col min="8" max="12" width="15.6640625" style="111" customWidth="1"/>
    <col min="13" max="13" width="8.6640625" style="121" hidden="1" customWidth="1"/>
    <col min="14" max="14" width="9.1640625" style="121" hidden="1" customWidth="1"/>
    <col min="15" max="16384" width="10.83203125" style="111"/>
  </cols>
  <sheetData>
    <row r="1" spans="1:14" s="33" customFormat="1" ht="17" thickBot="1" x14ac:dyDescent="0.25">
      <c r="M1" s="66"/>
      <c r="N1" s="66"/>
    </row>
    <row r="2" spans="1:14" s="33" customFormat="1" ht="17" thickBot="1" x14ac:dyDescent="0.25">
      <c r="B2" s="630" t="s">
        <v>345</v>
      </c>
      <c r="C2" s="669"/>
      <c r="D2" s="669"/>
      <c r="E2" s="669"/>
      <c r="F2" s="669"/>
      <c r="G2" s="670"/>
      <c r="H2" s="67"/>
      <c r="I2" s="671" t="s">
        <v>61</v>
      </c>
      <c r="J2" s="672"/>
      <c r="K2" s="68"/>
      <c r="M2" s="66"/>
      <c r="N2" s="66"/>
    </row>
    <row r="3" spans="1:14" s="33" customFormat="1" ht="17" thickBot="1" x14ac:dyDescent="0.25">
      <c r="B3" s="69" t="s">
        <v>62</v>
      </c>
      <c r="C3" s="660"/>
      <c r="D3" s="667"/>
      <c r="E3" s="667"/>
      <c r="F3" s="667"/>
      <c r="G3" s="661"/>
      <c r="I3" s="645" t="str">
        <f>COVER!C9</f>
        <v>ian.shotam@programmed.com.au</v>
      </c>
      <c r="J3" s="646"/>
      <c r="L3" s="66"/>
      <c r="M3" s="66"/>
    </row>
    <row r="4" spans="1:14" s="33" customFormat="1" ht="15.75" customHeight="1" thickBot="1" x14ac:dyDescent="0.25">
      <c r="B4" s="69" t="str">
        <f>COVER!B12</f>
        <v>SITE</v>
      </c>
      <c r="C4" s="649" t="str">
        <f>COVER!C12</f>
        <v>GOLDEN GROVE</v>
      </c>
      <c r="D4" s="668"/>
      <c r="E4" s="668"/>
      <c r="F4" s="668"/>
      <c r="G4" s="650"/>
      <c r="I4" s="627"/>
      <c r="J4" s="628"/>
      <c r="L4" s="66"/>
      <c r="M4" s="66"/>
    </row>
    <row r="5" spans="1:14" s="33" customFormat="1" ht="15.75" customHeight="1" thickBot="1" x14ac:dyDescent="0.25">
      <c r="B5" s="69" t="str">
        <f>COVER!B13</f>
        <v>MANAGERS NAME</v>
      </c>
      <c r="C5" s="649" t="str">
        <f>COVER!C13</f>
        <v>Ian Shotam</v>
      </c>
      <c r="D5" s="668"/>
      <c r="E5" s="668"/>
      <c r="F5" s="668"/>
      <c r="G5" s="650"/>
      <c r="I5" s="629"/>
      <c r="J5" s="628"/>
      <c r="L5" s="66"/>
      <c r="M5" s="66"/>
    </row>
    <row r="6" spans="1:14" s="33" customFormat="1" x14ac:dyDescent="0.2">
      <c r="B6" s="69" t="str">
        <f>COVER!B14</f>
        <v>DATE - ORDER PLACED</v>
      </c>
      <c r="C6" s="651">
        <f>COVER!C14</f>
        <v>45082</v>
      </c>
      <c r="D6" s="665"/>
      <c r="E6" s="665"/>
      <c r="F6" s="665"/>
      <c r="G6" s="652"/>
      <c r="L6" s="66"/>
      <c r="M6" s="66"/>
    </row>
    <row r="7" spans="1:14" s="33" customFormat="1" ht="34" x14ac:dyDescent="0.2">
      <c r="B7" s="543" t="str">
        <f>COVER!B15</f>
        <v>DATE - DELIVERY PERTH - FREIGHT LINES, 12-26 RIVERSDALE RD, WELSHPOOL WA 6100</v>
      </c>
      <c r="C7" s="651">
        <f>COVER!C15</f>
        <v>45085</v>
      </c>
      <c r="D7" s="665"/>
      <c r="E7" s="665"/>
      <c r="F7" s="665"/>
      <c r="G7" s="652"/>
      <c r="L7" s="66"/>
      <c r="M7" s="66"/>
    </row>
    <row r="8" spans="1:14" s="33" customFormat="1" ht="17" thickBot="1" x14ac:dyDescent="0.25">
      <c r="B8" s="70" t="str">
        <f>COVER!B16</f>
        <v>DATE - ESTIMATED ARRIVAL SITE</v>
      </c>
      <c r="C8" s="653">
        <f>COVER!C16</f>
        <v>45086</v>
      </c>
      <c r="D8" s="666"/>
      <c r="E8" s="666"/>
      <c r="F8" s="666"/>
      <c r="G8" s="654"/>
      <c r="L8" s="66"/>
      <c r="M8" s="66"/>
    </row>
    <row r="9" spans="1:14" s="33" customFormat="1" ht="17" thickBot="1" x14ac:dyDescent="0.25">
      <c r="M9" s="66"/>
      <c r="N9" s="66"/>
    </row>
    <row r="10" spans="1:14" s="33" customFormat="1" ht="30" customHeight="1" thickBot="1" x14ac:dyDescent="0.25">
      <c r="B10" s="633" t="s">
        <v>29</v>
      </c>
      <c r="C10" s="634"/>
      <c r="D10" s="634"/>
      <c r="E10" s="634"/>
      <c r="F10" s="634"/>
      <c r="G10" s="635"/>
      <c r="H10" s="635"/>
      <c r="I10" s="635"/>
      <c r="J10" s="635"/>
      <c r="K10" s="635"/>
      <c r="L10" s="636"/>
      <c r="M10" s="71"/>
      <c r="N10" s="72"/>
    </row>
    <row r="11" spans="1:14" s="81" customFormat="1" ht="28.5" customHeight="1" thickBot="1" x14ac:dyDescent="0.25">
      <c r="B11" s="73"/>
      <c r="C11" s="74" t="s">
        <v>65</v>
      </c>
      <c r="D11" s="75" t="s">
        <v>386</v>
      </c>
      <c r="E11" s="75" t="s">
        <v>387</v>
      </c>
      <c r="F11" s="75" t="s">
        <v>388</v>
      </c>
      <c r="G11" s="75" t="s">
        <v>389</v>
      </c>
      <c r="H11" s="76" t="s">
        <v>67</v>
      </c>
      <c r="I11" s="76" t="s">
        <v>68</v>
      </c>
      <c r="J11" s="76" t="s">
        <v>69</v>
      </c>
      <c r="K11" s="77" t="s">
        <v>70</v>
      </c>
      <c r="L11" s="78" t="s">
        <v>25</v>
      </c>
      <c r="M11" s="79" t="s">
        <v>71</v>
      </c>
      <c r="N11" s="80" t="s">
        <v>72</v>
      </c>
    </row>
    <row r="12" spans="1:14" s="33" customFormat="1" x14ac:dyDescent="0.2">
      <c r="A12" s="524"/>
      <c r="B12" s="52" t="s">
        <v>390</v>
      </c>
      <c r="C12" s="82">
        <v>48859</v>
      </c>
      <c r="D12" s="83" t="s">
        <v>391</v>
      </c>
      <c r="E12" s="83" t="s">
        <v>392</v>
      </c>
      <c r="F12" s="83" t="s">
        <v>77</v>
      </c>
      <c r="G12" s="83">
        <v>1</v>
      </c>
      <c r="H12" s="6"/>
      <c r="I12" s="3"/>
      <c r="J12" s="17"/>
      <c r="K12" s="84">
        <v>91.43</v>
      </c>
      <c r="L12" s="85">
        <f t="shared" ref="L12:L30" si="0">SUM(J12*K12)</f>
        <v>0</v>
      </c>
      <c r="M12" s="86">
        <f>K12</f>
        <v>91.43</v>
      </c>
      <c r="N12" s="87">
        <f>K12*0.2</f>
        <v>18.286000000000001</v>
      </c>
    </row>
    <row r="13" spans="1:14" s="33" customFormat="1" x14ac:dyDescent="0.2">
      <c r="A13" s="524"/>
      <c r="B13" s="53" t="s">
        <v>393</v>
      </c>
      <c r="C13" s="88">
        <v>102900</v>
      </c>
      <c r="D13" s="89" t="s">
        <v>394</v>
      </c>
      <c r="E13" s="89" t="s">
        <v>395</v>
      </c>
      <c r="F13" s="89" t="s">
        <v>77</v>
      </c>
      <c r="G13" s="89">
        <v>1</v>
      </c>
      <c r="H13" s="7"/>
      <c r="I13" s="3"/>
      <c r="J13" s="17"/>
      <c r="K13" s="90">
        <v>89.1</v>
      </c>
      <c r="L13" s="91">
        <f t="shared" si="0"/>
        <v>0</v>
      </c>
      <c r="M13" s="86">
        <f t="shared" ref="M13:M30" si="1">K13</f>
        <v>89.1</v>
      </c>
      <c r="N13" s="87">
        <f t="shared" ref="N13:N30" si="2">K13*0.2</f>
        <v>17.82</v>
      </c>
    </row>
    <row r="14" spans="1:14" s="33" customFormat="1" x14ac:dyDescent="0.2">
      <c r="A14" s="524"/>
      <c r="B14" s="53" t="s">
        <v>396</v>
      </c>
      <c r="C14" s="88">
        <v>102898</v>
      </c>
      <c r="D14" s="89" t="s">
        <v>394</v>
      </c>
      <c r="E14" s="89" t="s">
        <v>395</v>
      </c>
      <c r="F14" s="89" t="s">
        <v>77</v>
      </c>
      <c r="G14" s="89">
        <v>1</v>
      </c>
      <c r="H14" s="7"/>
      <c r="I14" s="3"/>
      <c r="J14" s="17"/>
      <c r="K14" s="90">
        <v>86.13</v>
      </c>
      <c r="L14" s="91">
        <f>SUM(J14*K14)</f>
        <v>0</v>
      </c>
      <c r="M14" s="86">
        <f>K14</f>
        <v>86.13</v>
      </c>
      <c r="N14" s="87">
        <f>K14*0.2</f>
        <v>17.225999999999999</v>
      </c>
    </row>
    <row r="15" spans="1:14" s="33" customFormat="1" x14ac:dyDescent="0.2">
      <c r="A15" s="524"/>
      <c r="B15" s="53" t="s">
        <v>397</v>
      </c>
      <c r="C15" s="88">
        <v>77736</v>
      </c>
      <c r="D15" s="89" t="s">
        <v>398</v>
      </c>
      <c r="E15" s="89" t="s">
        <v>395</v>
      </c>
      <c r="F15" s="89" t="s">
        <v>77</v>
      </c>
      <c r="G15" s="89">
        <v>1</v>
      </c>
      <c r="H15" s="7"/>
      <c r="I15" s="3"/>
      <c r="J15" s="17"/>
      <c r="K15" s="90">
        <v>81.540000000000006</v>
      </c>
      <c r="L15" s="91">
        <f t="shared" si="0"/>
        <v>0</v>
      </c>
      <c r="M15" s="86">
        <f t="shared" si="1"/>
        <v>81.540000000000006</v>
      </c>
      <c r="N15" s="87">
        <f t="shared" si="2"/>
        <v>16.308000000000003</v>
      </c>
    </row>
    <row r="16" spans="1:14" s="33" customFormat="1" x14ac:dyDescent="0.2">
      <c r="A16" s="524"/>
      <c r="B16" s="53" t="s">
        <v>399</v>
      </c>
      <c r="C16" s="88">
        <v>145157</v>
      </c>
      <c r="D16" s="89" t="s">
        <v>400</v>
      </c>
      <c r="E16" s="89" t="s">
        <v>401</v>
      </c>
      <c r="F16" s="89" t="s">
        <v>77</v>
      </c>
      <c r="G16" s="89">
        <v>1</v>
      </c>
      <c r="H16" s="7"/>
      <c r="I16" s="3"/>
      <c r="J16" s="17"/>
      <c r="K16" s="90">
        <v>38.880000000000003</v>
      </c>
      <c r="L16" s="91">
        <f t="shared" si="0"/>
        <v>0</v>
      </c>
      <c r="M16" s="86">
        <f t="shared" si="1"/>
        <v>38.880000000000003</v>
      </c>
      <c r="N16" s="87">
        <f t="shared" si="2"/>
        <v>7.7760000000000007</v>
      </c>
    </row>
    <row r="17" spans="1:14" s="33" customFormat="1" x14ac:dyDescent="0.2">
      <c r="A17" s="524"/>
      <c r="B17" s="53" t="s">
        <v>402</v>
      </c>
      <c r="C17" s="88">
        <v>165789</v>
      </c>
      <c r="D17" s="89" t="s">
        <v>400</v>
      </c>
      <c r="E17" s="89" t="s">
        <v>395</v>
      </c>
      <c r="F17" s="89" t="s">
        <v>77</v>
      </c>
      <c r="G17" s="89">
        <v>1</v>
      </c>
      <c r="H17" s="7"/>
      <c r="I17" s="3"/>
      <c r="J17" s="17"/>
      <c r="K17" s="90">
        <v>37.799999999999997</v>
      </c>
      <c r="L17" s="91">
        <f>SUM(J17*K17)</f>
        <v>0</v>
      </c>
      <c r="M17" s="86">
        <f>K17</f>
        <v>37.799999999999997</v>
      </c>
      <c r="N17" s="87">
        <f>K17*0.2</f>
        <v>7.56</v>
      </c>
    </row>
    <row r="18" spans="1:14" s="33" customFormat="1" x14ac:dyDescent="0.2">
      <c r="A18" s="524"/>
      <c r="B18" s="53" t="s">
        <v>403</v>
      </c>
      <c r="C18" s="88">
        <v>27180</v>
      </c>
      <c r="D18" s="89" t="s">
        <v>398</v>
      </c>
      <c r="E18" s="89" t="s">
        <v>404</v>
      </c>
      <c r="F18" s="89" t="s">
        <v>77</v>
      </c>
      <c r="G18" s="89">
        <v>1</v>
      </c>
      <c r="H18" s="7"/>
      <c r="I18" s="3"/>
      <c r="J18" s="17"/>
      <c r="K18" s="90">
        <v>124.2</v>
      </c>
      <c r="L18" s="91">
        <f t="shared" si="0"/>
        <v>0</v>
      </c>
      <c r="M18" s="86">
        <f t="shared" si="1"/>
        <v>124.2</v>
      </c>
      <c r="N18" s="87">
        <f t="shared" si="2"/>
        <v>24.840000000000003</v>
      </c>
    </row>
    <row r="19" spans="1:14" s="33" customFormat="1" x14ac:dyDescent="0.2">
      <c r="A19" s="524"/>
      <c r="B19" s="53" t="s">
        <v>405</v>
      </c>
      <c r="C19" s="88">
        <v>210034</v>
      </c>
      <c r="D19" s="89" t="s">
        <v>406</v>
      </c>
      <c r="E19" s="89" t="s">
        <v>401</v>
      </c>
      <c r="F19" s="89" t="s">
        <v>77</v>
      </c>
      <c r="G19" s="89">
        <v>1</v>
      </c>
      <c r="H19" s="1"/>
      <c r="I19" s="3"/>
      <c r="J19" s="17"/>
      <c r="K19" s="90">
        <v>72.900000000000006</v>
      </c>
      <c r="L19" s="91">
        <f t="shared" si="0"/>
        <v>0</v>
      </c>
      <c r="M19" s="86">
        <f t="shared" si="1"/>
        <v>72.900000000000006</v>
      </c>
      <c r="N19" s="87">
        <f t="shared" si="2"/>
        <v>14.580000000000002</v>
      </c>
    </row>
    <row r="20" spans="1:14" s="33" customFormat="1" x14ac:dyDescent="0.2">
      <c r="A20" s="524"/>
      <c r="B20" s="53" t="s">
        <v>407</v>
      </c>
      <c r="C20" s="88">
        <v>40744</v>
      </c>
      <c r="D20" s="89" t="s">
        <v>400</v>
      </c>
      <c r="E20" s="89" t="s">
        <v>404</v>
      </c>
      <c r="F20" s="89" t="s">
        <v>77</v>
      </c>
      <c r="G20" s="89">
        <v>1</v>
      </c>
      <c r="H20" s="7"/>
      <c r="I20" s="3"/>
      <c r="J20" s="17"/>
      <c r="K20" s="90">
        <v>175</v>
      </c>
      <c r="L20" s="91">
        <f t="shared" si="0"/>
        <v>0</v>
      </c>
      <c r="M20" s="86">
        <f t="shared" si="1"/>
        <v>175</v>
      </c>
      <c r="N20" s="87">
        <f t="shared" si="2"/>
        <v>35</v>
      </c>
    </row>
    <row r="21" spans="1:14" s="33" customFormat="1" x14ac:dyDescent="0.2">
      <c r="A21" s="524"/>
      <c r="B21" s="53" t="s">
        <v>408</v>
      </c>
      <c r="C21" s="88">
        <v>181869</v>
      </c>
      <c r="D21" s="89" t="s">
        <v>400</v>
      </c>
      <c r="E21" s="89" t="s">
        <v>409</v>
      </c>
      <c r="F21" s="89" t="s">
        <v>77</v>
      </c>
      <c r="G21" s="89">
        <v>1</v>
      </c>
      <c r="H21" s="7"/>
      <c r="I21" s="3"/>
      <c r="J21" s="17"/>
      <c r="K21" s="90">
        <v>178.2</v>
      </c>
      <c r="L21" s="91">
        <f t="shared" si="0"/>
        <v>0</v>
      </c>
      <c r="M21" s="86">
        <f t="shared" si="1"/>
        <v>178.2</v>
      </c>
      <c r="N21" s="87">
        <f t="shared" si="2"/>
        <v>35.64</v>
      </c>
    </row>
    <row r="22" spans="1:14" s="33" customFormat="1" x14ac:dyDescent="0.2">
      <c r="A22" s="524"/>
      <c r="B22" s="53" t="s">
        <v>410</v>
      </c>
      <c r="C22" s="88">
        <v>152310</v>
      </c>
      <c r="D22" s="89" t="s">
        <v>411</v>
      </c>
      <c r="E22" s="89" t="s">
        <v>412</v>
      </c>
      <c r="F22" s="89" t="s">
        <v>77</v>
      </c>
      <c r="G22" s="89">
        <v>1</v>
      </c>
      <c r="H22" s="7"/>
      <c r="I22" s="3"/>
      <c r="J22" s="17"/>
      <c r="K22" s="90">
        <v>165.24</v>
      </c>
      <c r="L22" s="91">
        <f t="shared" si="0"/>
        <v>0</v>
      </c>
      <c r="M22" s="86">
        <f>K22</f>
        <v>165.24</v>
      </c>
      <c r="N22" s="87">
        <f>K22*0.2</f>
        <v>33.048000000000002</v>
      </c>
    </row>
    <row r="23" spans="1:14" s="33" customFormat="1" x14ac:dyDescent="0.2">
      <c r="A23" s="524"/>
      <c r="B23" s="53" t="s">
        <v>413</v>
      </c>
      <c r="C23" s="88">
        <v>99904</v>
      </c>
      <c r="D23" s="89" t="s">
        <v>414</v>
      </c>
      <c r="E23" s="89" t="s">
        <v>415</v>
      </c>
      <c r="F23" s="89" t="s">
        <v>77</v>
      </c>
      <c r="G23" s="89">
        <v>1</v>
      </c>
      <c r="H23" s="7"/>
      <c r="I23" s="3"/>
      <c r="J23" s="17"/>
      <c r="K23" s="90">
        <v>187.92</v>
      </c>
      <c r="L23" s="91">
        <f t="shared" si="0"/>
        <v>0</v>
      </c>
      <c r="M23" s="86">
        <f t="shared" si="1"/>
        <v>187.92</v>
      </c>
      <c r="N23" s="87">
        <f t="shared" si="2"/>
        <v>37.583999999999996</v>
      </c>
    </row>
    <row r="24" spans="1:14" s="33" customFormat="1" x14ac:dyDescent="0.2">
      <c r="A24" s="524"/>
      <c r="B24" s="53" t="s">
        <v>416</v>
      </c>
      <c r="C24" s="88">
        <v>172904</v>
      </c>
      <c r="D24" s="89" t="s">
        <v>398</v>
      </c>
      <c r="E24" s="89" t="s">
        <v>404</v>
      </c>
      <c r="F24" s="89" t="s">
        <v>77</v>
      </c>
      <c r="G24" s="89">
        <v>1</v>
      </c>
      <c r="H24" s="7"/>
      <c r="I24" s="3"/>
      <c r="J24" s="17"/>
      <c r="K24" s="90">
        <v>367.2</v>
      </c>
      <c r="L24" s="91">
        <f t="shared" si="0"/>
        <v>0</v>
      </c>
      <c r="M24" s="86">
        <f t="shared" si="1"/>
        <v>367.2</v>
      </c>
      <c r="N24" s="87">
        <f t="shared" si="2"/>
        <v>73.44</v>
      </c>
    </row>
    <row r="25" spans="1:14" s="33" customFormat="1" x14ac:dyDescent="0.2">
      <c r="A25" s="524"/>
      <c r="B25" s="53" t="s">
        <v>417</v>
      </c>
      <c r="C25" s="88">
        <v>2177</v>
      </c>
      <c r="D25" s="89" t="s">
        <v>400</v>
      </c>
      <c r="E25" s="89" t="s">
        <v>412</v>
      </c>
      <c r="F25" s="89" t="s">
        <v>77</v>
      </c>
      <c r="G25" s="89">
        <v>1</v>
      </c>
      <c r="H25" s="3"/>
      <c r="I25" s="3"/>
      <c r="J25" s="17"/>
      <c r="K25" s="90">
        <v>116.64</v>
      </c>
      <c r="L25" s="91">
        <f t="shared" si="0"/>
        <v>0</v>
      </c>
      <c r="M25" s="86">
        <f t="shared" si="1"/>
        <v>116.64</v>
      </c>
      <c r="N25" s="87">
        <f t="shared" si="2"/>
        <v>23.328000000000003</v>
      </c>
    </row>
    <row r="26" spans="1:14" s="33" customFormat="1" x14ac:dyDescent="0.2">
      <c r="A26" s="524"/>
      <c r="B26" s="53" t="s">
        <v>418</v>
      </c>
      <c r="C26" s="88">
        <v>187060</v>
      </c>
      <c r="D26" s="89" t="s">
        <v>419</v>
      </c>
      <c r="E26" s="89" t="s">
        <v>395</v>
      </c>
      <c r="F26" s="89" t="s">
        <v>77</v>
      </c>
      <c r="G26" s="89">
        <v>1</v>
      </c>
      <c r="H26" s="3"/>
      <c r="I26" s="3"/>
      <c r="J26" s="17"/>
      <c r="K26" s="90">
        <v>72.900000000000006</v>
      </c>
      <c r="L26" s="91">
        <f t="shared" si="0"/>
        <v>0</v>
      </c>
      <c r="M26" s="86">
        <f t="shared" si="1"/>
        <v>72.900000000000006</v>
      </c>
      <c r="N26" s="87">
        <f t="shared" si="2"/>
        <v>14.580000000000002</v>
      </c>
    </row>
    <row r="27" spans="1:14" s="33" customFormat="1" x14ac:dyDescent="0.2">
      <c r="A27" s="524"/>
      <c r="B27" s="53" t="s">
        <v>420</v>
      </c>
      <c r="C27" s="88">
        <v>57246</v>
      </c>
      <c r="D27" s="89" t="s">
        <v>400</v>
      </c>
      <c r="E27" s="89" t="s">
        <v>412</v>
      </c>
      <c r="F27" s="89" t="s">
        <v>77</v>
      </c>
      <c r="G27" s="89">
        <v>1</v>
      </c>
      <c r="H27" s="3"/>
      <c r="I27" s="3"/>
      <c r="J27" s="17"/>
      <c r="K27" s="90">
        <v>201.84</v>
      </c>
      <c r="L27" s="91">
        <f t="shared" si="0"/>
        <v>0</v>
      </c>
      <c r="M27" s="86">
        <f t="shared" si="1"/>
        <v>201.84</v>
      </c>
      <c r="N27" s="87">
        <f t="shared" si="2"/>
        <v>40.368000000000002</v>
      </c>
    </row>
    <row r="28" spans="1:14" s="33" customFormat="1" x14ac:dyDescent="0.2">
      <c r="A28" s="524"/>
      <c r="B28" s="99" t="s">
        <v>421</v>
      </c>
      <c r="C28" s="88">
        <v>80731</v>
      </c>
      <c r="D28" s="89" t="s">
        <v>400</v>
      </c>
      <c r="E28" s="89" t="s">
        <v>395</v>
      </c>
      <c r="F28" s="89" t="s">
        <v>77</v>
      </c>
      <c r="G28" s="89">
        <v>1</v>
      </c>
      <c r="H28" s="3"/>
      <c r="I28" s="3"/>
      <c r="J28" s="17"/>
      <c r="K28" s="90">
        <v>162</v>
      </c>
      <c r="L28" s="91">
        <f t="shared" si="0"/>
        <v>0</v>
      </c>
      <c r="M28" s="86">
        <f t="shared" si="1"/>
        <v>162</v>
      </c>
      <c r="N28" s="87">
        <f t="shared" si="2"/>
        <v>32.4</v>
      </c>
    </row>
    <row r="29" spans="1:14" s="33" customFormat="1" x14ac:dyDescent="0.2">
      <c r="A29" s="524"/>
      <c r="B29" s="99" t="s">
        <v>422</v>
      </c>
      <c r="C29" s="106">
        <v>75319</v>
      </c>
      <c r="D29" s="89" t="s">
        <v>400</v>
      </c>
      <c r="E29" s="107" t="s">
        <v>423</v>
      </c>
      <c r="F29" s="89" t="s">
        <v>77</v>
      </c>
      <c r="G29" s="89">
        <v>1</v>
      </c>
      <c r="H29" s="3"/>
      <c r="I29" s="3"/>
      <c r="J29" s="17"/>
      <c r="K29" s="90">
        <v>21.55</v>
      </c>
      <c r="L29" s="91">
        <f t="shared" si="0"/>
        <v>0</v>
      </c>
      <c r="M29" s="86">
        <f t="shared" si="1"/>
        <v>21.55</v>
      </c>
      <c r="N29" s="87">
        <f t="shared" si="2"/>
        <v>4.3100000000000005</v>
      </c>
    </row>
    <row r="30" spans="1:14" s="33" customFormat="1" ht="17" thickBot="1" x14ac:dyDescent="0.25">
      <c r="A30" s="524"/>
      <c r="B30" s="53" t="s">
        <v>408</v>
      </c>
      <c r="C30" s="88">
        <v>181869</v>
      </c>
      <c r="D30" s="89" t="s">
        <v>400</v>
      </c>
      <c r="E30" s="89" t="s">
        <v>409</v>
      </c>
      <c r="F30" s="89" t="s">
        <v>77</v>
      </c>
      <c r="G30" s="89">
        <v>1</v>
      </c>
      <c r="H30" s="3"/>
      <c r="I30" s="3"/>
      <c r="J30" s="17"/>
      <c r="K30" s="90">
        <v>178.2</v>
      </c>
      <c r="L30" s="91">
        <f t="shared" si="0"/>
        <v>0</v>
      </c>
      <c r="M30" s="86">
        <f t="shared" si="1"/>
        <v>178.2</v>
      </c>
      <c r="N30" s="87">
        <f t="shared" si="2"/>
        <v>35.64</v>
      </c>
    </row>
    <row r="31" spans="1:14" s="33" customFormat="1" ht="16.5" customHeight="1" thickBot="1" x14ac:dyDescent="0.25">
      <c r="A31" s="524"/>
      <c r="B31" s="102"/>
      <c r="C31" s="103"/>
      <c r="D31" s="103"/>
      <c r="E31" s="103"/>
      <c r="F31" s="103"/>
      <c r="G31" s="103"/>
      <c r="H31" s="103"/>
      <c r="I31" s="103"/>
      <c r="J31" s="103"/>
      <c r="K31" s="104"/>
      <c r="L31" s="105">
        <f>SUM(L12:L30)</f>
        <v>0</v>
      </c>
      <c r="M31" s="95"/>
      <c r="N31" s="96"/>
    </row>
    <row r="32" spans="1:14" s="33" customFormat="1" ht="38.25" customHeight="1" thickBot="1" x14ac:dyDescent="0.25">
      <c r="A32" s="524"/>
      <c r="B32" s="73" t="s">
        <v>424</v>
      </c>
      <c r="C32" s="458" t="s">
        <v>65</v>
      </c>
      <c r="D32" s="457" t="s">
        <v>386</v>
      </c>
      <c r="E32" s="457" t="s">
        <v>387</v>
      </c>
      <c r="F32" s="457" t="s">
        <v>388</v>
      </c>
      <c r="G32" s="457" t="s">
        <v>389</v>
      </c>
      <c r="H32" s="76" t="s">
        <v>67</v>
      </c>
      <c r="I32" s="76" t="s">
        <v>68</v>
      </c>
      <c r="J32" s="76"/>
      <c r="K32" s="77" t="s">
        <v>70</v>
      </c>
      <c r="L32" s="78" t="s">
        <v>25</v>
      </c>
      <c r="M32" s="86"/>
      <c r="N32" s="87"/>
    </row>
    <row r="33" spans="1:14" s="33" customFormat="1" x14ac:dyDescent="0.2">
      <c r="A33" s="524"/>
      <c r="B33" s="53" t="s">
        <v>425</v>
      </c>
      <c r="C33" s="106">
        <v>126373</v>
      </c>
      <c r="D33" s="107" t="s">
        <v>426</v>
      </c>
      <c r="E33" s="107" t="s">
        <v>427</v>
      </c>
      <c r="F33" s="107" t="s">
        <v>77</v>
      </c>
      <c r="G33" s="107">
        <v>6</v>
      </c>
      <c r="H33" s="8"/>
      <c r="I33" s="3"/>
      <c r="J33" s="17"/>
      <c r="K33" s="108">
        <v>77.099999999999994</v>
      </c>
      <c r="L33" s="91">
        <f t="shared" ref="L33:L71" si="3">J33*K33</f>
        <v>0</v>
      </c>
      <c r="M33" s="86">
        <f>K33*2</f>
        <v>154.19999999999999</v>
      </c>
      <c r="N33" s="87">
        <f t="shared" ref="N33:N55" si="4">M33/1000*25</f>
        <v>3.8549999999999995</v>
      </c>
    </row>
    <row r="34" spans="1:14" s="33" customFormat="1" x14ac:dyDescent="0.2">
      <c r="A34" s="524"/>
      <c r="B34" s="53" t="s">
        <v>428</v>
      </c>
      <c r="C34" s="106">
        <v>141272</v>
      </c>
      <c r="D34" s="107" t="s">
        <v>351</v>
      </c>
      <c r="E34" s="107" t="s">
        <v>381</v>
      </c>
      <c r="F34" s="107" t="s">
        <v>77</v>
      </c>
      <c r="G34" s="107">
        <v>16</v>
      </c>
      <c r="H34" s="536"/>
      <c r="I34" s="3"/>
      <c r="J34" s="17"/>
      <c r="K34" s="108">
        <v>117.28</v>
      </c>
      <c r="L34" s="91">
        <f t="shared" si="3"/>
        <v>0</v>
      </c>
      <c r="M34" s="86">
        <f>K34/10</f>
        <v>11.728</v>
      </c>
      <c r="N34" s="87"/>
    </row>
    <row r="35" spans="1:14" s="33" customFormat="1" x14ac:dyDescent="0.2">
      <c r="A35" s="524"/>
      <c r="B35" s="53" t="s">
        <v>429</v>
      </c>
      <c r="C35" s="106">
        <v>126995</v>
      </c>
      <c r="D35" s="107" t="s">
        <v>430</v>
      </c>
      <c r="E35" s="107" t="s">
        <v>431</v>
      </c>
      <c r="F35" s="107" t="s">
        <v>77</v>
      </c>
      <c r="G35" s="107">
        <v>1</v>
      </c>
      <c r="H35" s="536"/>
      <c r="I35" s="3"/>
      <c r="J35" s="17"/>
      <c r="K35" s="108">
        <v>38.229999999999997</v>
      </c>
      <c r="L35" s="91">
        <f t="shared" si="3"/>
        <v>0</v>
      </c>
      <c r="M35" s="86"/>
      <c r="N35" s="87"/>
    </row>
    <row r="36" spans="1:14" s="33" customFormat="1" x14ac:dyDescent="0.2">
      <c r="A36" s="524"/>
      <c r="B36" s="53" t="s">
        <v>432</v>
      </c>
      <c r="C36" s="106">
        <v>126998</v>
      </c>
      <c r="D36" s="107" t="s">
        <v>430</v>
      </c>
      <c r="E36" s="107" t="s">
        <v>431</v>
      </c>
      <c r="F36" s="107" t="s">
        <v>77</v>
      </c>
      <c r="G36" s="107">
        <v>1</v>
      </c>
      <c r="H36" s="8"/>
      <c r="I36" s="3"/>
      <c r="J36" s="17"/>
      <c r="K36" s="108">
        <v>38.229999999999997</v>
      </c>
      <c r="L36" s="91">
        <f t="shared" si="3"/>
        <v>0</v>
      </c>
      <c r="M36" s="86">
        <f>K36/3</f>
        <v>12.743333333333332</v>
      </c>
      <c r="N36" s="87">
        <f t="shared" si="4"/>
        <v>0.31858333333333333</v>
      </c>
    </row>
    <row r="37" spans="1:14" s="33" customFormat="1" x14ac:dyDescent="0.2">
      <c r="A37" s="524"/>
      <c r="B37" s="53" t="s">
        <v>433</v>
      </c>
      <c r="C37" s="106">
        <v>126996</v>
      </c>
      <c r="D37" s="107" t="s">
        <v>430</v>
      </c>
      <c r="E37" s="107" t="s">
        <v>431</v>
      </c>
      <c r="F37" s="107" t="s">
        <v>77</v>
      </c>
      <c r="G37" s="107">
        <v>1</v>
      </c>
      <c r="H37" s="8"/>
      <c r="I37" s="3"/>
      <c r="J37" s="17"/>
      <c r="K37" s="108">
        <v>38.229999999999997</v>
      </c>
      <c r="L37" s="91">
        <f t="shared" si="3"/>
        <v>0</v>
      </c>
      <c r="M37" s="86">
        <f>K37/1.38</f>
        <v>27.702898550724637</v>
      </c>
      <c r="N37" s="87">
        <f t="shared" si="4"/>
        <v>0.69257246376811588</v>
      </c>
    </row>
    <row r="38" spans="1:14" s="33" customFormat="1" x14ac:dyDescent="0.2">
      <c r="A38" s="524"/>
      <c r="B38" s="53" t="s">
        <v>434</v>
      </c>
      <c r="C38" s="106">
        <v>65806</v>
      </c>
      <c r="D38" s="107" t="s">
        <v>351</v>
      </c>
      <c r="E38" s="107" t="s">
        <v>435</v>
      </c>
      <c r="F38" s="107" t="s">
        <v>77</v>
      </c>
      <c r="G38" s="107">
        <v>1</v>
      </c>
      <c r="H38" s="8"/>
      <c r="I38" s="3"/>
      <c r="J38" s="17"/>
      <c r="K38" s="108">
        <v>45.47</v>
      </c>
      <c r="L38" s="91">
        <f t="shared" si="3"/>
        <v>0</v>
      </c>
      <c r="M38" s="86"/>
      <c r="N38" s="87"/>
    </row>
    <row r="39" spans="1:14" s="33" customFormat="1" x14ac:dyDescent="0.2">
      <c r="A39" s="524"/>
      <c r="B39" s="53"/>
      <c r="C39" s="106"/>
      <c r="D39" s="107"/>
      <c r="E39" s="107"/>
      <c r="F39" s="107"/>
      <c r="G39" s="107"/>
      <c r="H39" s="8"/>
      <c r="I39" s="3"/>
      <c r="J39" s="3"/>
      <c r="K39" s="108"/>
      <c r="L39" s="91">
        <f t="shared" si="3"/>
        <v>0</v>
      </c>
      <c r="M39" s="86"/>
      <c r="N39" s="87"/>
    </row>
    <row r="40" spans="1:14" x14ac:dyDescent="0.2">
      <c r="A40" s="524"/>
      <c r="B40" s="93" t="s">
        <v>436</v>
      </c>
      <c r="C40" s="109"/>
      <c r="D40" s="109"/>
      <c r="E40" s="109"/>
      <c r="F40" s="109"/>
      <c r="G40" s="109"/>
      <c r="H40" s="32"/>
      <c r="I40" s="32"/>
      <c r="J40" s="32"/>
      <c r="K40" s="110"/>
      <c r="L40" s="91">
        <f t="shared" si="3"/>
        <v>0</v>
      </c>
      <c r="M40" s="86"/>
      <c r="N40" s="87"/>
    </row>
    <row r="41" spans="1:14" s="33" customFormat="1" x14ac:dyDescent="0.2">
      <c r="A41" s="524"/>
      <c r="B41" s="53" t="s">
        <v>437</v>
      </c>
      <c r="C41" s="106">
        <v>160638</v>
      </c>
      <c r="D41" s="107" t="s">
        <v>438</v>
      </c>
      <c r="E41" s="107" t="s">
        <v>439</v>
      </c>
      <c r="F41" s="107" t="s">
        <v>77</v>
      </c>
      <c r="G41" s="107">
        <v>10</v>
      </c>
      <c r="H41" s="8"/>
      <c r="I41" s="3"/>
      <c r="J41" s="17"/>
      <c r="K41" s="112">
        <v>38</v>
      </c>
      <c r="L41" s="91">
        <f t="shared" si="3"/>
        <v>0</v>
      </c>
      <c r="M41" s="86">
        <f>K41/12</f>
        <v>3.1666666666666665</v>
      </c>
      <c r="N41" s="87">
        <f t="shared" si="4"/>
        <v>7.9166666666666663E-2</v>
      </c>
    </row>
    <row r="42" spans="1:14" s="33" customFormat="1" x14ac:dyDescent="0.2">
      <c r="A42" s="524"/>
      <c r="B42" s="53" t="s">
        <v>440</v>
      </c>
      <c r="C42" s="106">
        <v>160641</v>
      </c>
      <c r="D42" s="107" t="s">
        <v>441</v>
      </c>
      <c r="E42" s="107" t="s">
        <v>442</v>
      </c>
      <c r="F42" s="107" t="s">
        <v>77</v>
      </c>
      <c r="G42" s="107">
        <v>12</v>
      </c>
      <c r="H42" s="8"/>
      <c r="I42" s="3"/>
      <c r="J42" s="17"/>
      <c r="K42" s="112">
        <v>41.64</v>
      </c>
      <c r="L42" s="91">
        <f t="shared" si="3"/>
        <v>0</v>
      </c>
      <c r="M42" s="86">
        <f>K42/7</f>
        <v>5.9485714285714284</v>
      </c>
      <c r="N42" s="87">
        <f t="shared" si="4"/>
        <v>0.14871428571428569</v>
      </c>
    </row>
    <row r="43" spans="1:14" s="33" customFormat="1" x14ac:dyDescent="0.2">
      <c r="A43" s="524"/>
      <c r="B43" s="53" t="s">
        <v>443</v>
      </c>
      <c r="C43" s="106">
        <v>160644</v>
      </c>
      <c r="D43" s="107" t="s">
        <v>441</v>
      </c>
      <c r="E43" s="107" t="s">
        <v>442</v>
      </c>
      <c r="F43" s="107" t="s">
        <v>77</v>
      </c>
      <c r="G43" s="107">
        <v>12</v>
      </c>
      <c r="H43" s="8"/>
      <c r="I43" s="3"/>
      <c r="J43" s="17"/>
      <c r="K43" s="112">
        <v>41.64</v>
      </c>
      <c r="L43" s="91">
        <f t="shared" si="3"/>
        <v>0</v>
      </c>
      <c r="M43" s="86">
        <f>K43/3</f>
        <v>13.88</v>
      </c>
      <c r="N43" s="87">
        <f t="shared" si="4"/>
        <v>0.34699999999999998</v>
      </c>
    </row>
    <row r="44" spans="1:14" s="33" customFormat="1" x14ac:dyDescent="0.2">
      <c r="A44" s="524"/>
      <c r="B44" s="53" t="s">
        <v>444</v>
      </c>
      <c r="C44" s="106">
        <v>172299</v>
      </c>
      <c r="D44" s="107" t="s">
        <v>445</v>
      </c>
      <c r="E44" s="107" t="s">
        <v>446</v>
      </c>
      <c r="F44" s="107" t="s">
        <v>77</v>
      </c>
      <c r="G44" s="107">
        <v>3</v>
      </c>
      <c r="H44" s="8"/>
      <c r="I44" s="3"/>
      <c r="J44" s="17"/>
      <c r="K44" s="112">
        <v>89.1</v>
      </c>
      <c r="L44" s="91">
        <f t="shared" si="3"/>
        <v>0</v>
      </c>
      <c r="M44" s="86">
        <f>K44/12</f>
        <v>7.4249999999999998</v>
      </c>
      <c r="N44" s="87">
        <f t="shared" si="4"/>
        <v>0.18562500000000001</v>
      </c>
    </row>
    <row r="45" spans="1:14" s="33" customFormat="1" x14ac:dyDescent="0.2">
      <c r="A45" s="524"/>
      <c r="B45" s="53" t="s">
        <v>447</v>
      </c>
      <c r="C45" s="106">
        <v>159631</v>
      </c>
      <c r="D45" s="107" t="s">
        <v>448</v>
      </c>
      <c r="E45" s="107" t="s">
        <v>377</v>
      </c>
      <c r="F45" s="107" t="s">
        <v>77</v>
      </c>
      <c r="G45" s="107">
        <v>12</v>
      </c>
      <c r="H45" s="8"/>
      <c r="I45" s="3"/>
      <c r="J45" s="17"/>
      <c r="K45" s="112">
        <v>135.12</v>
      </c>
      <c r="L45" s="91">
        <f t="shared" si="3"/>
        <v>0</v>
      </c>
      <c r="M45" s="86"/>
      <c r="N45" s="87"/>
    </row>
    <row r="46" spans="1:14" s="33" customFormat="1" x14ac:dyDescent="0.2">
      <c r="A46" s="524"/>
      <c r="B46" s="113" t="s">
        <v>449</v>
      </c>
      <c r="C46" s="106">
        <v>71598</v>
      </c>
      <c r="D46" s="107" t="s">
        <v>351</v>
      </c>
      <c r="E46" s="107" t="s">
        <v>361</v>
      </c>
      <c r="F46" s="107" t="s">
        <v>77</v>
      </c>
      <c r="G46" s="107">
        <v>6</v>
      </c>
      <c r="H46" s="8"/>
      <c r="I46" s="3"/>
      <c r="J46" s="17"/>
      <c r="K46" s="112">
        <v>189</v>
      </c>
      <c r="L46" s="91">
        <f t="shared" si="3"/>
        <v>0</v>
      </c>
      <c r="M46" s="86">
        <f t="shared" ref="M46" si="5">K46/10</f>
        <v>18.899999999999999</v>
      </c>
      <c r="N46" s="87">
        <f t="shared" si="4"/>
        <v>0.47250000000000003</v>
      </c>
    </row>
    <row r="47" spans="1:14" s="33" customFormat="1" x14ac:dyDescent="0.2">
      <c r="A47" s="524"/>
      <c r="B47" s="53" t="s">
        <v>450</v>
      </c>
      <c r="C47" s="106">
        <v>160647</v>
      </c>
      <c r="D47" s="107" t="s">
        <v>451</v>
      </c>
      <c r="E47" s="107" t="s">
        <v>401</v>
      </c>
      <c r="F47" s="107" t="s">
        <v>77</v>
      </c>
      <c r="G47" s="107">
        <v>1</v>
      </c>
      <c r="H47" s="466"/>
      <c r="I47" s="3"/>
      <c r="J47" s="17"/>
      <c r="K47" s="112">
        <v>53.28</v>
      </c>
      <c r="L47" s="91">
        <f t="shared" si="3"/>
        <v>0</v>
      </c>
      <c r="M47" s="86">
        <f>K47/12</f>
        <v>4.4400000000000004</v>
      </c>
      <c r="N47" s="87">
        <f t="shared" si="4"/>
        <v>0.11100000000000002</v>
      </c>
    </row>
    <row r="48" spans="1:14" s="33" customFormat="1" x14ac:dyDescent="0.2">
      <c r="A48" s="524"/>
      <c r="B48" s="53" t="s">
        <v>452</v>
      </c>
      <c r="C48" s="106">
        <v>160648</v>
      </c>
      <c r="D48" s="107" t="s">
        <v>451</v>
      </c>
      <c r="E48" s="107" t="s">
        <v>401</v>
      </c>
      <c r="F48" s="107" t="s">
        <v>77</v>
      </c>
      <c r="G48" s="107">
        <v>1</v>
      </c>
      <c r="H48" s="8"/>
      <c r="I48" s="3"/>
      <c r="J48" s="17"/>
      <c r="K48" s="112">
        <v>54.6</v>
      </c>
      <c r="L48" s="91">
        <f t="shared" si="3"/>
        <v>0</v>
      </c>
      <c r="M48" s="86">
        <f>K48/1</f>
        <v>54.6</v>
      </c>
      <c r="N48" s="87">
        <f>M48/1000*10</f>
        <v>0.54600000000000004</v>
      </c>
    </row>
    <row r="49" spans="1:14" s="33" customFormat="1" x14ac:dyDescent="0.2">
      <c r="A49" s="524"/>
      <c r="B49" s="53" t="s">
        <v>453</v>
      </c>
      <c r="C49" s="106">
        <v>18401</v>
      </c>
      <c r="D49" s="107" t="s">
        <v>454</v>
      </c>
      <c r="E49" s="107" t="s">
        <v>355</v>
      </c>
      <c r="F49" s="107" t="s">
        <v>77</v>
      </c>
      <c r="G49" s="107">
        <v>1</v>
      </c>
      <c r="H49" s="8"/>
      <c r="I49" s="3"/>
      <c r="J49" s="17"/>
      <c r="K49" s="112">
        <v>32.72</v>
      </c>
      <c r="L49" s="91">
        <f t="shared" si="3"/>
        <v>0</v>
      </c>
      <c r="M49" s="86">
        <f>K49/6</f>
        <v>5.4533333333333331</v>
      </c>
      <c r="N49" s="87">
        <f t="shared" si="4"/>
        <v>0.13633333333333333</v>
      </c>
    </row>
    <row r="50" spans="1:14" s="33" customFormat="1" x14ac:dyDescent="0.2">
      <c r="A50" s="524"/>
      <c r="B50" s="53" t="s">
        <v>455</v>
      </c>
      <c r="C50" s="106">
        <v>160646</v>
      </c>
      <c r="D50" s="107" t="s">
        <v>441</v>
      </c>
      <c r="E50" s="107" t="s">
        <v>456</v>
      </c>
      <c r="F50" s="107" t="s">
        <v>77</v>
      </c>
      <c r="G50" s="107">
        <v>2</v>
      </c>
      <c r="H50" s="8"/>
      <c r="I50" s="3"/>
      <c r="J50" s="17"/>
      <c r="K50" s="112">
        <v>50.66</v>
      </c>
      <c r="L50" s="91">
        <f t="shared" si="3"/>
        <v>0</v>
      </c>
      <c r="M50" s="86">
        <f>K50/3</f>
        <v>16.886666666666667</v>
      </c>
      <c r="N50" s="87">
        <f t="shared" si="4"/>
        <v>0.42216666666666669</v>
      </c>
    </row>
    <row r="51" spans="1:14" s="33" customFormat="1" x14ac:dyDescent="0.2">
      <c r="A51" s="524"/>
      <c r="B51" s="53" t="s">
        <v>457</v>
      </c>
      <c r="C51" s="106">
        <v>171309</v>
      </c>
      <c r="D51" s="107" t="s">
        <v>458</v>
      </c>
      <c r="E51" s="107" t="s">
        <v>456</v>
      </c>
      <c r="F51" s="107" t="s">
        <v>77</v>
      </c>
      <c r="G51" s="107">
        <v>6</v>
      </c>
      <c r="H51" s="8"/>
      <c r="I51" s="3"/>
      <c r="J51" s="17"/>
      <c r="K51" s="112">
        <v>123.12</v>
      </c>
      <c r="L51" s="91">
        <f t="shared" si="3"/>
        <v>0</v>
      </c>
      <c r="M51" s="86">
        <f>K51/16.2</f>
        <v>7.6000000000000005</v>
      </c>
      <c r="N51" s="87">
        <f t="shared" si="4"/>
        <v>0.19000000000000003</v>
      </c>
    </row>
    <row r="52" spans="1:14" s="33" customFormat="1" x14ac:dyDescent="0.2">
      <c r="A52" s="524"/>
      <c r="B52" s="53" t="s">
        <v>459</v>
      </c>
      <c r="C52" s="106">
        <v>197416</v>
      </c>
      <c r="D52" s="107" t="s">
        <v>460</v>
      </c>
      <c r="E52" s="107" t="s">
        <v>361</v>
      </c>
      <c r="F52" s="107" t="s">
        <v>77</v>
      </c>
      <c r="G52" s="107">
        <v>6</v>
      </c>
      <c r="H52" s="8"/>
      <c r="I52" s="3"/>
      <c r="J52" s="17"/>
      <c r="K52" s="112">
        <v>169.8</v>
      </c>
      <c r="L52" s="91">
        <f t="shared" si="3"/>
        <v>0</v>
      </c>
      <c r="M52" s="86">
        <f>K52/12</f>
        <v>14.15</v>
      </c>
      <c r="N52" s="87">
        <f t="shared" si="4"/>
        <v>0.35375000000000001</v>
      </c>
    </row>
    <row r="53" spans="1:14" s="33" customFormat="1" x14ac:dyDescent="0.2">
      <c r="A53" s="524"/>
      <c r="B53" s="53" t="s">
        <v>461</v>
      </c>
      <c r="C53" s="106">
        <v>84811</v>
      </c>
      <c r="D53" s="107" t="s">
        <v>351</v>
      </c>
      <c r="E53" s="107" t="s">
        <v>361</v>
      </c>
      <c r="F53" s="107" t="s">
        <v>77</v>
      </c>
      <c r="G53" s="107">
        <v>6</v>
      </c>
      <c r="H53" s="8"/>
      <c r="I53" s="3"/>
      <c r="J53" s="17"/>
      <c r="K53" s="112">
        <v>140.4</v>
      </c>
      <c r="L53" s="91">
        <f t="shared" si="3"/>
        <v>0</v>
      </c>
      <c r="M53" s="86">
        <f>K53/12</f>
        <v>11.700000000000001</v>
      </c>
      <c r="N53" s="87">
        <f t="shared" si="4"/>
        <v>0.29249999999999998</v>
      </c>
    </row>
    <row r="54" spans="1:14" s="33" customFormat="1" x14ac:dyDescent="0.2">
      <c r="A54" s="524"/>
      <c r="B54" s="53" t="s">
        <v>462</v>
      </c>
      <c r="C54" s="106">
        <v>185995</v>
      </c>
      <c r="D54" s="107" t="s">
        <v>463</v>
      </c>
      <c r="E54" s="107" t="s">
        <v>377</v>
      </c>
      <c r="F54" s="107" t="s">
        <v>77</v>
      </c>
      <c r="G54" s="107">
        <v>10</v>
      </c>
      <c r="H54" s="8"/>
      <c r="I54" s="3"/>
      <c r="J54" s="17"/>
      <c r="K54" s="112">
        <v>220.3</v>
      </c>
      <c r="L54" s="91">
        <f t="shared" si="3"/>
        <v>0</v>
      </c>
      <c r="M54" s="86"/>
      <c r="N54" s="87"/>
    </row>
    <row r="55" spans="1:14" s="33" customFormat="1" x14ac:dyDescent="0.2">
      <c r="A55" s="524"/>
      <c r="B55" s="53" t="s">
        <v>464</v>
      </c>
      <c r="C55" s="106">
        <v>7366</v>
      </c>
      <c r="D55" s="107" t="s">
        <v>465</v>
      </c>
      <c r="E55" s="107" t="s">
        <v>381</v>
      </c>
      <c r="F55" s="107" t="s">
        <v>466</v>
      </c>
      <c r="G55" s="107">
        <v>1</v>
      </c>
      <c r="H55" s="8"/>
      <c r="I55" s="3"/>
      <c r="J55" s="17"/>
      <c r="K55" s="112">
        <v>42.72</v>
      </c>
      <c r="L55" s="91">
        <f t="shared" si="3"/>
        <v>0</v>
      </c>
      <c r="M55" s="86">
        <f>K55/6</f>
        <v>7.12</v>
      </c>
      <c r="N55" s="87">
        <f t="shared" si="4"/>
        <v>0.17800000000000002</v>
      </c>
    </row>
    <row r="56" spans="1:14" s="33" customFormat="1" x14ac:dyDescent="0.2">
      <c r="A56" s="524"/>
      <c r="B56" s="53" t="s">
        <v>467</v>
      </c>
      <c r="C56" s="106">
        <v>49200</v>
      </c>
      <c r="D56" s="107" t="s">
        <v>351</v>
      </c>
      <c r="E56" s="107" t="s">
        <v>361</v>
      </c>
      <c r="F56" s="107" t="s">
        <v>77</v>
      </c>
      <c r="G56" s="107">
        <v>6</v>
      </c>
      <c r="H56" s="8"/>
      <c r="I56" s="3"/>
      <c r="J56" s="17"/>
      <c r="K56" s="112">
        <v>143.22</v>
      </c>
      <c r="L56" s="91">
        <f t="shared" si="3"/>
        <v>0</v>
      </c>
      <c r="M56" s="86"/>
      <c r="N56" s="87"/>
    </row>
    <row r="57" spans="1:14" s="33" customFormat="1" x14ac:dyDescent="0.2">
      <c r="A57" s="524"/>
      <c r="B57" s="53" t="s">
        <v>468</v>
      </c>
      <c r="C57" s="106">
        <v>106040</v>
      </c>
      <c r="D57" s="107" t="s">
        <v>469</v>
      </c>
      <c r="E57" s="107" t="s">
        <v>358</v>
      </c>
      <c r="F57" s="107" t="s">
        <v>77</v>
      </c>
      <c r="G57" s="107">
        <v>8</v>
      </c>
      <c r="H57" s="8"/>
      <c r="I57" s="3"/>
      <c r="J57" s="17"/>
      <c r="K57" s="112">
        <v>172.72</v>
      </c>
      <c r="L57" s="91">
        <f t="shared" si="3"/>
        <v>0</v>
      </c>
      <c r="M57" s="86">
        <f>K57/12</f>
        <v>14.393333333333333</v>
      </c>
      <c r="N57" s="87">
        <f>M57/12</f>
        <v>1.1994444444444443</v>
      </c>
    </row>
    <row r="58" spans="1:14" s="33" customFormat="1" x14ac:dyDescent="0.2">
      <c r="A58" s="524"/>
      <c r="B58" s="53" t="s">
        <v>470</v>
      </c>
      <c r="C58" s="106">
        <v>5501</v>
      </c>
      <c r="D58" s="107" t="s">
        <v>471</v>
      </c>
      <c r="E58" s="107" t="s">
        <v>377</v>
      </c>
      <c r="F58" s="107" t="s">
        <v>77</v>
      </c>
      <c r="G58" s="107">
        <v>10</v>
      </c>
      <c r="H58" s="8"/>
      <c r="I58" s="3"/>
      <c r="J58" s="17"/>
      <c r="K58" s="112">
        <v>264.7</v>
      </c>
      <c r="L58" s="91">
        <f t="shared" si="3"/>
        <v>0</v>
      </c>
      <c r="M58" s="86"/>
      <c r="N58" s="87"/>
    </row>
    <row r="59" spans="1:14" s="33" customFormat="1" x14ac:dyDescent="0.2">
      <c r="A59" s="524"/>
      <c r="B59" s="53" t="s">
        <v>472</v>
      </c>
      <c r="C59" s="106">
        <v>184484</v>
      </c>
      <c r="D59" s="107" t="s">
        <v>351</v>
      </c>
      <c r="E59" s="107" t="s">
        <v>358</v>
      </c>
      <c r="F59" s="107" t="s">
        <v>77</v>
      </c>
      <c r="G59" s="107">
        <v>8</v>
      </c>
      <c r="H59" s="8"/>
      <c r="I59" s="3"/>
      <c r="J59" s="17"/>
      <c r="K59" s="112">
        <v>151.19999999999999</v>
      </c>
      <c r="L59" s="91">
        <f t="shared" si="3"/>
        <v>0</v>
      </c>
      <c r="M59" s="86"/>
      <c r="N59" s="87"/>
    </row>
    <row r="60" spans="1:14" s="33" customFormat="1" x14ac:dyDescent="0.2">
      <c r="A60" s="524"/>
      <c r="B60" s="53" t="s">
        <v>473</v>
      </c>
      <c r="C60" s="106">
        <v>27451</v>
      </c>
      <c r="D60" s="107" t="s">
        <v>474</v>
      </c>
      <c r="E60" s="107" t="s">
        <v>475</v>
      </c>
      <c r="F60" s="107" t="s">
        <v>77</v>
      </c>
      <c r="G60" s="107">
        <v>1</v>
      </c>
      <c r="H60" s="8"/>
      <c r="I60" s="3"/>
      <c r="J60" s="17"/>
      <c r="K60" s="112">
        <v>43.61</v>
      </c>
      <c r="L60" s="91">
        <f t="shared" si="3"/>
        <v>0</v>
      </c>
      <c r="M60" s="86"/>
      <c r="N60" s="87"/>
    </row>
    <row r="61" spans="1:14" s="33" customFormat="1" x14ac:dyDescent="0.2">
      <c r="A61" s="524"/>
      <c r="B61" s="53" t="s">
        <v>476</v>
      </c>
      <c r="C61" s="106">
        <v>87154</v>
      </c>
      <c r="D61" s="107" t="s">
        <v>448</v>
      </c>
      <c r="E61" s="107" t="s">
        <v>477</v>
      </c>
      <c r="F61" s="107" t="s">
        <v>77</v>
      </c>
      <c r="G61" s="107">
        <v>12</v>
      </c>
      <c r="H61" s="8"/>
      <c r="I61" s="3"/>
      <c r="J61" s="17"/>
      <c r="K61" s="112">
        <v>103.32</v>
      </c>
      <c r="L61" s="91">
        <f t="shared" si="3"/>
        <v>0</v>
      </c>
      <c r="M61" s="86"/>
      <c r="N61" s="87"/>
    </row>
    <row r="62" spans="1:14" s="33" customFormat="1" x14ac:dyDescent="0.2">
      <c r="A62" s="524"/>
      <c r="B62" s="53" t="s">
        <v>478</v>
      </c>
      <c r="C62" s="106">
        <v>129990</v>
      </c>
      <c r="D62" s="107" t="s">
        <v>479</v>
      </c>
      <c r="E62" s="107" t="s">
        <v>377</v>
      </c>
      <c r="F62" s="107" t="s">
        <v>77</v>
      </c>
      <c r="G62" s="107">
        <v>6</v>
      </c>
      <c r="H62" s="8"/>
      <c r="I62" s="3"/>
      <c r="J62" s="17"/>
      <c r="K62" s="112">
        <v>71.760000000000005</v>
      </c>
      <c r="L62" s="91">
        <f t="shared" si="3"/>
        <v>0</v>
      </c>
      <c r="M62" s="86"/>
      <c r="N62" s="87"/>
    </row>
    <row r="63" spans="1:14" s="33" customFormat="1" x14ac:dyDescent="0.2">
      <c r="A63" s="524"/>
      <c r="B63" s="53" t="s">
        <v>480</v>
      </c>
      <c r="C63" s="106">
        <v>135837</v>
      </c>
      <c r="D63" s="107" t="s">
        <v>479</v>
      </c>
      <c r="E63" s="107" t="s">
        <v>377</v>
      </c>
      <c r="F63" s="107" t="s">
        <v>77</v>
      </c>
      <c r="G63" s="107">
        <v>6</v>
      </c>
      <c r="H63" s="8"/>
      <c r="I63" s="3"/>
      <c r="J63" s="17"/>
      <c r="K63" s="112">
        <v>77.760000000000005</v>
      </c>
      <c r="L63" s="91">
        <f t="shared" si="3"/>
        <v>0</v>
      </c>
      <c r="M63" s="86"/>
      <c r="N63" s="87"/>
    </row>
    <row r="64" spans="1:14" s="33" customFormat="1" x14ac:dyDescent="0.2">
      <c r="A64" s="524"/>
      <c r="B64" s="53" t="s">
        <v>481</v>
      </c>
      <c r="C64" s="106">
        <v>195005</v>
      </c>
      <c r="D64" s="107" t="s">
        <v>479</v>
      </c>
      <c r="E64" s="107" t="s">
        <v>377</v>
      </c>
      <c r="F64" s="107" t="s">
        <v>77</v>
      </c>
      <c r="G64" s="107">
        <v>6</v>
      </c>
      <c r="H64" s="8"/>
      <c r="I64" s="3"/>
      <c r="J64" s="17"/>
      <c r="K64" s="112">
        <v>74.040000000000006</v>
      </c>
      <c r="L64" s="91">
        <f t="shared" si="3"/>
        <v>0</v>
      </c>
      <c r="M64" s="86"/>
      <c r="N64" s="87"/>
    </row>
    <row r="65" spans="1:14" s="33" customFormat="1" x14ac:dyDescent="0.2">
      <c r="A65" s="524"/>
      <c r="B65" s="53" t="s">
        <v>482</v>
      </c>
      <c r="C65" s="106">
        <v>106559</v>
      </c>
      <c r="D65" s="107" t="s">
        <v>483</v>
      </c>
      <c r="E65" s="107" t="s">
        <v>361</v>
      </c>
      <c r="F65" s="107" t="s">
        <v>466</v>
      </c>
      <c r="G65" s="107">
        <v>3</v>
      </c>
      <c r="H65" s="8"/>
      <c r="I65" s="3"/>
      <c r="J65" s="17"/>
      <c r="K65" s="112">
        <v>17.11</v>
      </c>
      <c r="L65" s="91">
        <f t="shared" si="3"/>
        <v>0</v>
      </c>
      <c r="M65" s="86"/>
      <c r="N65" s="87"/>
    </row>
    <row r="66" spans="1:14" s="33" customFormat="1" x14ac:dyDescent="0.2">
      <c r="A66" s="524"/>
      <c r="B66" s="53" t="s">
        <v>484</v>
      </c>
      <c r="C66" s="106">
        <v>171627</v>
      </c>
      <c r="D66" s="107" t="s">
        <v>485</v>
      </c>
      <c r="E66" s="107" t="s">
        <v>361</v>
      </c>
      <c r="F66" s="107" t="s">
        <v>466</v>
      </c>
      <c r="G66" s="107">
        <v>4</v>
      </c>
      <c r="H66" s="8"/>
      <c r="I66" s="3"/>
      <c r="J66" s="17"/>
      <c r="K66" s="115">
        <v>23.98</v>
      </c>
      <c r="L66" s="91">
        <f t="shared" si="3"/>
        <v>0</v>
      </c>
      <c r="M66" s="86">
        <f>K66/12</f>
        <v>1.9983333333333333</v>
      </c>
      <c r="N66" s="87">
        <f>M66/1000*50</f>
        <v>9.9916666666666668E-2</v>
      </c>
    </row>
    <row r="67" spans="1:14" s="33" customFormat="1" x14ac:dyDescent="0.2">
      <c r="A67" s="524"/>
      <c r="B67" s="93" t="s">
        <v>486</v>
      </c>
      <c r="C67" s="109"/>
      <c r="D67" s="109"/>
      <c r="E67" s="109"/>
      <c r="F67" s="109"/>
      <c r="G67" s="109"/>
      <c r="H67" s="32"/>
      <c r="I67" s="32"/>
      <c r="J67" s="32"/>
      <c r="K67" s="110"/>
      <c r="L67" s="91">
        <f t="shared" si="3"/>
        <v>0</v>
      </c>
      <c r="M67" s="86"/>
      <c r="N67" s="87"/>
    </row>
    <row r="68" spans="1:14" s="33" customFormat="1" x14ac:dyDescent="0.2">
      <c r="A68" s="524"/>
      <c r="B68" s="282" t="s">
        <v>487</v>
      </c>
      <c r="C68" s="106">
        <v>81481</v>
      </c>
      <c r="D68" s="107" t="s">
        <v>351</v>
      </c>
      <c r="E68" s="107" t="s">
        <v>488</v>
      </c>
      <c r="F68" s="107" t="s">
        <v>77</v>
      </c>
      <c r="G68" s="107">
        <v>1</v>
      </c>
      <c r="H68" s="8"/>
      <c r="I68" s="3"/>
      <c r="J68" s="17"/>
      <c r="K68" s="471">
        <v>50</v>
      </c>
      <c r="L68" s="91">
        <f t="shared" si="3"/>
        <v>0</v>
      </c>
      <c r="M68" s="86">
        <f>K68/12</f>
        <v>4.166666666666667</v>
      </c>
      <c r="N68" s="87">
        <f>M68/1000*150</f>
        <v>0.625</v>
      </c>
    </row>
    <row r="69" spans="1:14" s="33" customFormat="1" x14ac:dyDescent="0.2">
      <c r="A69" s="524"/>
      <c r="B69" s="93" t="s">
        <v>489</v>
      </c>
      <c r="C69" s="109"/>
      <c r="D69" s="109"/>
      <c r="E69" s="109"/>
      <c r="F69" s="109"/>
      <c r="G69" s="109"/>
      <c r="H69" s="32"/>
      <c r="I69" s="32"/>
      <c r="J69" s="32"/>
      <c r="K69" s="110"/>
      <c r="L69" s="91">
        <f t="shared" si="3"/>
        <v>0</v>
      </c>
      <c r="M69" s="86"/>
      <c r="N69" s="87"/>
    </row>
    <row r="70" spans="1:14" s="33" customFormat="1" x14ac:dyDescent="0.2">
      <c r="A70" s="524"/>
      <c r="B70" s="53" t="s">
        <v>490</v>
      </c>
      <c r="C70" s="106">
        <v>150002</v>
      </c>
      <c r="D70" s="107" t="s">
        <v>351</v>
      </c>
      <c r="E70" s="107" t="s">
        <v>491</v>
      </c>
      <c r="F70" s="107" t="s">
        <v>77</v>
      </c>
      <c r="G70" s="107">
        <v>1</v>
      </c>
      <c r="H70" s="8"/>
      <c r="I70" s="3"/>
      <c r="J70" s="17"/>
      <c r="K70" s="112">
        <v>23.16</v>
      </c>
      <c r="L70" s="91">
        <f t="shared" si="3"/>
        <v>0</v>
      </c>
      <c r="M70" s="86">
        <f>K70/3.75</f>
        <v>6.1760000000000002</v>
      </c>
      <c r="N70" s="87">
        <f>M70/1000*15</f>
        <v>9.264E-2</v>
      </c>
    </row>
    <row r="71" spans="1:14" s="33" customFormat="1" x14ac:dyDescent="0.2">
      <c r="A71" s="524"/>
      <c r="B71" s="53" t="s">
        <v>492</v>
      </c>
      <c r="C71" s="106">
        <v>150003</v>
      </c>
      <c r="D71" s="107" t="s">
        <v>351</v>
      </c>
      <c r="E71" s="107" t="s">
        <v>491</v>
      </c>
      <c r="F71" s="107" t="s">
        <v>77</v>
      </c>
      <c r="G71" s="107">
        <v>1</v>
      </c>
      <c r="H71" s="8"/>
      <c r="I71" s="3"/>
      <c r="J71" s="17"/>
      <c r="K71" s="112">
        <v>23.16</v>
      </c>
      <c r="L71" s="91">
        <f t="shared" si="3"/>
        <v>0</v>
      </c>
      <c r="M71" s="86">
        <f>K71/3</f>
        <v>7.72</v>
      </c>
      <c r="N71" s="87">
        <f>M71/1000*125</f>
        <v>0.96499999999999997</v>
      </c>
    </row>
    <row r="72" spans="1:14" s="33" customFormat="1" x14ac:dyDescent="0.2">
      <c r="A72" s="524"/>
      <c r="B72" s="99" t="s">
        <v>493</v>
      </c>
      <c r="C72" s="106">
        <v>139329</v>
      </c>
      <c r="D72" s="107" t="s">
        <v>494</v>
      </c>
      <c r="E72" s="107" t="s">
        <v>495</v>
      </c>
      <c r="F72" s="107" t="s">
        <v>77</v>
      </c>
      <c r="G72" s="475">
        <v>12</v>
      </c>
      <c r="H72" s="3"/>
      <c r="I72" s="3"/>
      <c r="J72" s="17"/>
      <c r="K72" s="309">
        <v>32.880000000000003</v>
      </c>
      <c r="L72" s="91">
        <f>J72*K72</f>
        <v>0</v>
      </c>
      <c r="M72" s="310">
        <f>K72/12</f>
        <v>2.74</v>
      </c>
      <c r="N72" s="87">
        <f>K72/12000*20</f>
        <v>5.4800000000000001E-2</v>
      </c>
    </row>
    <row r="73" spans="1:14" s="33" customFormat="1" x14ac:dyDescent="0.2">
      <c r="A73" s="524"/>
      <c r="B73" s="99" t="s">
        <v>496</v>
      </c>
      <c r="C73" s="106">
        <v>6334</v>
      </c>
      <c r="D73" s="107" t="s">
        <v>494</v>
      </c>
      <c r="E73" s="107" t="s">
        <v>495</v>
      </c>
      <c r="F73" s="107" t="s">
        <v>77</v>
      </c>
      <c r="G73" s="475">
        <v>12</v>
      </c>
      <c r="H73" s="3"/>
      <c r="I73" s="3"/>
      <c r="J73" s="17"/>
      <c r="K73" s="309">
        <v>30.48</v>
      </c>
      <c r="L73" s="91">
        <f>J73*K73</f>
        <v>0</v>
      </c>
      <c r="M73" s="310">
        <f>K73/12</f>
        <v>2.54</v>
      </c>
      <c r="N73" s="87">
        <f>K73/12000*20</f>
        <v>5.0800000000000005E-2</v>
      </c>
    </row>
    <row r="74" spans="1:14" s="33" customFormat="1" x14ac:dyDescent="0.2">
      <c r="A74" s="524"/>
      <c r="B74" s="53" t="s">
        <v>497</v>
      </c>
      <c r="C74" s="106">
        <v>172092</v>
      </c>
      <c r="D74" s="107" t="s">
        <v>351</v>
      </c>
      <c r="E74" s="107" t="s">
        <v>491</v>
      </c>
      <c r="F74" s="107" t="s">
        <v>77</v>
      </c>
      <c r="G74" s="107">
        <v>1</v>
      </c>
      <c r="H74" s="8"/>
      <c r="I74" s="3"/>
      <c r="J74" s="17"/>
      <c r="K74" s="112">
        <v>30.84</v>
      </c>
      <c r="L74" s="91">
        <f t="shared" ref="L74:L78" si="6">J74*K74</f>
        <v>0</v>
      </c>
      <c r="M74" s="86"/>
      <c r="N74" s="87"/>
    </row>
    <row r="75" spans="1:14" s="33" customFormat="1" x14ac:dyDescent="0.2">
      <c r="A75" s="524"/>
      <c r="B75" s="53" t="s">
        <v>498</v>
      </c>
      <c r="C75" s="106">
        <v>172093</v>
      </c>
      <c r="D75" s="107" t="s">
        <v>351</v>
      </c>
      <c r="E75" s="107" t="s">
        <v>491</v>
      </c>
      <c r="F75" s="107" t="s">
        <v>77</v>
      </c>
      <c r="G75" s="107">
        <v>1</v>
      </c>
      <c r="H75" s="8"/>
      <c r="I75" s="3"/>
      <c r="J75" s="17"/>
      <c r="K75" s="112">
        <v>30.84</v>
      </c>
      <c r="L75" s="91">
        <f t="shared" si="6"/>
        <v>0</v>
      </c>
      <c r="M75" s="86"/>
      <c r="N75" s="87"/>
    </row>
    <row r="76" spans="1:14" s="33" customFormat="1" x14ac:dyDescent="0.2">
      <c r="A76" s="524"/>
      <c r="B76" s="282" t="s">
        <v>499</v>
      </c>
      <c r="C76" s="106">
        <v>208004</v>
      </c>
      <c r="D76" s="107" t="s">
        <v>500</v>
      </c>
      <c r="E76" s="107" t="s">
        <v>381</v>
      </c>
      <c r="F76" s="107" t="s">
        <v>77</v>
      </c>
      <c r="G76" s="107">
        <v>12</v>
      </c>
      <c r="H76" s="8"/>
      <c r="I76" s="3"/>
      <c r="J76" s="17"/>
      <c r="K76" s="471">
        <v>80.400000000000006</v>
      </c>
      <c r="L76" s="91">
        <f t="shared" si="6"/>
        <v>0</v>
      </c>
      <c r="M76" s="86"/>
      <c r="N76" s="87"/>
    </row>
    <row r="77" spans="1:14" s="33" customFormat="1" x14ac:dyDescent="0.2">
      <c r="A77" s="524"/>
      <c r="B77" s="282" t="s">
        <v>501</v>
      </c>
      <c r="C77" s="106">
        <v>114636</v>
      </c>
      <c r="D77" s="107" t="s">
        <v>502</v>
      </c>
      <c r="E77" s="107" t="s">
        <v>477</v>
      </c>
      <c r="F77" s="107" t="s">
        <v>77</v>
      </c>
      <c r="G77" s="107">
        <v>12</v>
      </c>
      <c r="H77" s="8"/>
      <c r="I77" s="3"/>
      <c r="J77" s="17"/>
      <c r="K77" s="471">
        <v>61.08</v>
      </c>
      <c r="L77" s="91">
        <f t="shared" si="6"/>
        <v>0</v>
      </c>
      <c r="M77" s="86"/>
      <c r="N77" s="87"/>
    </row>
    <row r="78" spans="1:14" s="33" customFormat="1" ht="17" thickBot="1" x14ac:dyDescent="0.25">
      <c r="A78" s="524"/>
      <c r="B78" s="282"/>
      <c r="C78" s="106"/>
      <c r="D78" s="107"/>
      <c r="E78" s="107"/>
      <c r="F78" s="107"/>
      <c r="G78" s="107"/>
      <c r="H78" s="8"/>
      <c r="I78" s="3"/>
      <c r="J78" s="3"/>
      <c r="K78" s="471"/>
      <c r="L78" s="91">
        <f t="shared" si="6"/>
        <v>0</v>
      </c>
      <c r="M78" s="86"/>
      <c r="N78" s="87"/>
    </row>
    <row r="79" spans="1:14" s="33" customFormat="1" ht="17" thickBot="1" x14ac:dyDescent="0.25">
      <c r="A79" s="524"/>
      <c r="B79" s="453"/>
      <c r="C79" s="454"/>
      <c r="D79" s="455"/>
      <c r="E79" s="455"/>
      <c r="F79" s="455"/>
      <c r="G79" s="455"/>
      <c r="H79" s="455"/>
      <c r="I79" s="455"/>
      <c r="J79" s="454"/>
      <c r="K79" s="456"/>
      <c r="L79" s="105">
        <f>SUM(L33:L77)</f>
        <v>0</v>
      </c>
      <c r="M79" s="86"/>
      <c r="N79" s="87"/>
    </row>
    <row r="80" spans="1:14" s="33" customFormat="1" x14ac:dyDescent="0.2">
      <c r="M80" s="66"/>
      <c r="N80" s="66"/>
    </row>
    <row r="81" spans="13:14" s="33" customFormat="1" x14ac:dyDescent="0.2">
      <c r="M81" s="66"/>
      <c r="N81" s="66"/>
    </row>
    <row r="82" spans="13:14" s="33" customFormat="1" x14ac:dyDescent="0.2">
      <c r="M82" s="66"/>
      <c r="N82" s="66"/>
    </row>
    <row r="83" spans="13:14" s="33" customFormat="1" x14ac:dyDescent="0.2">
      <c r="M83" s="66"/>
      <c r="N83" s="66"/>
    </row>
    <row r="84" spans="13:14" s="33" customFormat="1" x14ac:dyDescent="0.2">
      <c r="M84" s="66"/>
      <c r="N84" s="66"/>
    </row>
    <row r="85" spans="13:14" s="33" customFormat="1" x14ac:dyDescent="0.2">
      <c r="M85" s="66"/>
      <c r="N85" s="66"/>
    </row>
    <row r="86" spans="13:14" s="33" customFormat="1" x14ac:dyDescent="0.2">
      <c r="M86" s="66"/>
      <c r="N86" s="66"/>
    </row>
    <row r="87" spans="13:14" s="33" customFormat="1" x14ac:dyDescent="0.2">
      <c r="M87" s="66"/>
      <c r="N87" s="66"/>
    </row>
    <row r="88" spans="13:14" s="33" customFormat="1" x14ac:dyDescent="0.2">
      <c r="M88" s="66"/>
      <c r="N88" s="66"/>
    </row>
    <row r="89" spans="13:14" s="33" customFormat="1" x14ac:dyDescent="0.2">
      <c r="M89" s="66"/>
      <c r="N89" s="66"/>
    </row>
    <row r="90" spans="13:14" s="33" customFormat="1" x14ac:dyDescent="0.2">
      <c r="M90" s="66"/>
      <c r="N90" s="66"/>
    </row>
    <row r="91" spans="13:14" s="33" customFormat="1" x14ac:dyDescent="0.2">
      <c r="M91" s="66"/>
      <c r="N91" s="66"/>
    </row>
    <row r="92" spans="13:14" s="33" customFormat="1" x14ac:dyDescent="0.2">
      <c r="M92" s="66"/>
      <c r="N92" s="66"/>
    </row>
    <row r="93" spans="13:14" s="33" customFormat="1" x14ac:dyDescent="0.2">
      <c r="M93" s="66"/>
      <c r="N93" s="66"/>
    </row>
    <row r="94" spans="13:14" s="33" customFormat="1" x14ac:dyDescent="0.2">
      <c r="M94" s="66"/>
      <c r="N94" s="66"/>
    </row>
    <row r="95" spans="13:14" s="33" customFormat="1" x14ac:dyDescent="0.2">
      <c r="M95" s="66"/>
      <c r="N95" s="66"/>
    </row>
    <row r="96" spans="13:14" s="33" customFormat="1" x14ac:dyDescent="0.2">
      <c r="M96" s="66"/>
      <c r="N96" s="66"/>
    </row>
    <row r="97" spans="13:14" s="33" customFormat="1" x14ac:dyDescent="0.2">
      <c r="M97" s="66"/>
      <c r="N97" s="66"/>
    </row>
    <row r="98" spans="13:14" s="33" customFormat="1" x14ac:dyDescent="0.2">
      <c r="M98" s="66"/>
      <c r="N98" s="66"/>
    </row>
    <row r="99" spans="13:14" s="33" customFormat="1" x14ac:dyDescent="0.2">
      <c r="M99" s="66"/>
      <c r="N99" s="66"/>
    </row>
    <row r="100" spans="13:14" s="33" customFormat="1" x14ac:dyDescent="0.2">
      <c r="M100" s="66"/>
      <c r="N100" s="66"/>
    </row>
    <row r="101" spans="13:14" s="33" customFormat="1" x14ac:dyDescent="0.2">
      <c r="M101" s="66"/>
      <c r="N101" s="66"/>
    </row>
    <row r="102" spans="13:14" s="33" customFormat="1" x14ac:dyDescent="0.2">
      <c r="M102" s="66"/>
      <c r="N102" s="66"/>
    </row>
    <row r="103" spans="13:14" s="33" customFormat="1" x14ac:dyDescent="0.2">
      <c r="M103" s="66"/>
      <c r="N103" s="66"/>
    </row>
    <row r="104" spans="13:14" s="33" customFormat="1" x14ac:dyDescent="0.2">
      <c r="M104" s="66"/>
      <c r="N104" s="66"/>
    </row>
    <row r="105" spans="13:14" s="33" customFormat="1" x14ac:dyDescent="0.2">
      <c r="M105" s="66"/>
      <c r="N105" s="66"/>
    </row>
    <row r="106" spans="13:14" s="33" customFormat="1" x14ac:dyDescent="0.2">
      <c r="M106" s="66"/>
      <c r="N106" s="66"/>
    </row>
    <row r="107" spans="13:14" s="33" customFormat="1" x14ac:dyDescent="0.2">
      <c r="M107" s="66"/>
      <c r="N107" s="66"/>
    </row>
    <row r="108" spans="13:14" s="33" customFormat="1" x14ac:dyDescent="0.2">
      <c r="M108" s="66"/>
      <c r="N108" s="66"/>
    </row>
    <row r="109" spans="13:14" s="120" customFormat="1" x14ac:dyDescent="0.2">
      <c r="M109" s="119"/>
      <c r="N109" s="119"/>
    </row>
    <row r="110" spans="13:14" s="120" customFormat="1" x14ac:dyDescent="0.2">
      <c r="M110" s="119"/>
      <c r="N110" s="119"/>
    </row>
    <row r="111" spans="13:14" s="120" customFormat="1" x14ac:dyDescent="0.2">
      <c r="M111" s="119"/>
      <c r="N111" s="119"/>
    </row>
    <row r="112" spans="13:14" s="120" customFormat="1" x14ac:dyDescent="0.2">
      <c r="M112" s="119"/>
      <c r="N112" s="119"/>
    </row>
    <row r="113" spans="13:14" s="120" customFormat="1" x14ac:dyDescent="0.2">
      <c r="M113" s="119"/>
      <c r="N113" s="119"/>
    </row>
    <row r="114" spans="13:14" s="120" customFormat="1" x14ac:dyDescent="0.2">
      <c r="M114" s="119"/>
      <c r="N114" s="119"/>
    </row>
    <row r="115" spans="13:14" s="120" customFormat="1" x14ac:dyDescent="0.2">
      <c r="M115" s="119"/>
      <c r="N115" s="119"/>
    </row>
    <row r="116" spans="13:14" s="120" customFormat="1" x14ac:dyDescent="0.2">
      <c r="M116" s="119"/>
      <c r="N116" s="119"/>
    </row>
    <row r="117" spans="13:14" s="120" customFormat="1" x14ac:dyDescent="0.2">
      <c r="M117" s="119"/>
      <c r="N117" s="119"/>
    </row>
    <row r="118" spans="13:14" s="120" customFormat="1" x14ac:dyDescent="0.2">
      <c r="M118" s="119"/>
      <c r="N118" s="119"/>
    </row>
    <row r="119" spans="13:14" s="120" customFormat="1" x14ac:dyDescent="0.2">
      <c r="M119" s="119"/>
      <c r="N119" s="119"/>
    </row>
    <row r="120" spans="13:14" s="120" customFormat="1" x14ac:dyDescent="0.2">
      <c r="M120" s="119"/>
      <c r="N120" s="119"/>
    </row>
    <row r="121" spans="13:14" s="120" customFormat="1" x14ac:dyDescent="0.2">
      <c r="M121" s="119"/>
      <c r="N121" s="119"/>
    </row>
    <row r="122" spans="13:14" s="120" customFormat="1" x14ac:dyDescent="0.2">
      <c r="M122" s="119"/>
      <c r="N122" s="119"/>
    </row>
    <row r="123" spans="13:14" s="120" customFormat="1" x14ac:dyDescent="0.2">
      <c r="M123" s="119"/>
      <c r="N123" s="119"/>
    </row>
    <row r="124" spans="13:14" s="120" customFormat="1" x14ac:dyDescent="0.2">
      <c r="M124" s="119"/>
      <c r="N124" s="119"/>
    </row>
    <row r="125" spans="13:14" s="120" customFormat="1" x14ac:dyDescent="0.2">
      <c r="M125" s="119"/>
      <c r="N125" s="119"/>
    </row>
    <row r="126" spans="13:14" s="120" customFormat="1" x14ac:dyDescent="0.2">
      <c r="M126" s="119"/>
      <c r="N126" s="119"/>
    </row>
    <row r="127" spans="13:14" s="120" customFormat="1" x14ac:dyDescent="0.2">
      <c r="M127" s="119"/>
      <c r="N127" s="119"/>
    </row>
    <row r="128" spans="13:14" s="120" customFormat="1" x14ac:dyDescent="0.2">
      <c r="M128" s="119"/>
      <c r="N128" s="119"/>
    </row>
    <row r="129" spans="13:14" s="120" customFormat="1" x14ac:dyDescent="0.2">
      <c r="M129" s="119"/>
      <c r="N129" s="119"/>
    </row>
    <row r="130" spans="13:14" s="120" customFormat="1" x14ac:dyDescent="0.2">
      <c r="M130" s="119"/>
      <c r="N130" s="119"/>
    </row>
    <row r="131" spans="13:14" s="120" customFormat="1" x14ac:dyDescent="0.2">
      <c r="M131" s="119"/>
      <c r="N131" s="119"/>
    </row>
    <row r="132" spans="13:14" s="120" customFormat="1" x14ac:dyDescent="0.2">
      <c r="M132" s="119"/>
      <c r="N132" s="119"/>
    </row>
    <row r="133" spans="13:14" s="120" customFormat="1" x14ac:dyDescent="0.2">
      <c r="M133" s="119"/>
      <c r="N133" s="119"/>
    </row>
    <row r="134" spans="13:14" s="120" customFormat="1" x14ac:dyDescent="0.2">
      <c r="M134" s="119"/>
      <c r="N134" s="119"/>
    </row>
    <row r="135" spans="13:14" s="120" customFormat="1" x14ac:dyDescent="0.2">
      <c r="M135" s="119"/>
      <c r="N135" s="119"/>
    </row>
    <row r="136" spans="13:14" s="120" customFormat="1" x14ac:dyDescent="0.2">
      <c r="M136" s="119"/>
      <c r="N136" s="119"/>
    </row>
    <row r="137" spans="13:14" s="120" customFormat="1" x14ac:dyDescent="0.2">
      <c r="M137" s="119"/>
      <c r="N137" s="119"/>
    </row>
    <row r="138" spans="13:14" s="120" customFormat="1" x14ac:dyDescent="0.2">
      <c r="M138" s="119"/>
      <c r="N138" s="119"/>
    </row>
    <row r="139" spans="13:14" s="120" customFormat="1" x14ac:dyDescent="0.2">
      <c r="M139" s="119"/>
      <c r="N139" s="119"/>
    </row>
    <row r="140" spans="13:14" s="120" customFormat="1" x14ac:dyDescent="0.2">
      <c r="M140" s="119"/>
      <c r="N140" s="119"/>
    </row>
    <row r="141" spans="13:14" s="120" customFormat="1" x14ac:dyDescent="0.2">
      <c r="M141" s="119"/>
      <c r="N141" s="119"/>
    </row>
    <row r="142" spans="13:14" s="120" customFormat="1" x14ac:dyDescent="0.2">
      <c r="M142" s="119"/>
      <c r="N142" s="119"/>
    </row>
    <row r="143" spans="13:14" s="120" customFormat="1" x14ac:dyDescent="0.2">
      <c r="M143" s="119"/>
      <c r="N143" s="119"/>
    </row>
    <row r="144" spans="13:14" s="120" customFormat="1" x14ac:dyDescent="0.2">
      <c r="M144" s="119"/>
      <c r="N144" s="119"/>
    </row>
    <row r="145" spans="13:14" s="120" customFormat="1" x14ac:dyDescent="0.2">
      <c r="M145" s="119"/>
      <c r="N145" s="119"/>
    </row>
    <row r="146" spans="13:14" s="120" customFormat="1" x14ac:dyDescent="0.2">
      <c r="M146" s="119"/>
      <c r="N146" s="119"/>
    </row>
    <row r="147" spans="13:14" s="120" customFormat="1" x14ac:dyDescent="0.2">
      <c r="M147" s="119"/>
      <c r="N147" s="119"/>
    </row>
    <row r="148" spans="13:14" s="120" customFormat="1" x14ac:dyDescent="0.2">
      <c r="M148" s="119"/>
      <c r="N148" s="119"/>
    </row>
    <row r="149" spans="13:14" s="120" customFormat="1" x14ac:dyDescent="0.2">
      <c r="M149" s="119"/>
      <c r="N149" s="119"/>
    </row>
    <row r="150" spans="13:14" s="120" customFormat="1" x14ac:dyDescent="0.2">
      <c r="M150" s="119"/>
      <c r="N150" s="119"/>
    </row>
    <row r="151" spans="13:14" s="120" customFormat="1" x14ac:dyDescent="0.2">
      <c r="M151" s="119"/>
      <c r="N151" s="119"/>
    </row>
    <row r="152" spans="13:14" s="120" customFormat="1" x14ac:dyDescent="0.2">
      <c r="M152" s="119"/>
      <c r="N152" s="119"/>
    </row>
    <row r="153" spans="13:14" s="120" customFormat="1" x14ac:dyDescent="0.2">
      <c r="M153" s="119"/>
      <c r="N153" s="119"/>
    </row>
    <row r="154" spans="13:14" s="120" customFormat="1" x14ac:dyDescent="0.2">
      <c r="M154" s="119"/>
      <c r="N154" s="119"/>
    </row>
    <row r="155" spans="13:14" s="120" customFormat="1" x14ac:dyDescent="0.2">
      <c r="M155" s="119"/>
      <c r="N155" s="119"/>
    </row>
    <row r="156" spans="13:14" s="120" customFormat="1" x14ac:dyDescent="0.2">
      <c r="M156" s="119"/>
      <c r="N156" s="119"/>
    </row>
    <row r="157" spans="13:14" s="120" customFormat="1" x14ac:dyDescent="0.2">
      <c r="M157" s="119"/>
      <c r="N157" s="119"/>
    </row>
    <row r="158" spans="13:14" s="120" customFormat="1" x14ac:dyDescent="0.2">
      <c r="M158" s="119"/>
      <c r="N158" s="119"/>
    </row>
    <row r="159" spans="13:14" s="120" customFormat="1" x14ac:dyDescent="0.2">
      <c r="M159" s="119"/>
      <c r="N159" s="119"/>
    </row>
    <row r="160" spans="13:14" s="120" customFormat="1" x14ac:dyDescent="0.2">
      <c r="M160" s="119"/>
      <c r="N160" s="119"/>
    </row>
    <row r="161" spans="13:14" s="120" customFormat="1" x14ac:dyDescent="0.2">
      <c r="M161" s="119"/>
      <c r="N161" s="119"/>
    </row>
    <row r="162" spans="13:14" s="120" customFormat="1" x14ac:dyDescent="0.2">
      <c r="M162" s="119"/>
      <c r="N162" s="119"/>
    </row>
    <row r="163" spans="13:14" s="120" customFormat="1" x14ac:dyDescent="0.2">
      <c r="M163" s="119"/>
      <c r="N163" s="119"/>
    </row>
    <row r="164" spans="13:14" s="120" customFormat="1" x14ac:dyDescent="0.2">
      <c r="M164" s="119"/>
      <c r="N164" s="119"/>
    </row>
    <row r="165" spans="13:14" s="120" customFormat="1" x14ac:dyDescent="0.2">
      <c r="M165" s="119"/>
      <c r="N165" s="119"/>
    </row>
    <row r="166" spans="13:14" s="120" customFormat="1" x14ac:dyDescent="0.2">
      <c r="M166" s="119"/>
      <c r="N166" s="119"/>
    </row>
    <row r="167" spans="13:14" s="120" customFormat="1" x14ac:dyDescent="0.2">
      <c r="M167" s="119"/>
      <c r="N167" s="119"/>
    </row>
    <row r="168" spans="13:14" s="120" customFormat="1" x14ac:dyDescent="0.2">
      <c r="M168" s="119"/>
      <c r="N168" s="119"/>
    </row>
    <row r="169" spans="13:14" s="120" customFormat="1" x14ac:dyDescent="0.2">
      <c r="M169" s="119"/>
      <c r="N169" s="119"/>
    </row>
    <row r="170" spans="13:14" s="120" customFormat="1" x14ac:dyDescent="0.2">
      <c r="M170" s="119"/>
      <c r="N170" s="119"/>
    </row>
    <row r="171" spans="13:14" s="120" customFormat="1" x14ac:dyDescent="0.2">
      <c r="M171" s="119"/>
      <c r="N171" s="119"/>
    </row>
    <row r="172" spans="13:14" s="120" customFormat="1" x14ac:dyDescent="0.2">
      <c r="M172" s="119"/>
      <c r="N172" s="119"/>
    </row>
    <row r="173" spans="13:14" s="120" customFormat="1" x14ac:dyDescent="0.2">
      <c r="M173" s="119"/>
      <c r="N173" s="119"/>
    </row>
    <row r="174" spans="13:14" s="120" customFormat="1" x14ac:dyDescent="0.2">
      <c r="M174" s="119"/>
      <c r="N174" s="119"/>
    </row>
    <row r="175" spans="13:14" s="120" customFormat="1" x14ac:dyDescent="0.2">
      <c r="M175" s="119"/>
      <c r="N175" s="119"/>
    </row>
    <row r="176" spans="13:14" s="120" customFormat="1" x14ac:dyDescent="0.2">
      <c r="M176" s="119"/>
      <c r="N176" s="119"/>
    </row>
    <row r="177" spans="13:14" s="120" customFormat="1" x14ac:dyDescent="0.2">
      <c r="M177" s="119"/>
      <c r="N177" s="119"/>
    </row>
    <row r="178" spans="13:14" s="120" customFormat="1" x14ac:dyDescent="0.2">
      <c r="M178" s="119"/>
      <c r="N178" s="119"/>
    </row>
    <row r="179" spans="13:14" s="120" customFormat="1" x14ac:dyDescent="0.2">
      <c r="M179" s="119"/>
      <c r="N179" s="119"/>
    </row>
    <row r="180" spans="13:14" s="120" customFormat="1" x14ac:dyDescent="0.2">
      <c r="M180" s="119"/>
      <c r="N180" s="119"/>
    </row>
    <row r="181" spans="13:14" s="120" customFormat="1" x14ac:dyDescent="0.2">
      <c r="M181" s="119"/>
      <c r="N181" s="119"/>
    </row>
    <row r="182" spans="13:14" s="120" customFormat="1" x14ac:dyDescent="0.2">
      <c r="M182" s="119"/>
      <c r="N182" s="119"/>
    </row>
    <row r="183" spans="13:14" s="120" customFormat="1" x14ac:dyDescent="0.2">
      <c r="M183" s="119"/>
      <c r="N183" s="119"/>
    </row>
    <row r="184" spans="13:14" s="120" customFormat="1" x14ac:dyDescent="0.2">
      <c r="M184" s="119"/>
      <c r="N184" s="119"/>
    </row>
    <row r="185" spans="13:14" s="120" customFormat="1" x14ac:dyDescent="0.2">
      <c r="M185" s="119"/>
      <c r="N185" s="119"/>
    </row>
    <row r="186" spans="13:14" s="120" customFormat="1" x14ac:dyDescent="0.2">
      <c r="M186" s="119"/>
      <c r="N186" s="119"/>
    </row>
    <row r="187" spans="13:14" s="120" customFormat="1" x14ac:dyDescent="0.2">
      <c r="M187" s="119"/>
      <c r="N187" s="119"/>
    </row>
    <row r="188" spans="13:14" s="120" customFormat="1" x14ac:dyDescent="0.2">
      <c r="M188" s="119"/>
      <c r="N188" s="119"/>
    </row>
    <row r="189" spans="13:14" s="120" customFormat="1" x14ac:dyDescent="0.2">
      <c r="M189" s="119"/>
      <c r="N189" s="119"/>
    </row>
    <row r="190" spans="13:14" s="120" customFormat="1" x14ac:dyDescent="0.2">
      <c r="M190" s="119"/>
      <c r="N190" s="119"/>
    </row>
    <row r="191" spans="13:14" s="120" customFormat="1" x14ac:dyDescent="0.2">
      <c r="M191" s="119"/>
      <c r="N191" s="119"/>
    </row>
    <row r="192" spans="13:14" s="120" customFormat="1" x14ac:dyDescent="0.2">
      <c r="M192" s="119"/>
      <c r="N192" s="119"/>
    </row>
    <row r="193" spans="13:14" s="120" customFormat="1" x14ac:dyDescent="0.2">
      <c r="M193" s="119"/>
      <c r="N193" s="119"/>
    </row>
    <row r="194" spans="13:14" s="120" customFormat="1" x14ac:dyDescent="0.2">
      <c r="M194" s="119"/>
      <c r="N194" s="119"/>
    </row>
    <row r="195" spans="13:14" s="120" customFormat="1" x14ac:dyDescent="0.2">
      <c r="M195" s="119"/>
      <c r="N195" s="119"/>
    </row>
    <row r="196" spans="13:14" s="120" customFormat="1" x14ac:dyDescent="0.2">
      <c r="M196" s="119"/>
      <c r="N196" s="119"/>
    </row>
    <row r="197" spans="13:14" s="120" customFormat="1" x14ac:dyDescent="0.2">
      <c r="M197" s="119"/>
      <c r="N197" s="119"/>
    </row>
    <row r="198" spans="13:14" s="120" customFormat="1" x14ac:dyDescent="0.2">
      <c r="M198" s="119"/>
      <c r="N198" s="119"/>
    </row>
    <row r="199" spans="13:14" s="120" customFormat="1" x14ac:dyDescent="0.2">
      <c r="M199" s="119"/>
      <c r="N199" s="119"/>
    </row>
    <row r="200" spans="13:14" s="120" customFormat="1" x14ac:dyDescent="0.2">
      <c r="M200" s="119"/>
      <c r="N200" s="119"/>
    </row>
    <row r="201" spans="13:14" s="120" customFormat="1" x14ac:dyDescent="0.2">
      <c r="M201" s="119"/>
      <c r="N201" s="119"/>
    </row>
    <row r="202" spans="13:14" s="120" customFormat="1" x14ac:dyDescent="0.2">
      <c r="M202" s="119"/>
      <c r="N202" s="119"/>
    </row>
    <row r="203" spans="13:14" s="120" customFormat="1" x14ac:dyDescent="0.2">
      <c r="M203" s="119"/>
      <c r="N203" s="119"/>
    </row>
    <row r="204" spans="13:14" s="120" customFormat="1" x14ac:dyDescent="0.2">
      <c r="M204" s="119"/>
      <c r="N204" s="119"/>
    </row>
    <row r="205" spans="13:14" s="120" customFormat="1" x14ac:dyDescent="0.2">
      <c r="M205" s="119"/>
      <c r="N205" s="119"/>
    </row>
    <row r="206" spans="13:14" s="120" customFormat="1" x14ac:dyDescent="0.2">
      <c r="M206" s="119"/>
      <c r="N206" s="119"/>
    </row>
    <row r="207" spans="13:14" s="120" customFormat="1" x14ac:dyDescent="0.2">
      <c r="M207" s="119"/>
      <c r="N207" s="119"/>
    </row>
    <row r="208" spans="13:14" s="120" customFormat="1" x14ac:dyDescent="0.2">
      <c r="M208" s="119"/>
      <c r="N208" s="119"/>
    </row>
    <row r="209" spans="13:14" s="120" customFormat="1" x14ac:dyDescent="0.2">
      <c r="M209" s="119"/>
      <c r="N209" s="119"/>
    </row>
    <row r="210" spans="13:14" s="120" customFormat="1" x14ac:dyDescent="0.2">
      <c r="M210" s="119"/>
      <c r="N210" s="119"/>
    </row>
    <row r="211" spans="13:14" s="120" customFormat="1" x14ac:dyDescent="0.2">
      <c r="M211" s="119"/>
      <c r="N211" s="119"/>
    </row>
    <row r="212" spans="13:14" s="120" customFormat="1" x14ac:dyDescent="0.2">
      <c r="M212" s="119"/>
      <c r="N212" s="119"/>
    </row>
    <row r="213" spans="13:14" s="120" customFormat="1" x14ac:dyDescent="0.2">
      <c r="M213" s="119"/>
      <c r="N213" s="119"/>
    </row>
    <row r="214" spans="13:14" s="120" customFormat="1" x14ac:dyDescent="0.2">
      <c r="M214" s="119"/>
      <c r="N214" s="119"/>
    </row>
    <row r="215" spans="13:14" s="120" customFormat="1" x14ac:dyDescent="0.2">
      <c r="M215" s="119"/>
      <c r="N215" s="119"/>
    </row>
    <row r="216" spans="13:14" s="120" customFormat="1" x14ac:dyDescent="0.2">
      <c r="M216" s="119"/>
      <c r="N216" s="119"/>
    </row>
    <row r="217" spans="13:14" s="120" customFormat="1" x14ac:dyDescent="0.2">
      <c r="M217" s="119"/>
      <c r="N217" s="119"/>
    </row>
    <row r="218" spans="13:14" s="120" customFormat="1" x14ac:dyDescent="0.2">
      <c r="M218" s="119"/>
      <c r="N218" s="119"/>
    </row>
    <row r="219" spans="13:14" s="120" customFormat="1" x14ac:dyDescent="0.2">
      <c r="M219" s="119"/>
      <c r="N219" s="119"/>
    </row>
    <row r="220" spans="13:14" s="120" customFormat="1" x14ac:dyDescent="0.2">
      <c r="M220" s="119"/>
      <c r="N220" s="119"/>
    </row>
    <row r="221" spans="13:14" s="120" customFormat="1" x14ac:dyDescent="0.2">
      <c r="M221" s="119"/>
      <c r="N221" s="119"/>
    </row>
    <row r="222" spans="13:14" s="120" customFormat="1" x14ac:dyDescent="0.2">
      <c r="M222" s="119"/>
      <c r="N222" s="119"/>
    </row>
    <row r="223" spans="13:14" s="120" customFormat="1" x14ac:dyDescent="0.2">
      <c r="M223" s="119"/>
      <c r="N223" s="119"/>
    </row>
    <row r="224" spans="13:14" s="120" customFormat="1" x14ac:dyDescent="0.2">
      <c r="M224" s="119"/>
      <c r="N224" s="119"/>
    </row>
    <row r="225" spans="13:14" s="120" customFormat="1" x14ac:dyDescent="0.2">
      <c r="M225" s="119"/>
      <c r="N225" s="119"/>
    </row>
    <row r="226" spans="13:14" s="120" customFormat="1" x14ac:dyDescent="0.2">
      <c r="M226" s="119"/>
      <c r="N226" s="119"/>
    </row>
    <row r="227" spans="13:14" s="120" customFormat="1" x14ac:dyDescent="0.2">
      <c r="M227" s="119"/>
      <c r="N227" s="119"/>
    </row>
    <row r="228" spans="13:14" s="120" customFormat="1" x14ac:dyDescent="0.2">
      <c r="M228" s="119"/>
      <c r="N228" s="119"/>
    </row>
    <row r="229" spans="13:14" s="120" customFormat="1" x14ac:dyDescent="0.2">
      <c r="M229" s="119"/>
      <c r="N229" s="119"/>
    </row>
    <row r="230" spans="13:14" s="120" customFormat="1" x14ac:dyDescent="0.2">
      <c r="M230" s="119"/>
      <c r="N230" s="119"/>
    </row>
    <row r="231" spans="13:14" s="120" customFormat="1" x14ac:dyDescent="0.2">
      <c r="M231" s="119"/>
      <c r="N231" s="119"/>
    </row>
    <row r="232" spans="13:14" s="120" customFormat="1" x14ac:dyDescent="0.2">
      <c r="M232" s="119"/>
      <c r="N232" s="119"/>
    </row>
    <row r="233" spans="13:14" s="120" customFormat="1" x14ac:dyDescent="0.2">
      <c r="M233" s="119"/>
      <c r="N233" s="119"/>
    </row>
    <row r="234" spans="13:14" s="120" customFormat="1" x14ac:dyDescent="0.2">
      <c r="M234" s="119"/>
      <c r="N234" s="119"/>
    </row>
    <row r="235" spans="13:14" s="120" customFormat="1" x14ac:dyDescent="0.2">
      <c r="M235" s="119"/>
      <c r="N235" s="119"/>
    </row>
    <row r="236" spans="13:14" s="120" customFormat="1" x14ac:dyDescent="0.2">
      <c r="M236" s="119"/>
      <c r="N236" s="119"/>
    </row>
    <row r="237" spans="13:14" s="120" customFormat="1" x14ac:dyDescent="0.2">
      <c r="M237" s="119"/>
      <c r="N237" s="119"/>
    </row>
    <row r="238" spans="13:14" s="120" customFormat="1" x14ac:dyDescent="0.2">
      <c r="M238" s="119"/>
      <c r="N238" s="119"/>
    </row>
    <row r="239" spans="13:14" s="120" customFormat="1" x14ac:dyDescent="0.2">
      <c r="M239" s="119"/>
      <c r="N239" s="119"/>
    </row>
    <row r="240" spans="13:14" s="120" customFormat="1" x14ac:dyDescent="0.2">
      <c r="M240" s="119"/>
      <c r="N240" s="119"/>
    </row>
    <row r="241" spans="13:14" s="120" customFormat="1" x14ac:dyDescent="0.2">
      <c r="M241" s="119"/>
      <c r="N241" s="119"/>
    </row>
    <row r="242" spans="13:14" s="120" customFormat="1" x14ac:dyDescent="0.2">
      <c r="M242" s="119"/>
      <c r="N242" s="119"/>
    </row>
    <row r="243" spans="13:14" s="120" customFormat="1" x14ac:dyDescent="0.2">
      <c r="M243" s="119"/>
      <c r="N243" s="119"/>
    </row>
    <row r="244" spans="13:14" s="120" customFormat="1" x14ac:dyDescent="0.2">
      <c r="M244" s="119"/>
      <c r="N244" s="119"/>
    </row>
    <row r="245" spans="13:14" s="120" customFormat="1" x14ac:dyDescent="0.2">
      <c r="M245" s="119"/>
      <c r="N245" s="119"/>
    </row>
    <row r="246" spans="13:14" s="120" customFormat="1" x14ac:dyDescent="0.2">
      <c r="M246" s="119"/>
      <c r="N246" s="119"/>
    </row>
    <row r="247" spans="13:14" s="120" customFormat="1" x14ac:dyDescent="0.2">
      <c r="M247" s="119"/>
      <c r="N247" s="119"/>
    </row>
    <row r="248" spans="13:14" s="120" customFormat="1" x14ac:dyDescent="0.2">
      <c r="M248" s="119"/>
      <c r="N248" s="119"/>
    </row>
    <row r="249" spans="13:14" s="120" customFormat="1" x14ac:dyDescent="0.2">
      <c r="M249" s="119"/>
      <c r="N249" s="119"/>
    </row>
    <row r="250" spans="13:14" s="120" customFormat="1" x14ac:dyDescent="0.2">
      <c r="M250" s="119"/>
      <c r="N250" s="119"/>
    </row>
    <row r="251" spans="13:14" s="120" customFormat="1" x14ac:dyDescent="0.2">
      <c r="M251" s="119"/>
      <c r="N251" s="119"/>
    </row>
    <row r="252" spans="13:14" s="120" customFormat="1" x14ac:dyDescent="0.2">
      <c r="M252" s="119"/>
      <c r="N252" s="119"/>
    </row>
    <row r="253" spans="13:14" s="120" customFormat="1" x14ac:dyDescent="0.2">
      <c r="M253" s="119"/>
      <c r="N253" s="119"/>
    </row>
    <row r="254" spans="13:14" s="120" customFormat="1" x14ac:dyDescent="0.2">
      <c r="M254" s="119"/>
      <c r="N254" s="119"/>
    </row>
    <row r="255" spans="13:14" s="120" customFormat="1" x14ac:dyDescent="0.2">
      <c r="M255" s="119"/>
      <c r="N255" s="119"/>
    </row>
    <row r="256" spans="13:14" s="120" customFormat="1" x14ac:dyDescent="0.2">
      <c r="M256" s="119"/>
      <c r="N256" s="119"/>
    </row>
    <row r="257" spans="13:14" s="120" customFormat="1" x14ac:dyDescent="0.2">
      <c r="M257" s="119"/>
      <c r="N257" s="119"/>
    </row>
    <row r="258" spans="13:14" s="120" customFormat="1" x14ac:dyDescent="0.2">
      <c r="M258" s="119"/>
      <c r="N258" s="119"/>
    </row>
    <row r="259" spans="13:14" s="120" customFormat="1" x14ac:dyDescent="0.2">
      <c r="M259" s="119"/>
      <c r="N259" s="119"/>
    </row>
    <row r="260" spans="13:14" s="120" customFormat="1" x14ac:dyDescent="0.2">
      <c r="M260" s="119"/>
      <c r="N260" s="119"/>
    </row>
    <row r="261" spans="13:14" s="120" customFormat="1" x14ac:dyDescent="0.2">
      <c r="M261" s="119"/>
      <c r="N261" s="119"/>
    </row>
    <row r="262" spans="13:14" s="120" customFormat="1" x14ac:dyDescent="0.2">
      <c r="M262" s="119"/>
      <c r="N262" s="119"/>
    </row>
    <row r="263" spans="13:14" s="120" customFormat="1" x14ac:dyDescent="0.2">
      <c r="M263" s="119"/>
      <c r="N263" s="119"/>
    </row>
    <row r="264" spans="13:14" s="120" customFormat="1" x14ac:dyDescent="0.2">
      <c r="M264" s="119"/>
      <c r="N264" s="119"/>
    </row>
    <row r="265" spans="13:14" s="120" customFormat="1" x14ac:dyDescent="0.2">
      <c r="M265" s="119"/>
      <c r="N265" s="119"/>
    </row>
    <row r="266" spans="13:14" s="120" customFormat="1" x14ac:dyDescent="0.2">
      <c r="M266" s="119"/>
      <c r="N266" s="119"/>
    </row>
    <row r="267" spans="13:14" s="120" customFormat="1" x14ac:dyDescent="0.2">
      <c r="M267" s="119"/>
      <c r="N267" s="119"/>
    </row>
    <row r="268" spans="13:14" s="120" customFormat="1" x14ac:dyDescent="0.2">
      <c r="M268" s="119"/>
      <c r="N268" s="119"/>
    </row>
    <row r="269" spans="13:14" s="120" customFormat="1" x14ac:dyDescent="0.2">
      <c r="M269" s="119"/>
      <c r="N269" s="119"/>
    </row>
    <row r="270" spans="13:14" s="120" customFormat="1" x14ac:dyDescent="0.2">
      <c r="M270" s="119"/>
      <c r="N270" s="119"/>
    </row>
    <row r="271" spans="13:14" s="120" customFormat="1" x14ac:dyDescent="0.2">
      <c r="M271" s="119"/>
      <c r="N271" s="119"/>
    </row>
    <row r="272" spans="13:14" s="120" customFormat="1" x14ac:dyDescent="0.2">
      <c r="M272" s="119"/>
      <c r="N272" s="119"/>
    </row>
    <row r="273" spans="13:14" s="120" customFormat="1" x14ac:dyDescent="0.2">
      <c r="M273" s="119"/>
      <c r="N273" s="119"/>
    </row>
    <row r="274" spans="13:14" s="120" customFormat="1" x14ac:dyDescent="0.2">
      <c r="M274" s="119"/>
      <c r="N274" s="119"/>
    </row>
    <row r="275" spans="13:14" s="120" customFormat="1" x14ac:dyDescent="0.2">
      <c r="M275" s="119"/>
      <c r="N275" s="119"/>
    </row>
    <row r="276" spans="13:14" s="120" customFormat="1" x14ac:dyDescent="0.2">
      <c r="M276" s="119"/>
      <c r="N276" s="119"/>
    </row>
    <row r="277" spans="13:14" s="120" customFormat="1" x14ac:dyDescent="0.2">
      <c r="M277" s="119"/>
      <c r="N277" s="119"/>
    </row>
    <row r="278" spans="13:14" s="120" customFormat="1" x14ac:dyDescent="0.2">
      <c r="M278" s="119"/>
      <c r="N278" s="119"/>
    </row>
    <row r="279" spans="13:14" s="120" customFormat="1" x14ac:dyDescent="0.2">
      <c r="M279" s="119"/>
      <c r="N279" s="119"/>
    </row>
    <row r="280" spans="13:14" s="120" customFormat="1" x14ac:dyDescent="0.2">
      <c r="M280" s="119"/>
      <c r="N280" s="119"/>
    </row>
    <row r="281" spans="13:14" s="120" customFormat="1" x14ac:dyDescent="0.2">
      <c r="M281" s="119"/>
      <c r="N281" s="119"/>
    </row>
    <row r="282" spans="13:14" s="120" customFormat="1" x14ac:dyDescent="0.2">
      <c r="M282" s="119"/>
      <c r="N282" s="119"/>
    </row>
    <row r="283" spans="13:14" s="120" customFormat="1" x14ac:dyDescent="0.2">
      <c r="M283" s="119"/>
      <c r="N283" s="119"/>
    </row>
    <row r="284" spans="13:14" s="120" customFormat="1" x14ac:dyDescent="0.2">
      <c r="M284" s="119"/>
      <c r="N284" s="119"/>
    </row>
    <row r="285" spans="13:14" s="120" customFormat="1" x14ac:dyDescent="0.2">
      <c r="M285" s="119"/>
      <c r="N285" s="119"/>
    </row>
    <row r="286" spans="13:14" s="120" customFormat="1" x14ac:dyDescent="0.2">
      <c r="M286" s="119"/>
      <c r="N286" s="119"/>
    </row>
    <row r="287" spans="13:14" s="120" customFormat="1" x14ac:dyDescent="0.2">
      <c r="M287" s="119"/>
      <c r="N287" s="119"/>
    </row>
    <row r="288" spans="13:14" s="120" customFormat="1" x14ac:dyDescent="0.2">
      <c r="M288" s="119"/>
      <c r="N288" s="119"/>
    </row>
    <row r="289" spans="13:14" s="120" customFormat="1" x14ac:dyDescent="0.2">
      <c r="M289" s="119"/>
      <c r="N289" s="119"/>
    </row>
    <row r="290" spans="13:14" s="120" customFormat="1" x14ac:dyDescent="0.2">
      <c r="M290" s="119"/>
      <c r="N290" s="119"/>
    </row>
    <row r="291" spans="13:14" s="120" customFormat="1" x14ac:dyDescent="0.2">
      <c r="M291" s="119"/>
      <c r="N291" s="119"/>
    </row>
    <row r="292" spans="13:14" s="120" customFormat="1" x14ac:dyDescent="0.2">
      <c r="M292" s="119"/>
      <c r="N292" s="119"/>
    </row>
    <row r="293" spans="13:14" s="120" customFormat="1" x14ac:dyDescent="0.2">
      <c r="M293" s="119"/>
      <c r="N293" s="119"/>
    </row>
    <row r="294" spans="13:14" s="120" customFormat="1" x14ac:dyDescent="0.2">
      <c r="M294" s="119"/>
      <c r="N294" s="119"/>
    </row>
    <row r="295" spans="13:14" s="120" customFormat="1" x14ac:dyDescent="0.2">
      <c r="M295" s="119"/>
      <c r="N295" s="119"/>
    </row>
    <row r="296" spans="13:14" s="120" customFormat="1" x14ac:dyDescent="0.2">
      <c r="M296" s="119"/>
      <c r="N296" s="119"/>
    </row>
    <row r="297" spans="13:14" s="120" customFormat="1" x14ac:dyDescent="0.2">
      <c r="M297" s="119"/>
      <c r="N297" s="119"/>
    </row>
    <row r="298" spans="13:14" s="120" customFormat="1" x14ac:dyDescent="0.2">
      <c r="M298" s="119"/>
      <c r="N298" s="119"/>
    </row>
    <row r="299" spans="13:14" s="120" customFormat="1" x14ac:dyDescent="0.2">
      <c r="M299" s="119"/>
      <c r="N299" s="119"/>
    </row>
    <row r="300" spans="13:14" s="120" customFormat="1" x14ac:dyDescent="0.2">
      <c r="M300" s="119"/>
      <c r="N300" s="119"/>
    </row>
    <row r="301" spans="13:14" s="120" customFormat="1" x14ac:dyDescent="0.2">
      <c r="M301" s="119"/>
      <c r="N301" s="119"/>
    </row>
    <row r="302" spans="13:14" s="120" customFormat="1" x14ac:dyDescent="0.2">
      <c r="M302" s="119"/>
      <c r="N302" s="119"/>
    </row>
    <row r="303" spans="13:14" s="120" customFormat="1" x14ac:dyDescent="0.2">
      <c r="M303" s="119"/>
      <c r="N303" s="119"/>
    </row>
    <row r="304" spans="13:14" s="120" customFormat="1" x14ac:dyDescent="0.2">
      <c r="M304" s="119"/>
      <c r="N304" s="119"/>
    </row>
    <row r="305" spans="13:14" s="120" customFormat="1" x14ac:dyDescent="0.2">
      <c r="M305" s="119"/>
      <c r="N305" s="119"/>
    </row>
    <row r="306" spans="13:14" s="120" customFormat="1" x14ac:dyDescent="0.2">
      <c r="M306" s="119"/>
      <c r="N306" s="119"/>
    </row>
    <row r="307" spans="13:14" s="120" customFormat="1" x14ac:dyDescent="0.2">
      <c r="M307" s="119"/>
      <c r="N307" s="119"/>
    </row>
    <row r="308" spans="13:14" s="120" customFormat="1" x14ac:dyDescent="0.2">
      <c r="M308" s="119"/>
      <c r="N308" s="119"/>
    </row>
    <row r="309" spans="13:14" s="120" customFormat="1" x14ac:dyDescent="0.2">
      <c r="M309" s="119"/>
      <c r="N309" s="119"/>
    </row>
    <row r="310" spans="13:14" s="120" customFormat="1" x14ac:dyDescent="0.2">
      <c r="M310" s="119"/>
      <c r="N310" s="119"/>
    </row>
    <row r="311" spans="13:14" s="120" customFormat="1" x14ac:dyDescent="0.2">
      <c r="M311" s="119"/>
      <c r="N311" s="119"/>
    </row>
    <row r="312" spans="13:14" s="120" customFormat="1" x14ac:dyDescent="0.2">
      <c r="M312" s="119"/>
      <c r="N312" s="119"/>
    </row>
    <row r="313" spans="13:14" s="120" customFormat="1" x14ac:dyDescent="0.2">
      <c r="M313" s="119"/>
      <c r="N313" s="119"/>
    </row>
    <row r="314" spans="13:14" s="120" customFormat="1" x14ac:dyDescent="0.2">
      <c r="M314" s="119"/>
      <c r="N314" s="119"/>
    </row>
    <row r="315" spans="13:14" s="120" customFormat="1" x14ac:dyDescent="0.2">
      <c r="M315" s="119"/>
      <c r="N315" s="119"/>
    </row>
    <row r="316" spans="13:14" s="120" customFormat="1" x14ac:dyDescent="0.2">
      <c r="M316" s="119"/>
      <c r="N316" s="119"/>
    </row>
    <row r="317" spans="13:14" s="120" customFormat="1" x14ac:dyDescent="0.2">
      <c r="M317" s="119"/>
      <c r="N317" s="119"/>
    </row>
    <row r="318" spans="13:14" s="120" customFormat="1" x14ac:dyDescent="0.2">
      <c r="M318" s="119"/>
      <c r="N318" s="119"/>
    </row>
    <row r="319" spans="13:14" s="120" customFormat="1" x14ac:dyDescent="0.2">
      <c r="M319" s="119"/>
      <c r="N319" s="119"/>
    </row>
    <row r="320" spans="13:14" s="120" customFormat="1" x14ac:dyDescent="0.2">
      <c r="M320" s="119"/>
      <c r="N320" s="119"/>
    </row>
    <row r="321" spans="13:14" s="120" customFormat="1" x14ac:dyDescent="0.2">
      <c r="M321" s="119"/>
      <c r="N321" s="119"/>
    </row>
    <row r="322" spans="13:14" s="120" customFormat="1" x14ac:dyDescent="0.2">
      <c r="M322" s="119"/>
      <c r="N322" s="119"/>
    </row>
    <row r="323" spans="13:14" s="120" customFormat="1" x14ac:dyDescent="0.2">
      <c r="M323" s="119"/>
      <c r="N323" s="119"/>
    </row>
    <row r="324" spans="13:14" s="120" customFormat="1" x14ac:dyDescent="0.2">
      <c r="M324" s="119"/>
      <c r="N324" s="119"/>
    </row>
    <row r="325" spans="13:14" s="120" customFormat="1" x14ac:dyDescent="0.2">
      <c r="M325" s="119"/>
      <c r="N325" s="119"/>
    </row>
    <row r="326" spans="13:14" s="120" customFormat="1" x14ac:dyDescent="0.2">
      <c r="M326" s="119"/>
      <c r="N326" s="119"/>
    </row>
    <row r="327" spans="13:14" s="120" customFormat="1" x14ac:dyDescent="0.2">
      <c r="M327" s="119"/>
      <c r="N327" s="119"/>
    </row>
    <row r="328" spans="13:14" s="120" customFormat="1" x14ac:dyDescent="0.2">
      <c r="M328" s="119"/>
      <c r="N328" s="119"/>
    </row>
    <row r="329" spans="13:14" s="120" customFormat="1" x14ac:dyDescent="0.2">
      <c r="M329" s="119"/>
      <c r="N329" s="119"/>
    </row>
    <row r="330" spans="13:14" s="120" customFormat="1" x14ac:dyDescent="0.2">
      <c r="M330" s="119"/>
      <c r="N330" s="119"/>
    </row>
    <row r="331" spans="13:14" s="120" customFormat="1" x14ac:dyDescent="0.2">
      <c r="M331" s="119"/>
      <c r="N331" s="119"/>
    </row>
    <row r="332" spans="13:14" s="120" customFormat="1" x14ac:dyDescent="0.2">
      <c r="M332" s="119"/>
      <c r="N332" s="119"/>
    </row>
    <row r="333" spans="13:14" s="120" customFormat="1" x14ac:dyDescent="0.2">
      <c r="M333" s="119"/>
      <c r="N333" s="119"/>
    </row>
    <row r="334" spans="13:14" s="120" customFormat="1" x14ac:dyDescent="0.2">
      <c r="M334" s="119"/>
      <c r="N334" s="119"/>
    </row>
    <row r="335" spans="13:14" s="120" customFormat="1" x14ac:dyDescent="0.2">
      <c r="M335" s="119"/>
      <c r="N335" s="119"/>
    </row>
    <row r="336" spans="13:14" s="120" customFormat="1" x14ac:dyDescent="0.2">
      <c r="M336" s="119"/>
      <c r="N336" s="119"/>
    </row>
    <row r="337" spans="13:14" s="120" customFormat="1" x14ac:dyDescent="0.2">
      <c r="M337" s="119"/>
      <c r="N337" s="119"/>
    </row>
    <row r="338" spans="13:14" s="120" customFormat="1" x14ac:dyDescent="0.2">
      <c r="M338" s="119"/>
      <c r="N338" s="119"/>
    </row>
    <row r="339" spans="13:14" s="120" customFormat="1" x14ac:dyDescent="0.2">
      <c r="M339" s="119"/>
      <c r="N339" s="119"/>
    </row>
    <row r="340" spans="13:14" s="120" customFormat="1" x14ac:dyDescent="0.2">
      <c r="M340" s="119"/>
      <c r="N340" s="119"/>
    </row>
    <row r="341" spans="13:14" s="120" customFormat="1" x14ac:dyDescent="0.2">
      <c r="M341" s="119"/>
      <c r="N341" s="119"/>
    </row>
    <row r="342" spans="13:14" s="120" customFormat="1" x14ac:dyDescent="0.2">
      <c r="M342" s="119"/>
      <c r="N342" s="119"/>
    </row>
    <row r="343" spans="13:14" s="120" customFormat="1" x14ac:dyDescent="0.2">
      <c r="M343" s="119"/>
      <c r="N343" s="119"/>
    </row>
    <row r="344" spans="13:14" s="120" customFormat="1" x14ac:dyDescent="0.2">
      <c r="M344" s="119"/>
      <c r="N344" s="119"/>
    </row>
    <row r="345" spans="13:14" s="120" customFormat="1" x14ac:dyDescent="0.2">
      <c r="M345" s="119"/>
      <c r="N345" s="119"/>
    </row>
    <row r="346" spans="13:14" s="120" customFormat="1" x14ac:dyDescent="0.2">
      <c r="M346" s="119"/>
      <c r="N346" s="119"/>
    </row>
    <row r="347" spans="13:14" s="120" customFormat="1" x14ac:dyDescent="0.2">
      <c r="M347" s="119"/>
      <c r="N347" s="119"/>
    </row>
    <row r="348" spans="13:14" s="120" customFormat="1" x14ac:dyDescent="0.2">
      <c r="M348" s="119"/>
      <c r="N348" s="119"/>
    </row>
    <row r="349" spans="13:14" s="120" customFormat="1" x14ac:dyDescent="0.2">
      <c r="M349" s="119"/>
      <c r="N349" s="119"/>
    </row>
    <row r="350" spans="13:14" s="120" customFormat="1" x14ac:dyDescent="0.2">
      <c r="M350" s="119"/>
      <c r="N350" s="119"/>
    </row>
    <row r="351" spans="13:14" s="120" customFormat="1" x14ac:dyDescent="0.2">
      <c r="M351" s="119"/>
      <c r="N351" s="119"/>
    </row>
    <row r="352" spans="13:14" s="120" customFormat="1" x14ac:dyDescent="0.2">
      <c r="M352" s="119"/>
      <c r="N352" s="119"/>
    </row>
    <row r="353" spans="13:14" s="120" customFormat="1" x14ac:dyDescent="0.2">
      <c r="M353" s="119"/>
      <c r="N353" s="119"/>
    </row>
    <row r="354" spans="13:14" s="120" customFormat="1" x14ac:dyDescent="0.2">
      <c r="M354" s="119"/>
      <c r="N354" s="119"/>
    </row>
    <row r="355" spans="13:14" s="120" customFormat="1" x14ac:dyDescent="0.2">
      <c r="M355" s="119"/>
      <c r="N355" s="119"/>
    </row>
    <row r="356" spans="13:14" s="120" customFormat="1" x14ac:dyDescent="0.2">
      <c r="M356" s="119"/>
      <c r="N356" s="119"/>
    </row>
    <row r="357" spans="13:14" s="120" customFormat="1" x14ac:dyDescent="0.2">
      <c r="M357" s="119"/>
      <c r="N357" s="119"/>
    </row>
    <row r="358" spans="13:14" s="120" customFormat="1" x14ac:dyDescent="0.2">
      <c r="M358" s="119"/>
      <c r="N358" s="119"/>
    </row>
    <row r="359" spans="13:14" s="120" customFormat="1" x14ac:dyDescent="0.2">
      <c r="M359" s="119"/>
      <c r="N359" s="119"/>
    </row>
    <row r="360" spans="13:14" s="120" customFormat="1" x14ac:dyDescent="0.2">
      <c r="M360" s="119"/>
      <c r="N360" s="119"/>
    </row>
    <row r="361" spans="13:14" s="120" customFormat="1" x14ac:dyDescent="0.2">
      <c r="M361" s="119"/>
      <c r="N361" s="119"/>
    </row>
    <row r="362" spans="13:14" s="120" customFormat="1" x14ac:dyDescent="0.2">
      <c r="M362" s="119"/>
      <c r="N362" s="119"/>
    </row>
    <row r="363" spans="13:14" s="120" customFormat="1" x14ac:dyDescent="0.2">
      <c r="M363" s="119"/>
      <c r="N363" s="119"/>
    </row>
    <row r="364" spans="13:14" s="120" customFormat="1" x14ac:dyDescent="0.2">
      <c r="M364" s="119"/>
      <c r="N364" s="119"/>
    </row>
    <row r="365" spans="13:14" s="120" customFormat="1" x14ac:dyDescent="0.2">
      <c r="M365" s="119"/>
      <c r="N365" s="119"/>
    </row>
    <row r="366" spans="13:14" s="120" customFormat="1" x14ac:dyDescent="0.2">
      <c r="M366" s="119"/>
      <c r="N366" s="119"/>
    </row>
    <row r="367" spans="13:14" s="120" customFormat="1" x14ac:dyDescent="0.2">
      <c r="M367" s="119"/>
      <c r="N367" s="119"/>
    </row>
    <row r="368" spans="13:14" s="120" customFormat="1" x14ac:dyDescent="0.2">
      <c r="M368" s="119"/>
      <c r="N368" s="119"/>
    </row>
    <row r="369" spans="13:14" s="120" customFormat="1" x14ac:dyDescent="0.2">
      <c r="M369" s="119"/>
      <c r="N369" s="119"/>
    </row>
    <row r="370" spans="13:14" s="120" customFormat="1" x14ac:dyDescent="0.2">
      <c r="M370" s="119"/>
      <c r="N370" s="119"/>
    </row>
    <row r="371" spans="13:14" s="120" customFormat="1" x14ac:dyDescent="0.2">
      <c r="M371" s="119"/>
      <c r="N371" s="119"/>
    </row>
    <row r="372" spans="13:14" s="120" customFormat="1" x14ac:dyDescent="0.2">
      <c r="M372" s="119"/>
      <c r="N372" s="119"/>
    </row>
    <row r="373" spans="13:14" s="120" customFormat="1" x14ac:dyDescent="0.2">
      <c r="M373" s="119"/>
      <c r="N373" s="119"/>
    </row>
    <row r="374" spans="13:14" s="120" customFormat="1" x14ac:dyDescent="0.2">
      <c r="M374" s="119"/>
      <c r="N374" s="119"/>
    </row>
    <row r="375" spans="13:14" s="120" customFormat="1" x14ac:dyDescent="0.2">
      <c r="M375" s="119"/>
      <c r="N375" s="119"/>
    </row>
    <row r="376" spans="13:14" s="120" customFormat="1" x14ac:dyDescent="0.2">
      <c r="M376" s="119"/>
      <c r="N376" s="119"/>
    </row>
    <row r="377" spans="13:14" s="120" customFormat="1" x14ac:dyDescent="0.2">
      <c r="M377" s="119"/>
      <c r="N377" s="119"/>
    </row>
    <row r="378" spans="13:14" s="120" customFormat="1" x14ac:dyDescent="0.2">
      <c r="M378" s="119"/>
      <c r="N378" s="119"/>
    </row>
    <row r="379" spans="13:14" s="120" customFormat="1" x14ac:dyDescent="0.2">
      <c r="M379" s="119"/>
      <c r="N379" s="119"/>
    </row>
    <row r="380" spans="13:14" s="120" customFormat="1" x14ac:dyDescent="0.2">
      <c r="M380" s="119"/>
      <c r="N380" s="119"/>
    </row>
    <row r="381" spans="13:14" s="120" customFormat="1" x14ac:dyDescent="0.2">
      <c r="M381" s="119"/>
      <c r="N381" s="119"/>
    </row>
    <row r="382" spans="13:14" s="120" customFormat="1" x14ac:dyDescent="0.2">
      <c r="M382" s="119"/>
      <c r="N382" s="119"/>
    </row>
    <row r="383" spans="13:14" s="120" customFormat="1" x14ac:dyDescent="0.2">
      <c r="M383" s="119"/>
      <c r="N383" s="119"/>
    </row>
    <row r="384" spans="13:14" s="120" customFormat="1" x14ac:dyDescent="0.2">
      <c r="M384" s="119"/>
      <c r="N384" s="119"/>
    </row>
    <row r="385" spans="13:14" s="120" customFormat="1" x14ac:dyDescent="0.2">
      <c r="M385" s="119"/>
      <c r="N385" s="119"/>
    </row>
    <row r="386" spans="13:14" s="120" customFormat="1" x14ac:dyDescent="0.2">
      <c r="M386" s="119"/>
      <c r="N386" s="119"/>
    </row>
    <row r="387" spans="13:14" s="120" customFormat="1" x14ac:dyDescent="0.2">
      <c r="M387" s="119"/>
      <c r="N387" s="119"/>
    </row>
    <row r="388" spans="13:14" s="120" customFormat="1" x14ac:dyDescent="0.2">
      <c r="M388" s="119"/>
      <c r="N388" s="119"/>
    </row>
    <row r="389" spans="13:14" s="120" customFormat="1" x14ac:dyDescent="0.2">
      <c r="M389" s="119"/>
      <c r="N389" s="119"/>
    </row>
    <row r="390" spans="13:14" s="120" customFormat="1" x14ac:dyDescent="0.2">
      <c r="M390" s="119"/>
      <c r="N390" s="119"/>
    </row>
    <row r="391" spans="13:14" s="120" customFormat="1" x14ac:dyDescent="0.2">
      <c r="M391" s="119"/>
      <c r="N391" s="119"/>
    </row>
    <row r="392" spans="13:14" s="120" customFormat="1" x14ac:dyDescent="0.2">
      <c r="M392" s="119"/>
      <c r="N392" s="119"/>
    </row>
    <row r="393" spans="13:14" s="120" customFormat="1" x14ac:dyDescent="0.2">
      <c r="M393" s="119"/>
      <c r="N393" s="119"/>
    </row>
    <row r="394" spans="13:14" s="120" customFormat="1" x14ac:dyDescent="0.2">
      <c r="M394" s="119"/>
      <c r="N394" s="119"/>
    </row>
    <row r="395" spans="13:14" s="120" customFormat="1" x14ac:dyDescent="0.2">
      <c r="M395" s="119"/>
      <c r="N395" s="119"/>
    </row>
    <row r="396" spans="13:14" s="120" customFormat="1" x14ac:dyDescent="0.2">
      <c r="M396" s="119"/>
      <c r="N396" s="119"/>
    </row>
    <row r="397" spans="13:14" s="120" customFormat="1" x14ac:dyDescent="0.2">
      <c r="M397" s="119"/>
      <c r="N397" s="119"/>
    </row>
    <row r="398" spans="13:14" s="120" customFormat="1" x14ac:dyDescent="0.2">
      <c r="M398" s="119"/>
      <c r="N398" s="119"/>
    </row>
    <row r="399" spans="13:14" s="120" customFormat="1" x14ac:dyDescent="0.2">
      <c r="M399" s="119"/>
      <c r="N399" s="119"/>
    </row>
    <row r="400" spans="13:14" s="120" customFormat="1" x14ac:dyDescent="0.2">
      <c r="M400" s="119"/>
      <c r="N400" s="119"/>
    </row>
    <row r="401" spans="13:14" s="120" customFormat="1" x14ac:dyDescent="0.2">
      <c r="M401" s="119"/>
      <c r="N401" s="119"/>
    </row>
    <row r="402" spans="13:14" s="120" customFormat="1" x14ac:dyDescent="0.2">
      <c r="M402" s="119"/>
      <c r="N402" s="119"/>
    </row>
    <row r="403" spans="13:14" s="120" customFormat="1" x14ac:dyDescent="0.2">
      <c r="M403" s="119"/>
      <c r="N403" s="119"/>
    </row>
    <row r="404" spans="13:14" s="120" customFormat="1" x14ac:dyDescent="0.2">
      <c r="M404" s="119"/>
      <c r="N404" s="119"/>
    </row>
    <row r="405" spans="13:14" s="120" customFormat="1" x14ac:dyDescent="0.2">
      <c r="M405" s="119"/>
      <c r="N405" s="119"/>
    </row>
    <row r="406" spans="13:14" s="120" customFormat="1" x14ac:dyDescent="0.2">
      <c r="M406" s="119"/>
      <c r="N406" s="119"/>
    </row>
    <row r="407" spans="13:14" s="120" customFormat="1" x14ac:dyDescent="0.2">
      <c r="M407" s="119"/>
      <c r="N407" s="119"/>
    </row>
    <row r="408" spans="13:14" s="120" customFormat="1" x14ac:dyDescent="0.2">
      <c r="M408" s="119"/>
      <c r="N408" s="119"/>
    </row>
    <row r="409" spans="13:14" s="120" customFormat="1" x14ac:dyDescent="0.2">
      <c r="M409" s="119"/>
      <c r="N409" s="119"/>
    </row>
    <row r="410" spans="13:14" s="120" customFormat="1" x14ac:dyDescent="0.2">
      <c r="M410" s="119"/>
      <c r="N410" s="119"/>
    </row>
    <row r="411" spans="13:14" s="120" customFormat="1" x14ac:dyDescent="0.2">
      <c r="M411" s="119"/>
      <c r="N411" s="119"/>
    </row>
    <row r="412" spans="13:14" s="120" customFormat="1" x14ac:dyDescent="0.2">
      <c r="M412" s="119"/>
      <c r="N412" s="119"/>
    </row>
    <row r="413" spans="13:14" s="120" customFormat="1" x14ac:dyDescent="0.2">
      <c r="M413" s="119"/>
      <c r="N413" s="119"/>
    </row>
    <row r="414" spans="13:14" s="120" customFormat="1" x14ac:dyDescent="0.2">
      <c r="M414" s="119"/>
      <c r="N414" s="119"/>
    </row>
    <row r="415" spans="13:14" s="120" customFormat="1" x14ac:dyDescent="0.2">
      <c r="M415" s="119"/>
      <c r="N415" s="119"/>
    </row>
    <row r="416" spans="13:14" s="120" customFormat="1" x14ac:dyDescent="0.2">
      <c r="M416" s="119"/>
      <c r="N416" s="119"/>
    </row>
    <row r="417" spans="13:14" s="120" customFormat="1" x14ac:dyDescent="0.2">
      <c r="M417" s="119"/>
      <c r="N417" s="119"/>
    </row>
    <row r="418" spans="13:14" s="120" customFormat="1" x14ac:dyDescent="0.2">
      <c r="M418" s="119"/>
      <c r="N418" s="119"/>
    </row>
    <row r="419" spans="13:14" s="120" customFormat="1" x14ac:dyDescent="0.2">
      <c r="M419" s="119"/>
      <c r="N419" s="119"/>
    </row>
    <row r="420" spans="13:14" s="120" customFormat="1" x14ac:dyDescent="0.2">
      <c r="M420" s="119"/>
      <c r="N420" s="119"/>
    </row>
    <row r="421" spans="13:14" s="120" customFormat="1" x14ac:dyDescent="0.2">
      <c r="M421" s="119"/>
      <c r="N421" s="119"/>
    </row>
    <row r="422" spans="13:14" s="120" customFormat="1" x14ac:dyDescent="0.2">
      <c r="M422" s="119"/>
      <c r="N422" s="119"/>
    </row>
    <row r="423" spans="13:14" s="120" customFormat="1" x14ac:dyDescent="0.2">
      <c r="M423" s="119"/>
      <c r="N423" s="119"/>
    </row>
    <row r="424" spans="13:14" s="120" customFormat="1" x14ac:dyDescent="0.2">
      <c r="M424" s="119"/>
      <c r="N424" s="119"/>
    </row>
    <row r="425" spans="13:14" s="120" customFormat="1" x14ac:dyDescent="0.2">
      <c r="M425" s="119"/>
      <c r="N425" s="119"/>
    </row>
    <row r="426" spans="13:14" s="120" customFormat="1" x14ac:dyDescent="0.2">
      <c r="M426" s="119"/>
      <c r="N426" s="119"/>
    </row>
    <row r="427" spans="13:14" s="120" customFormat="1" x14ac:dyDescent="0.2">
      <c r="M427" s="119"/>
      <c r="N427" s="119"/>
    </row>
    <row r="428" spans="13:14" s="120" customFormat="1" x14ac:dyDescent="0.2">
      <c r="M428" s="119"/>
      <c r="N428" s="119"/>
    </row>
    <row r="429" spans="13:14" s="120" customFormat="1" x14ac:dyDescent="0.2">
      <c r="M429" s="119"/>
      <c r="N429" s="119"/>
    </row>
    <row r="430" spans="13:14" s="120" customFormat="1" x14ac:dyDescent="0.2">
      <c r="M430" s="119"/>
      <c r="N430" s="119"/>
    </row>
    <row r="431" spans="13:14" s="120" customFormat="1" x14ac:dyDescent="0.2">
      <c r="M431" s="119"/>
      <c r="N431" s="119"/>
    </row>
    <row r="432" spans="13:14" s="120" customFormat="1" x14ac:dyDescent="0.2">
      <c r="M432" s="119"/>
      <c r="N432" s="119"/>
    </row>
    <row r="433" spans="13:14" s="120" customFormat="1" x14ac:dyDescent="0.2">
      <c r="M433" s="119"/>
      <c r="N433" s="119"/>
    </row>
    <row r="434" spans="13:14" s="120" customFormat="1" x14ac:dyDescent="0.2">
      <c r="M434" s="119"/>
      <c r="N434" s="119"/>
    </row>
    <row r="435" spans="13:14" s="120" customFormat="1" x14ac:dyDescent="0.2">
      <c r="M435" s="119"/>
      <c r="N435" s="119"/>
    </row>
    <row r="436" spans="13:14" s="120" customFormat="1" x14ac:dyDescent="0.2">
      <c r="M436" s="119"/>
      <c r="N436" s="119"/>
    </row>
    <row r="437" spans="13:14" s="120" customFormat="1" x14ac:dyDescent="0.2">
      <c r="M437" s="119"/>
      <c r="N437" s="119"/>
    </row>
    <row r="438" spans="13:14" s="120" customFormat="1" x14ac:dyDescent="0.2">
      <c r="M438" s="119"/>
      <c r="N438" s="119"/>
    </row>
    <row r="439" spans="13:14" s="120" customFormat="1" x14ac:dyDescent="0.2">
      <c r="M439" s="119"/>
      <c r="N439" s="119"/>
    </row>
    <row r="440" spans="13:14" s="120" customFormat="1" x14ac:dyDescent="0.2">
      <c r="M440" s="119"/>
      <c r="N440" s="119"/>
    </row>
    <row r="441" spans="13:14" s="120" customFormat="1" x14ac:dyDescent="0.2">
      <c r="M441" s="119"/>
      <c r="N441" s="119"/>
    </row>
    <row r="442" spans="13:14" s="120" customFormat="1" x14ac:dyDescent="0.2">
      <c r="M442" s="119"/>
      <c r="N442" s="119"/>
    </row>
    <row r="443" spans="13:14" s="120" customFormat="1" x14ac:dyDescent="0.2">
      <c r="M443" s="119"/>
      <c r="N443" s="119"/>
    </row>
    <row r="444" spans="13:14" s="120" customFormat="1" x14ac:dyDescent="0.2">
      <c r="M444" s="119"/>
      <c r="N444" s="119"/>
    </row>
    <row r="445" spans="13:14" s="120" customFormat="1" x14ac:dyDescent="0.2">
      <c r="M445" s="119"/>
      <c r="N445" s="119"/>
    </row>
    <row r="446" spans="13:14" s="120" customFormat="1" x14ac:dyDescent="0.2">
      <c r="M446" s="119"/>
      <c r="N446" s="119"/>
    </row>
    <row r="447" spans="13:14" s="120" customFormat="1" x14ac:dyDescent="0.2">
      <c r="M447" s="119"/>
      <c r="N447" s="119"/>
    </row>
    <row r="448" spans="13:14" s="120" customFormat="1" x14ac:dyDescent="0.2">
      <c r="M448" s="119"/>
      <c r="N448" s="119"/>
    </row>
    <row r="449" spans="13:14" s="120" customFormat="1" x14ac:dyDescent="0.2">
      <c r="M449" s="119"/>
      <c r="N449" s="119"/>
    </row>
    <row r="450" spans="13:14" s="120" customFormat="1" x14ac:dyDescent="0.2">
      <c r="M450" s="119"/>
      <c r="N450" s="119"/>
    </row>
    <row r="451" spans="13:14" s="120" customFormat="1" x14ac:dyDescent="0.2">
      <c r="M451" s="119"/>
      <c r="N451" s="119"/>
    </row>
    <row r="452" spans="13:14" s="120" customFormat="1" x14ac:dyDescent="0.2">
      <c r="M452" s="119"/>
      <c r="N452" s="119"/>
    </row>
    <row r="453" spans="13:14" s="120" customFormat="1" x14ac:dyDescent="0.2">
      <c r="M453" s="119"/>
      <c r="N453" s="119"/>
    </row>
    <row r="454" spans="13:14" s="120" customFormat="1" x14ac:dyDescent="0.2">
      <c r="M454" s="119"/>
      <c r="N454" s="119"/>
    </row>
    <row r="455" spans="13:14" s="120" customFormat="1" x14ac:dyDescent="0.2">
      <c r="M455" s="119"/>
      <c r="N455" s="119"/>
    </row>
    <row r="456" spans="13:14" s="120" customFormat="1" x14ac:dyDescent="0.2">
      <c r="M456" s="119"/>
      <c r="N456" s="119"/>
    </row>
    <row r="457" spans="13:14" s="120" customFormat="1" x14ac:dyDescent="0.2">
      <c r="M457" s="119"/>
      <c r="N457" s="119"/>
    </row>
    <row r="458" spans="13:14" s="120" customFormat="1" x14ac:dyDescent="0.2">
      <c r="M458" s="119"/>
      <c r="N458" s="119"/>
    </row>
    <row r="459" spans="13:14" s="120" customFormat="1" x14ac:dyDescent="0.2">
      <c r="M459" s="119"/>
      <c r="N459" s="119"/>
    </row>
    <row r="460" spans="13:14" s="120" customFormat="1" x14ac:dyDescent="0.2">
      <c r="M460" s="119"/>
      <c r="N460" s="119"/>
    </row>
    <row r="461" spans="13:14" s="120" customFormat="1" x14ac:dyDescent="0.2">
      <c r="M461" s="119"/>
      <c r="N461" s="119"/>
    </row>
    <row r="462" spans="13:14" s="120" customFormat="1" x14ac:dyDescent="0.2">
      <c r="M462" s="119"/>
      <c r="N462" s="119"/>
    </row>
    <row r="463" spans="13:14" s="120" customFormat="1" x14ac:dyDescent="0.2">
      <c r="M463" s="119"/>
      <c r="N463" s="119"/>
    </row>
    <row r="464" spans="13:14" s="120" customFormat="1" x14ac:dyDescent="0.2">
      <c r="M464" s="119"/>
      <c r="N464" s="119"/>
    </row>
    <row r="465" spans="13:14" s="120" customFormat="1" x14ac:dyDescent="0.2">
      <c r="M465" s="119"/>
      <c r="N465" s="119"/>
    </row>
    <row r="466" spans="13:14" s="120" customFormat="1" x14ac:dyDescent="0.2">
      <c r="M466" s="119"/>
      <c r="N466" s="119"/>
    </row>
    <row r="467" spans="13:14" s="120" customFormat="1" x14ac:dyDescent="0.2">
      <c r="M467" s="119"/>
      <c r="N467" s="119"/>
    </row>
    <row r="468" spans="13:14" s="120" customFormat="1" x14ac:dyDescent="0.2">
      <c r="M468" s="119"/>
      <c r="N468" s="119"/>
    </row>
    <row r="469" spans="13:14" s="120" customFormat="1" x14ac:dyDescent="0.2">
      <c r="M469" s="119"/>
      <c r="N469" s="119"/>
    </row>
    <row r="470" spans="13:14" s="120" customFormat="1" x14ac:dyDescent="0.2">
      <c r="M470" s="119"/>
      <c r="N470" s="119"/>
    </row>
    <row r="471" spans="13:14" s="120" customFormat="1" x14ac:dyDescent="0.2">
      <c r="M471" s="119"/>
      <c r="N471" s="119"/>
    </row>
    <row r="472" spans="13:14" s="120" customFormat="1" x14ac:dyDescent="0.2">
      <c r="M472" s="119"/>
      <c r="N472" s="119"/>
    </row>
    <row r="473" spans="13:14" s="120" customFormat="1" x14ac:dyDescent="0.2">
      <c r="M473" s="119"/>
      <c r="N473" s="119"/>
    </row>
    <row r="474" spans="13:14" s="120" customFormat="1" x14ac:dyDescent="0.2">
      <c r="M474" s="119"/>
      <c r="N474" s="119"/>
    </row>
    <row r="475" spans="13:14" s="120" customFormat="1" x14ac:dyDescent="0.2">
      <c r="M475" s="119"/>
      <c r="N475" s="119"/>
    </row>
    <row r="476" spans="13:14" s="120" customFormat="1" x14ac:dyDescent="0.2">
      <c r="M476" s="119"/>
      <c r="N476" s="119"/>
    </row>
    <row r="477" spans="13:14" s="120" customFormat="1" x14ac:dyDescent="0.2">
      <c r="M477" s="119"/>
      <c r="N477" s="119"/>
    </row>
    <row r="478" spans="13:14" s="120" customFormat="1" x14ac:dyDescent="0.2">
      <c r="M478" s="119"/>
      <c r="N478" s="119"/>
    </row>
    <row r="479" spans="13:14" s="120" customFormat="1" x14ac:dyDescent="0.2">
      <c r="M479" s="119"/>
      <c r="N479" s="119"/>
    </row>
    <row r="480" spans="13:14" s="120" customFormat="1" x14ac:dyDescent="0.2">
      <c r="M480" s="119"/>
      <c r="N480" s="119"/>
    </row>
    <row r="481" spans="13:14" s="120" customFormat="1" x14ac:dyDescent="0.2">
      <c r="M481" s="119"/>
      <c r="N481" s="119"/>
    </row>
    <row r="482" spans="13:14" s="120" customFormat="1" x14ac:dyDescent="0.2">
      <c r="M482" s="119"/>
      <c r="N482" s="119"/>
    </row>
    <row r="483" spans="13:14" s="120" customFormat="1" x14ac:dyDescent="0.2">
      <c r="M483" s="119"/>
      <c r="N483" s="119"/>
    </row>
    <row r="484" spans="13:14" s="120" customFormat="1" x14ac:dyDescent="0.2">
      <c r="M484" s="119"/>
      <c r="N484" s="119"/>
    </row>
    <row r="485" spans="13:14" s="120" customFormat="1" x14ac:dyDescent="0.2">
      <c r="M485" s="119"/>
      <c r="N485" s="119"/>
    </row>
    <row r="486" spans="13:14" s="120" customFormat="1" x14ac:dyDescent="0.2">
      <c r="M486" s="119"/>
      <c r="N486" s="119"/>
    </row>
    <row r="487" spans="13:14" s="120" customFormat="1" x14ac:dyDescent="0.2">
      <c r="M487" s="119"/>
      <c r="N487" s="119"/>
    </row>
    <row r="488" spans="13:14" s="120" customFormat="1" x14ac:dyDescent="0.2">
      <c r="M488" s="119"/>
      <c r="N488" s="119"/>
    </row>
    <row r="489" spans="13:14" s="120" customFormat="1" x14ac:dyDescent="0.2">
      <c r="M489" s="119"/>
      <c r="N489" s="119"/>
    </row>
    <row r="490" spans="13:14" s="120" customFormat="1" x14ac:dyDescent="0.2">
      <c r="M490" s="119"/>
      <c r="N490" s="119"/>
    </row>
    <row r="491" spans="13:14" s="120" customFormat="1" x14ac:dyDescent="0.2">
      <c r="M491" s="119"/>
      <c r="N491" s="119"/>
    </row>
    <row r="492" spans="13:14" s="120" customFormat="1" x14ac:dyDescent="0.2">
      <c r="M492" s="119"/>
      <c r="N492" s="119"/>
    </row>
    <row r="493" spans="13:14" s="120" customFormat="1" x14ac:dyDescent="0.2">
      <c r="M493" s="119"/>
      <c r="N493" s="119"/>
    </row>
    <row r="494" spans="13:14" s="120" customFormat="1" x14ac:dyDescent="0.2">
      <c r="M494" s="119"/>
      <c r="N494" s="119"/>
    </row>
    <row r="495" spans="13:14" s="120" customFormat="1" x14ac:dyDescent="0.2">
      <c r="M495" s="119"/>
      <c r="N495" s="119"/>
    </row>
    <row r="496" spans="13:14" s="120" customFormat="1" x14ac:dyDescent="0.2">
      <c r="M496" s="119"/>
      <c r="N496" s="119"/>
    </row>
    <row r="497" spans="13:14" s="120" customFormat="1" x14ac:dyDescent="0.2">
      <c r="M497" s="119"/>
      <c r="N497" s="119"/>
    </row>
    <row r="498" spans="13:14" s="120" customFormat="1" x14ac:dyDescent="0.2">
      <c r="M498" s="119"/>
      <c r="N498" s="119"/>
    </row>
    <row r="499" spans="13:14" s="120" customFormat="1" x14ac:dyDescent="0.2">
      <c r="M499" s="119"/>
      <c r="N499" s="119"/>
    </row>
    <row r="500" spans="13:14" s="120" customFormat="1" x14ac:dyDescent="0.2">
      <c r="M500" s="119"/>
      <c r="N500" s="119"/>
    </row>
    <row r="501" spans="13:14" s="120" customFormat="1" x14ac:dyDescent="0.2">
      <c r="M501" s="119"/>
      <c r="N501" s="119"/>
    </row>
    <row r="502" spans="13:14" s="120" customFormat="1" x14ac:dyDescent="0.2">
      <c r="M502" s="119"/>
      <c r="N502" s="119"/>
    </row>
    <row r="503" spans="13:14" s="120" customFormat="1" x14ac:dyDescent="0.2">
      <c r="M503" s="119"/>
      <c r="N503" s="119"/>
    </row>
    <row r="504" spans="13:14" s="120" customFormat="1" x14ac:dyDescent="0.2">
      <c r="M504" s="119"/>
      <c r="N504" s="119"/>
    </row>
    <row r="505" spans="13:14" s="120" customFormat="1" x14ac:dyDescent="0.2">
      <c r="M505" s="119"/>
      <c r="N505" s="119"/>
    </row>
    <row r="506" spans="13:14" s="120" customFormat="1" x14ac:dyDescent="0.2">
      <c r="M506" s="119"/>
      <c r="N506" s="119"/>
    </row>
    <row r="507" spans="13:14" s="120" customFormat="1" x14ac:dyDescent="0.2">
      <c r="M507" s="119"/>
      <c r="N507" s="119"/>
    </row>
    <row r="508" spans="13:14" s="120" customFormat="1" x14ac:dyDescent="0.2">
      <c r="M508" s="119"/>
      <c r="N508" s="119"/>
    </row>
    <row r="509" spans="13:14" s="120" customFormat="1" x14ac:dyDescent="0.2">
      <c r="M509" s="119"/>
      <c r="N509" s="119"/>
    </row>
    <row r="510" spans="13:14" s="120" customFormat="1" x14ac:dyDescent="0.2">
      <c r="M510" s="119"/>
      <c r="N510" s="119"/>
    </row>
    <row r="511" spans="13:14" s="120" customFormat="1" x14ac:dyDescent="0.2">
      <c r="M511" s="119"/>
      <c r="N511" s="119"/>
    </row>
    <row r="512" spans="13:14" s="120" customFormat="1" x14ac:dyDescent="0.2">
      <c r="M512" s="119"/>
      <c r="N512" s="119"/>
    </row>
    <row r="513" spans="13:14" s="120" customFormat="1" x14ac:dyDescent="0.2">
      <c r="M513" s="119"/>
      <c r="N513" s="119"/>
    </row>
    <row r="514" spans="13:14" s="120" customFormat="1" x14ac:dyDescent="0.2">
      <c r="M514" s="119"/>
      <c r="N514" s="119"/>
    </row>
    <row r="515" spans="13:14" s="120" customFormat="1" x14ac:dyDescent="0.2">
      <c r="M515" s="119"/>
      <c r="N515" s="119"/>
    </row>
    <row r="516" spans="13:14" s="120" customFormat="1" x14ac:dyDescent="0.2">
      <c r="M516" s="119"/>
      <c r="N516" s="119"/>
    </row>
    <row r="517" spans="13:14" s="120" customFormat="1" x14ac:dyDescent="0.2">
      <c r="M517" s="119"/>
      <c r="N517" s="119"/>
    </row>
    <row r="518" spans="13:14" s="120" customFormat="1" x14ac:dyDescent="0.2">
      <c r="M518" s="119"/>
      <c r="N518" s="119"/>
    </row>
    <row r="519" spans="13:14" s="120" customFormat="1" x14ac:dyDescent="0.2">
      <c r="M519" s="119"/>
      <c r="N519" s="119"/>
    </row>
    <row r="520" spans="13:14" s="120" customFormat="1" x14ac:dyDescent="0.2">
      <c r="M520" s="119"/>
      <c r="N520" s="119"/>
    </row>
    <row r="521" spans="13:14" s="120" customFormat="1" x14ac:dyDescent="0.2">
      <c r="M521" s="119"/>
      <c r="N521" s="119"/>
    </row>
    <row r="522" spans="13:14" s="120" customFormat="1" x14ac:dyDescent="0.2">
      <c r="M522" s="119"/>
      <c r="N522" s="119"/>
    </row>
    <row r="523" spans="13:14" s="120" customFormat="1" x14ac:dyDescent="0.2">
      <c r="M523" s="119"/>
      <c r="N523" s="119"/>
    </row>
    <row r="524" spans="13:14" s="120" customFormat="1" x14ac:dyDescent="0.2">
      <c r="M524" s="119"/>
      <c r="N524" s="119"/>
    </row>
    <row r="525" spans="13:14" s="120" customFormat="1" x14ac:dyDescent="0.2">
      <c r="M525" s="119"/>
      <c r="N525" s="119"/>
    </row>
    <row r="526" spans="13:14" s="120" customFormat="1" x14ac:dyDescent="0.2">
      <c r="M526" s="119"/>
      <c r="N526" s="119"/>
    </row>
    <row r="527" spans="13:14" s="120" customFormat="1" x14ac:dyDescent="0.2">
      <c r="M527" s="119"/>
      <c r="N527" s="119"/>
    </row>
    <row r="528" spans="13:14" s="120" customFormat="1" x14ac:dyDescent="0.2">
      <c r="M528" s="119"/>
      <c r="N528" s="119"/>
    </row>
    <row r="529" spans="13:14" s="120" customFormat="1" x14ac:dyDescent="0.2">
      <c r="M529" s="119"/>
      <c r="N529" s="119"/>
    </row>
    <row r="530" spans="13:14" s="120" customFormat="1" x14ac:dyDescent="0.2">
      <c r="M530" s="119"/>
      <c r="N530" s="119"/>
    </row>
    <row r="531" spans="13:14" s="120" customFormat="1" x14ac:dyDescent="0.2">
      <c r="M531" s="119"/>
      <c r="N531" s="119"/>
    </row>
    <row r="532" spans="13:14" s="120" customFormat="1" x14ac:dyDescent="0.2">
      <c r="M532" s="119"/>
      <c r="N532" s="119"/>
    </row>
    <row r="533" spans="13:14" s="120" customFormat="1" x14ac:dyDescent="0.2">
      <c r="M533" s="119"/>
      <c r="N533" s="119"/>
    </row>
    <row r="534" spans="13:14" s="120" customFormat="1" x14ac:dyDescent="0.2">
      <c r="M534" s="119"/>
      <c r="N534" s="119"/>
    </row>
    <row r="535" spans="13:14" s="120" customFormat="1" x14ac:dyDescent="0.2">
      <c r="M535" s="119"/>
      <c r="N535" s="119"/>
    </row>
    <row r="536" spans="13:14" s="120" customFormat="1" x14ac:dyDescent="0.2">
      <c r="M536" s="119"/>
      <c r="N536" s="119"/>
    </row>
    <row r="537" spans="13:14" s="120" customFormat="1" x14ac:dyDescent="0.2">
      <c r="M537" s="119"/>
      <c r="N537" s="119"/>
    </row>
    <row r="538" spans="13:14" s="120" customFormat="1" x14ac:dyDescent="0.2">
      <c r="M538" s="119"/>
      <c r="N538" s="119"/>
    </row>
    <row r="539" spans="13:14" s="120" customFormat="1" x14ac:dyDescent="0.2">
      <c r="M539" s="119"/>
      <c r="N539" s="119"/>
    </row>
    <row r="540" spans="13:14" s="120" customFormat="1" x14ac:dyDescent="0.2">
      <c r="M540" s="119"/>
      <c r="N540" s="119"/>
    </row>
    <row r="541" spans="13:14" s="120" customFormat="1" x14ac:dyDescent="0.2">
      <c r="M541" s="119"/>
      <c r="N541" s="119"/>
    </row>
    <row r="542" spans="13:14" s="120" customFormat="1" x14ac:dyDescent="0.2">
      <c r="M542" s="119"/>
      <c r="N542" s="119"/>
    </row>
    <row r="543" spans="13:14" s="120" customFormat="1" x14ac:dyDescent="0.2">
      <c r="M543" s="119"/>
      <c r="N543" s="119"/>
    </row>
    <row r="544" spans="13:14" s="120" customFormat="1" x14ac:dyDescent="0.2">
      <c r="M544" s="119"/>
      <c r="N544" s="119"/>
    </row>
    <row r="545" spans="13:14" s="120" customFormat="1" x14ac:dyDescent="0.2">
      <c r="M545" s="119"/>
      <c r="N545" s="119"/>
    </row>
    <row r="546" spans="13:14" s="120" customFormat="1" x14ac:dyDescent="0.2">
      <c r="M546" s="119"/>
      <c r="N546" s="119"/>
    </row>
    <row r="547" spans="13:14" s="120" customFormat="1" x14ac:dyDescent="0.2">
      <c r="M547" s="119"/>
      <c r="N547" s="119"/>
    </row>
    <row r="548" spans="13:14" s="120" customFormat="1" x14ac:dyDescent="0.2">
      <c r="M548" s="119"/>
      <c r="N548" s="119"/>
    </row>
    <row r="549" spans="13:14" s="120" customFormat="1" x14ac:dyDescent="0.2">
      <c r="M549" s="119"/>
      <c r="N549" s="119"/>
    </row>
    <row r="550" spans="13:14" s="120" customFormat="1" x14ac:dyDescent="0.2">
      <c r="M550" s="119"/>
      <c r="N550" s="119"/>
    </row>
    <row r="551" spans="13:14" s="120" customFormat="1" x14ac:dyDescent="0.2">
      <c r="M551" s="119"/>
      <c r="N551" s="119"/>
    </row>
    <row r="552" spans="13:14" s="120" customFormat="1" x14ac:dyDescent="0.2">
      <c r="M552" s="119"/>
      <c r="N552" s="119"/>
    </row>
    <row r="553" spans="13:14" s="120" customFormat="1" x14ac:dyDescent="0.2">
      <c r="M553" s="119"/>
      <c r="N553" s="119"/>
    </row>
    <row r="554" spans="13:14" s="120" customFormat="1" x14ac:dyDescent="0.2">
      <c r="M554" s="119"/>
      <c r="N554" s="119"/>
    </row>
    <row r="555" spans="13:14" s="120" customFormat="1" x14ac:dyDescent="0.2">
      <c r="M555" s="119"/>
      <c r="N555" s="119"/>
    </row>
    <row r="556" spans="13:14" s="120" customFormat="1" x14ac:dyDescent="0.2">
      <c r="M556" s="119"/>
      <c r="N556" s="119"/>
    </row>
    <row r="557" spans="13:14" s="120" customFormat="1" x14ac:dyDescent="0.2">
      <c r="M557" s="119"/>
      <c r="N557" s="119"/>
    </row>
    <row r="558" spans="13:14" s="120" customFormat="1" x14ac:dyDescent="0.2">
      <c r="M558" s="119"/>
      <c r="N558" s="119"/>
    </row>
    <row r="559" spans="13:14" s="120" customFormat="1" x14ac:dyDescent="0.2">
      <c r="M559" s="119"/>
      <c r="N559" s="119"/>
    </row>
    <row r="560" spans="13:14" s="120" customFormat="1" x14ac:dyDescent="0.2">
      <c r="M560" s="119"/>
      <c r="N560" s="119"/>
    </row>
    <row r="561" spans="13:14" s="120" customFormat="1" x14ac:dyDescent="0.2">
      <c r="M561" s="119"/>
      <c r="N561" s="119"/>
    </row>
    <row r="562" spans="13:14" s="120" customFormat="1" x14ac:dyDescent="0.2">
      <c r="M562" s="119"/>
      <c r="N562" s="119"/>
    </row>
    <row r="563" spans="13:14" s="120" customFormat="1" x14ac:dyDescent="0.2">
      <c r="M563" s="119"/>
      <c r="N563" s="119"/>
    </row>
    <row r="564" spans="13:14" s="120" customFormat="1" x14ac:dyDescent="0.2">
      <c r="M564" s="119"/>
      <c r="N564" s="119"/>
    </row>
    <row r="565" spans="13:14" s="120" customFormat="1" x14ac:dyDescent="0.2">
      <c r="M565" s="119"/>
      <c r="N565" s="119"/>
    </row>
    <row r="566" spans="13:14" s="120" customFormat="1" x14ac:dyDescent="0.2">
      <c r="M566" s="119"/>
      <c r="N566" s="119"/>
    </row>
    <row r="567" spans="13:14" s="120" customFormat="1" x14ac:dyDescent="0.2">
      <c r="M567" s="119"/>
      <c r="N567" s="119"/>
    </row>
    <row r="568" spans="13:14" s="120" customFormat="1" x14ac:dyDescent="0.2">
      <c r="M568" s="119"/>
      <c r="N568" s="119"/>
    </row>
    <row r="569" spans="13:14" s="120" customFormat="1" x14ac:dyDescent="0.2">
      <c r="M569" s="119"/>
      <c r="N569" s="119"/>
    </row>
    <row r="570" spans="13:14" s="120" customFormat="1" x14ac:dyDescent="0.2">
      <c r="M570" s="119"/>
      <c r="N570" s="119"/>
    </row>
    <row r="571" spans="13:14" s="120" customFormat="1" x14ac:dyDescent="0.2">
      <c r="M571" s="119"/>
      <c r="N571" s="119"/>
    </row>
    <row r="572" spans="13:14" s="120" customFormat="1" x14ac:dyDescent="0.2">
      <c r="M572" s="119"/>
      <c r="N572" s="119"/>
    </row>
    <row r="573" spans="13:14" s="120" customFormat="1" x14ac:dyDescent="0.2">
      <c r="M573" s="119"/>
      <c r="N573" s="119"/>
    </row>
    <row r="574" spans="13:14" s="120" customFormat="1" x14ac:dyDescent="0.2">
      <c r="M574" s="119"/>
      <c r="N574" s="119"/>
    </row>
    <row r="575" spans="13:14" s="120" customFormat="1" x14ac:dyDescent="0.2">
      <c r="M575" s="119"/>
      <c r="N575" s="119"/>
    </row>
    <row r="576" spans="13:14" s="120" customFormat="1" x14ac:dyDescent="0.2">
      <c r="M576" s="119"/>
      <c r="N576" s="119"/>
    </row>
    <row r="577" spans="13:14" s="120" customFormat="1" x14ac:dyDescent="0.2">
      <c r="M577" s="119"/>
      <c r="N577" s="119"/>
    </row>
    <row r="578" spans="13:14" s="120" customFormat="1" x14ac:dyDescent="0.2">
      <c r="M578" s="119"/>
      <c r="N578" s="119"/>
    </row>
    <row r="579" spans="13:14" s="120" customFormat="1" x14ac:dyDescent="0.2">
      <c r="M579" s="119"/>
      <c r="N579" s="119"/>
    </row>
    <row r="580" spans="13:14" s="120" customFormat="1" x14ac:dyDescent="0.2">
      <c r="M580" s="119"/>
      <c r="N580" s="119"/>
    </row>
    <row r="581" spans="13:14" s="120" customFormat="1" x14ac:dyDescent="0.2">
      <c r="M581" s="119"/>
      <c r="N581" s="119"/>
    </row>
    <row r="582" spans="13:14" s="120" customFormat="1" x14ac:dyDescent="0.2">
      <c r="M582" s="119"/>
      <c r="N582" s="119"/>
    </row>
    <row r="583" spans="13:14" s="120" customFormat="1" x14ac:dyDescent="0.2">
      <c r="M583" s="119"/>
      <c r="N583" s="119"/>
    </row>
    <row r="584" spans="13:14" s="120" customFormat="1" x14ac:dyDescent="0.2">
      <c r="M584" s="119"/>
      <c r="N584" s="119"/>
    </row>
    <row r="585" spans="13:14" s="120" customFormat="1" x14ac:dyDescent="0.2">
      <c r="M585" s="119"/>
      <c r="N585" s="119"/>
    </row>
    <row r="586" spans="13:14" s="120" customFormat="1" x14ac:dyDescent="0.2">
      <c r="M586" s="119"/>
      <c r="N586" s="119"/>
    </row>
    <row r="587" spans="13:14" s="120" customFormat="1" x14ac:dyDescent="0.2">
      <c r="M587" s="119"/>
      <c r="N587" s="119"/>
    </row>
    <row r="588" spans="13:14" s="120" customFormat="1" x14ac:dyDescent="0.2">
      <c r="M588" s="119"/>
      <c r="N588" s="119"/>
    </row>
    <row r="589" spans="13:14" s="120" customFormat="1" x14ac:dyDescent="0.2">
      <c r="M589" s="119"/>
      <c r="N589" s="119"/>
    </row>
    <row r="590" spans="13:14" s="120" customFormat="1" x14ac:dyDescent="0.2">
      <c r="M590" s="119"/>
      <c r="N590" s="119"/>
    </row>
    <row r="591" spans="13:14" s="120" customFormat="1" x14ac:dyDescent="0.2">
      <c r="M591" s="119"/>
      <c r="N591" s="119"/>
    </row>
    <row r="592" spans="13:14" s="120" customFormat="1" x14ac:dyDescent="0.2">
      <c r="M592" s="119"/>
      <c r="N592" s="119"/>
    </row>
    <row r="593" spans="13:14" s="120" customFormat="1" x14ac:dyDescent="0.2">
      <c r="M593" s="119"/>
      <c r="N593" s="119"/>
    </row>
    <row r="594" spans="13:14" s="120" customFormat="1" x14ac:dyDescent="0.2">
      <c r="M594" s="119"/>
      <c r="N594" s="119"/>
    </row>
    <row r="595" spans="13:14" s="120" customFormat="1" x14ac:dyDescent="0.2">
      <c r="M595" s="119"/>
      <c r="N595" s="119"/>
    </row>
    <row r="596" spans="13:14" s="120" customFormat="1" x14ac:dyDescent="0.2">
      <c r="M596" s="119"/>
      <c r="N596" s="119"/>
    </row>
    <row r="597" spans="13:14" s="120" customFormat="1" x14ac:dyDescent="0.2">
      <c r="M597" s="119"/>
      <c r="N597" s="119"/>
    </row>
    <row r="598" spans="13:14" s="120" customFormat="1" x14ac:dyDescent="0.2">
      <c r="M598" s="119"/>
      <c r="N598" s="119"/>
    </row>
    <row r="599" spans="13:14" s="120" customFormat="1" x14ac:dyDescent="0.2">
      <c r="M599" s="119"/>
      <c r="N599" s="119"/>
    </row>
    <row r="600" spans="13:14" s="120" customFormat="1" x14ac:dyDescent="0.2">
      <c r="M600" s="119"/>
      <c r="N600" s="119"/>
    </row>
    <row r="601" spans="13:14" s="120" customFormat="1" x14ac:dyDescent="0.2">
      <c r="M601" s="119"/>
      <c r="N601" s="119"/>
    </row>
    <row r="602" spans="13:14" s="120" customFormat="1" x14ac:dyDescent="0.2">
      <c r="M602" s="119"/>
      <c r="N602" s="119"/>
    </row>
    <row r="603" spans="13:14" s="120" customFormat="1" x14ac:dyDescent="0.2">
      <c r="M603" s="119"/>
      <c r="N603" s="119"/>
    </row>
    <row r="604" spans="13:14" s="120" customFormat="1" x14ac:dyDescent="0.2">
      <c r="M604" s="119"/>
      <c r="N604" s="119"/>
    </row>
    <row r="605" spans="13:14" s="120" customFormat="1" x14ac:dyDescent="0.2">
      <c r="M605" s="119"/>
      <c r="N605" s="119"/>
    </row>
    <row r="606" spans="13:14" s="120" customFormat="1" x14ac:dyDescent="0.2">
      <c r="M606" s="119"/>
      <c r="N606" s="119"/>
    </row>
    <row r="607" spans="13:14" s="120" customFormat="1" x14ac:dyDescent="0.2">
      <c r="M607" s="119"/>
      <c r="N607" s="119"/>
    </row>
    <row r="608" spans="13:14" s="120" customFormat="1" x14ac:dyDescent="0.2">
      <c r="M608" s="119"/>
      <c r="N608" s="119"/>
    </row>
    <row r="609" spans="13:14" s="120" customFormat="1" x14ac:dyDescent="0.2">
      <c r="M609" s="119"/>
      <c r="N609" s="119"/>
    </row>
    <row r="610" spans="13:14" s="120" customFormat="1" x14ac:dyDescent="0.2">
      <c r="M610" s="119"/>
      <c r="N610" s="119"/>
    </row>
    <row r="611" spans="13:14" s="120" customFormat="1" x14ac:dyDescent="0.2">
      <c r="M611" s="119"/>
      <c r="N611" s="119"/>
    </row>
    <row r="612" spans="13:14" s="120" customFormat="1" x14ac:dyDescent="0.2">
      <c r="M612" s="119"/>
      <c r="N612" s="119"/>
    </row>
    <row r="613" spans="13:14" s="120" customFormat="1" x14ac:dyDescent="0.2">
      <c r="M613" s="119"/>
      <c r="N613" s="119"/>
    </row>
    <row r="614" spans="13:14" s="120" customFormat="1" x14ac:dyDescent="0.2">
      <c r="M614" s="119"/>
      <c r="N614" s="119"/>
    </row>
    <row r="615" spans="13:14" s="120" customFormat="1" x14ac:dyDescent="0.2">
      <c r="M615" s="119"/>
      <c r="N615" s="119"/>
    </row>
    <row r="616" spans="13:14" s="120" customFormat="1" x14ac:dyDescent="0.2">
      <c r="M616" s="119"/>
      <c r="N616" s="119"/>
    </row>
    <row r="617" spans="13:14" s="120" customFormat="1" x14ac:dyDescent="0.2">
      <c r="M617" s="119"/>
      <c r="N617" s="119"/>
    </row>
    <row r="618" spans="13:14" s="120" customFormat="1" x14ac:dyDescent="0.2">
      <c r="M618" s="119"/>
      <c r="N618" s="119"/>
    </row>
    <row r="619" spans="13:14" s="120" customFormat="1" x14ac:dyDescent="0.2">
      <c r="M619" s="119"/>
      <c r="N619" s="119"/>
    </row>
    <row r="620" spans="13:14" s="120" customFormat="1" x14ac:dyDescent="0.2">
      <c r="M620" s="119"/>
      <c r="N620" s="119"/>
    </row>
    <row r="621" spans="13:14" s="120" customFormat="1" x14ac:dyDescent="0.2">
      <c r="M621" s="119"/>
      <c r="N621" s="119"/>
    </row>
    <row r="622" spans="13:14" s="120" customFormat="1" x14ac:dyDescent="0.2">
      <c r="M622" s="119"/>
      <c r="N622" s="119"/>
    </row>
    <row r="623" spans="13:14" s="120" customFormat="1" x14ac:dyDescent="0.2">
      <c r="M623" s="119"/>
      <c r="N623" s="119"/>
    </row>
    <row r="624" spans="13:14" s="120" customFormat="1" x14ac:dyDescent="0.2">
      <c r="M624" s="119"/>
      <c r="N624" s="119"/>
    </row>
    <row r="625" spans="13:14" s="120" customFormat="1" x14ac:dyDescent="0.2">
      <c r="M625" s="119"/>
      <c r="N625" s="119"/>
    </row>
    <row r="626" spans="13:14" s="120" customFormat="1" x14ac:dyDescent="0.2">
      <c r="M626" s="119"/>
      <c r="N626" s="119"/>
    </row>
    <row r="627" spans="13:14" s="120" customFormat="1" x14ac:dyDescent="0.2">
      <c r="M627" s="119"/>
      <c r="N627" s="119"/>
    </row>
    <row r="628" spans="13:14" s="120" customFormat="1" x14ac:dyDescent="0.2">
      <c r="M628" s="119"/>
      <c r="N628" s="119"/>
    </row>
    <row r="629" spans="13:14" s="120" customFormat="1" x14ac:dyDescent="0.2">
      <c r="M629" s="119"/>
      <c r="N629" s="119"/>
    </row>
    <row r="630" spans="13:14" s="120" customFormat="1" x14ac:dyDescent="0.2">
      <c r="M630" s="119"/>
      <c r="N630" s="119"/>
    </row>
    <row r="631" spans="13:14" s="120" customFormat="1" x14ac:dyDescent="0.2">
      <c r="M631" s="119"/>
      <c r="N631" s="119"/>
    </row>
    <row r="632" spans="13:14" s="120" customFormat="1" x14ac:dyDescent="0.2">
      <c r="M632" s="119"/>
      <c r="N632" s="119"/>
    </row>
    <row r="633" spans="13:14" s="120" customFormat="1" x14ac:dyDescent="0.2">
      <c r="M633" s="119"/>
      <c r="N633" s="119"/>
    </row>
    <row r="634" spans="13:14" s="120" customFormat="1" x14ac:dyDescent="0.2">
      <c r="M634" s="119"/>
      <c r="N634" s="119"/>
    </row>
    <row r="635" spans="13:14" s="120" customFormat="1" x14ac:dyDescent="0.2">
      <c r="M635" s="119"/>
      <c r="N635" s="119"/>
    </row>
    <row r="636" spans="13:14" s="120" customFormat="1" x14ac:dyDescent="0.2">
      <c r="M636" s="119"/>
      <c r="N636" s="119"/>
    </row>
    <row r="637" spans="13:14" s="120" customFormat="1" x14ac:dyDescent="0.2">
      <c r="M637" s="119"/>
      <c r="N637" s="119"/>
    </row>
    <row r="638" spans="13:14" s="120" customFormat="1" x14ac:dyDescent="0.2">
      <c r="M638" s="119"/>
      <c r="N638" s="119"/>
    </row>
    <row r="639" spans="13:14" s="120" customFormat="1" x14ac:dyDescent="0.2">
      <c r="M639" s="119"/>
      <c r="N639" s="119"/>
    </row>
    <row r="640" spans="13:14" s="120" customFormat="1" x14ac:dyDescent="0.2">
      <c r="M640" s="119"/>
      <c r="N640" s="119"/>
    </row>
    <row r="641" spans="13:14" s="120" customFormat="1" x14ac:dyDescent="0.2">
      <c r="M641" s="119"/>
      <c r="N641" s="119"/>
    </row>
    <row r="642" spans="13:14" s="120" customFormat="1" x14ac:dyDescent="0.2">
      <c r="M642" s="119"/>
      <c r="N642" s="119"/>
    </row>
    <row r="643" spans="13:14" s="120" customFormat="1" x14ac:dyDescent="0.2">
      <c r="M643" s="119"/>
      <c r="N643" s="119"/>
    </row>
    <row r="644" spans="13:14" s="120" customFormat="1" x14ac:dyDescent="0.2">
      <c r="M644" s="119"/>
      <c r="N644" s="119"/>
    </row>
    <row r="645" spans="13:14" s="120" customFormat="1" x14ac:dyDescent="0.2">
      <c r="M645" s="119"/>
      <c r="N645" s="119"/>
    </row>
    <row r="646" spans="13:14" s="120" customFormat="1" x14ac:dyDescent="0.2">
      <c r="M646" s="119"/>
      <c r="N646" s="119"/>
    </row>
    <row r="647" spans="13:14" s="120" customFormat="1" x14ac:dyDescent="0.2">
      <c r="M647" s="119"/>
      <c r="N647" s="119"/>
    </row>
    <row r="648" spans="13:14" s="120" customFormat="1" x14ac:dyDescent="0.2">
      <c r="M648" s="119"/>
      <c r="N648" s="119"/>
    </row>
    <row r="649" spans="13:14" s="120" customFormat="1" x14ac:dyDescent="0.2">
      <c r="M649" s="119"/>
      <c r="N649" s="119"/>
    </row>
    <row r="650" spans="13:14" s="120" customFormat="1" x14ac:dyDescent="0.2">
      <c r="M650" s="119"/>
      <c r="N650" s="119"/>
    </row>
    <row r="651" spans="13:14" s="120" customFormat="1" x14ac:dyDescent="0.2">
      <c r="M651" s="119"/>
      <c r="N651" s="119"/>
    </row>
    <row r="652" spans="13:14" s="120" customFormat="1" x14ac:dyDescent="0.2">
      <c r="M652" s="119"/>
      <c r="N652" s="119"/>
    </row>
    <row r="653" spans="13:14" s="120" customFormat="1" x14ac:dyDescent="0.2">
      <c r="M653" s="119"/>
      <c r="N653" s="119"/>
    </row>
    <row r="654" spans="13:14" s="120" customFormat="1" x14ac:dyDescent="0.2">
      <c r="M654" s="119"/>
      <c r="N654" s="119"/>
    </row>
    <row r="655" spans="13:14" s="120" customFormat="1" x14ac:dyDescent="0.2">
      <c r="M655" s="119"/>
      <c r="N655" s="119"/>
    </row>
    <row r="656" spans="13:14" s="120" customFormat="1" x14ac:dyDescent="0.2">
      <c r="M656" s="119"/>
      <c r="N656" s="119"/>
    </row>
    <row r="657" spans="13:14" s="120" customFormat="1" x14ac:dyDescent="0.2">
      <c r="M657" s="119"/>
      <c r="N657" s="119"/>
    </row>
    <row r="658" spans="13:14" s="120" customFormat="1" x14ac:dyDescent="0.2">
      <c r="M658" s="119"/>
      <c r="N658" s="119"/>
    </row>
    <row r="659" spans="13:14" s="120" customFormat="1" x14ac:dyDescent="0.2">
      <c r="M659" s="119"/>
      <c r="N659" s="119"/>
    </row>
    <row r="660" spans="13:14" s="120" customFormat="1" x14ac:dyDescent="0.2">
      <c r="M660" s="119"/>
      <c r="N660" s="119"/>
    </row>
    <row r="661" spans="13:14" s="120" customFormat="1" x14ac:dyDescent="0.2">
      <c r="M661" s="119"/>
      <c r="N661" s="119"/>
    </row>
    <row r="662" spans="13:14" s="120" customFormat="1" x14ac:dyDescent="0.2">
      <c r="M662" s="119"/>
      <c r="N662" s="119"/>
    </row>
    <row r="663" spans="13:14" s="120" customFormat="1" x14ac:dyDescent="0.2">
      <c r="M663" s="119"/>
      <c r="N663" s="119"/>
    </row>
    <row r="664" spans="13:14" s="120" customFormat="1" x14ac:dyDescent="0.2">
      <c r="M664" s="119"/>
      <c r="N664" s="119"/>
    </row>
    <row r="665" spans="13:14" s="120" customFormat="1" x14ac:dyDescent="0.2">
      <c r="M665" s="119"/>
      <c r="N665" s="119"/>
    </row>
    <row r="666" spans="13:14" s="120" customFormat="1" x14ac:dyDescent="0.2">
      <c r="M666" s="119"/>
      <c r="N666" s="119"/>
    </row>
    <row r="667" spans="13:14" s="120" customFormat="1" x14ac:dyDescent="0.2">
      <c r="M667" s="119"/>
      <c r="N667" s="119"/>
    </row>
    <row r="668" spans="13:14" s="120" customFormat="1" x14ac:dyDescent="0.2">
      <c r="M668" s="119"/>
      <c r="N668" s="119"/>
    </row>
    <row r="669" spans="13:14" s="120" customFormat="1" x14ac:dyDescent="0.2">
      <c r="M669" s="119"/>
      <c r="N669" s="119"/>
    </row>
    <row r="670" spans="13:14" s="120" customFormat="1" x14ac:dyDescent="0.2">
      <c r="M670" s="119"/>
      <c r="N670" s="119"/>
    </row>
    <row r="671" spans="13:14" s="120" customFormat="1" x14ac:dyDescent="0.2">
      <c r="M671" s="119"/>
      <c r="N671" s="119"/>
    </row>
    <row r="672" spans="13:14" s="120" customFormat="1" x14ac:dyDescent="0.2">
      <c r="M672" s="119"/>
      <c r="N672" s="119"/>
    </row>
    <row r="673" spans="13:14" s="120" customFormat="1" x14ac:dyDescent="0.2">
      <c r="M673" s="119"/>
      <c r="N673" s="119"/>
    </row>
    <row r="674" spans="13:14" s="120" customFormat="1" x14ac:dyDescent="0.2">
      <c r="M674" s="119"/>
      <c r="N674" s="119"/>
    </row>
    <row r="675" spans="13:14" s="120" customFormat="1" x14ac:dyDescent="0.2">
      <c r="M675" s="119"/>
      <c r="N675" s="119"/>
    </row>
    <row r="676" spans="13:14" s="120" customFormat="1" x14ac:dyDescent="0.2">
      <c r="M676" s="119"/>
      <c r="N676" s="119"/>
    </row>
    <row r="677" spans="13:14" s="120" customFormat="1" x14ac:dyDescent="0.2">
      <c r="M677" s="119"/>
      <c r="N677" s="119"/>
    </row>
    <row r="678" spans="13:14" s="120" customFormat="1" x14ac:dyDescent="0.2">
      <c r="M678" s="119"/>
      <c r="N678" s="119"/>
    </row>
    <row r="679" spans="13:14" s="120" customFormat="1" x14ac:dyDescent="0.2">
      <c r="M679" s="119"/>
      <c r="N679" s="119"/>
    </row>
    <row r="680" spans="13:14" s="120" customFormat="1" x14ac:dyDescent="0.2">
      <c r="M680" s="119"/>
      <c r="N680" s="119"/>
    </row>
    <row r="681" spans="13:14" s="120" customFormat="1" x14ac:dyDescent="0.2">
      <c r="M681" s="119"/>
      <c r="N681" s="119"/>
    </row>
    <row r="682" spans="13:14" s="120" customFormat="1" x14ac:dyDescent="0.2">
      <c r="M682" s="119"/>
      <c r="N682" s="119"/>
    </row>
    <row r="683" spans="13:14" s="120" customFormat="1" x14ac:dyDescent="0.2">
      <c r="M683" s="119"/>
      <c r="N683" s="119"/>
    </row>
    <row r="684" spans="13:14" s="120" customFormat="1" x14ac:dyDescent="0.2">
      <c r="M684" s="119"/>
      <c r="N684" s="119"/>
    </row>
    <row r="685" spans="13:14" s="120" customFormat="1" x14ac:dyDescent="0.2">
      <c r="M685" s="119"/>
      <c r="N685" s="119"/>
    </row>
    <row r="686" spans="13:14" s="120" customFormat="1" x14ac:dyDescent="0.2">
      <c r="M686" s="119"/>
      <c r="N686" s="119"/>
    </row>
    <row r="687" spans="13:14" s="120" customFormat="1" x14ac:dyDescent="0.2">
      <c r="M687" s="119"/>
      <c r="N687" s="119"/>
    </row>
    <row r="688" spans="13:14" s="120" customFormat="1" x14ac:dyDescent="0.2">
      <c r="M688" s="119"/>
      <c r="N688" s="119"/>
    </row>
    <row r="689" spans="13:14" s="120" customFormat="1" x14ac:dyDescent="0.2">
      <c r="M689" s="119"/>
      <c r="N689" s="119"/>
    </row>
    <row r="690" spans="13:14" s="120" customFormat="1" x14ac:dyDescent="0.2">
      <c r="M690" s="119"/>
      <c r="N690" s="119"/>
    </row>
    <row r="691" spans="13:14" s="120" customFormat="1" x14ac:dyDescent="0.2">
      <c r="M691" s="119"/>
      <c r="N691" s="119"/>
    </row>
    <row r="692" spans="13:14" s="120" customFormat="1" x14ac:dyDescent="0.2">
      <c r="M692" s="119"/>
      <c r="N692" s="119"/>
    </row>
    <row r="693" spans="13:14" s="120" customFormat="1" x14ac:dyDescent="0.2">
      <c r="M693" s="119"/>
      <c r="N693" s="119"/>
    </row>
    <row r="694" spans="13:14" s="120" customFormat="1" x14ac:dyDescent="0.2">
      <c r="M694" s="119"/>
      <c r="N694" s="119"/>
    </row>
    <row r="695" spans="13:14" s="120" customFormat="1" x14ac:dyDescent="0.2">
      <c r="M695" s="119"/>
      <c r="N695" s="119"/>
    </row>
    <row r="696" spans="13:14" s="120" customFormat="1" x14ac:dyDescent="0.2">
      <c r="M696" s="119"/>
      <c r="N696" s="119"/>
    </row>
    <row r="697" spans="13:14" s="120" customFormat="1" x14ac:dyDescent="0.2">
      <c r="M697" s="119"/>
      <c r="N697" s="119"/>
    </row>
    <row r="698" spans="13:14" s="120" customFormat="1" x14ac:dyDescent="0.2">
      <c r="M698" s="119"/>
      <c r="N698" s="119"/>
    </row>
    <row r="699" spans="13:14" s="120" customFormat="1" x14ac:dyDescent="0.2">
      <c r="M699" s="119"/>
      <c r="N699" s="119"/>
    </row>
    <row r="700" spans="13:14" s="120" customFormat="1" x14ac:dyDescent="0.2">
      <c r="M700" s="119"/>
      <c r="N700" s="119"/>
    </row>
    <row r="701" spans="13:14" s="120" customFormat="1" x14ac:dyDescent="0.2">
      <c r="M701" s="119"/>
      <c r="N701" s="119"/>
    </row>
    <row r="702" spans="13:14" s="120" customFormat="1" x14ac:dyDescent="0.2">
      <c r="M702" s="119"/>
      <c r="N702" s="119"/>
    </row>
    <row r="703" spans="13:14" s="120" customFormat="1" x14ac:dyDescent="0.2">
      <c r="M703" s="119"/>
      <c r="N703" s="119"/>
    </row>
    <row r="704" spans="13:14" s="120" customFormat="1" x14ac:dyDescent="0.2">
      <c r="M704" s="119"/>
      <c r="N704" s="119"/>
    </row>
    <row r="705" spans="13:14" s="120" customFormat="1" x14ac:dyDescent="0.2">
      <c r="M705" s="119"/>
      <c r="N705" s="119"/>
    </row>
    <row r="706" spans="13:14" s="120" customFormat="1" x14ac:dyDescent="0.2">
      <c r="M706" s="119"/>
      <c r="N706" s="119"/>
    </row>
    <row r="707" spans="13:14" s="120" customFormat="1" x14ac:dyDescent="0.2">
      <c r="M707" s="119"/>
      <c r="N707" s="119"/>
    </row>
    <row r="708" spans="13:14" s="120" customFormat="1" x14ac:dyDescent="0.2">
      <c r="M708" s="119"/>
      <c r="N708" s="119"/>
    </row>
    <row r="709" spans="13:14" s="120" customFormat="1" x14ac:dyDescent="0.2">
      <c r="M709" s="119"/>
      <c r="N709" s="119"/>
    </row>
    <row r="710" spans="13:14" s="120" customFormat="1" x14ac:dyDescent="0.2">
      <c r="M710" s="119"/>
      <c r="N710" s="119"/>
    </row>
    <row r="711" spans="13:14" s="120" customFormat="1" x14ac:dyDescent="0.2">
      <c r="M711" s="119"/>
      <c r="N711" s="119"/>
    </row>
    <row r="712" spans="13:14" s="120" customFormat="1" x14ac:dyDescent="0.2">
      <c r="M712" s="119"/>
      <c r="N712" s="119"/>
    </row>
    <row r="713" spans="13:14" s="120" customFormat="1" x14ac:dyDescent="0.2">
      <c r="M713" s="119"/>
      <c r="N713" s="119"/>
    </row>
    <row r="714" spans="13:14" s="120" customFormat="1" x14ac:dyDescent="0.2">
      <c r="M714" s="119"/>
      <c r="N714" s="119"/>
    </row>
    <row r="715" spans="13:14" s="120" customFormat="1" x14ac:dyDescent="0.2">
      <c r="M715" s="119"/>
      <c r="N715" s="119"/>
    </row>
    <row r="716" spans="13:14" s="120" customFormat="1" x14ac:dyDescent="0.2">
      <c r="M716" s="119"/>
      <c r="N716" s="119"/>
    </row>
    <row r="717" spans="13:14" s="120" customFormat="1" x14ac:dyDescent="0.2">
      <c r="M717" s="119"/>
      <c r="N717" s="119"/>
    </row>
    <row r="718" spans="13:14" s="120" customFormat="1" x14ac:dyDescent="0.2">
      <c r="M718" s="119"/>
      <c r="N718" s="119"/>
    </row>
    <row r="719" spans="13:14" s="120" customFormat="1" x14ac:dyDescent="0.2">
      <c r="M719" s="119"/>
      <c r="N719" s="119"/>
    </row>
    <row r="720" spans="13:14" s="120" customFormat="1" x14ac:dyDescent="0.2">
      <c r="M720" s="119"/>
      <c r="N720" s="119"/>
    </row>
    <row r="721" spans="13:14" s="120" customFormat="1" x14ac:dyDescent="0.2">
      <c r="M721" s="119"/>
      <c r="N721" s="119"/>
    </row>
    <row r="722" spans="13:14" s="120" customFormat="1" x14ac:dyDescent="0.2">
      <c r="M722" s="119"/>
      <c r="N722" s="119"/>
    </row>
    <row r="723" spans="13:14" s="120" customFormat="1" x14ac:dyDescent="0.2">
      <c r="M723" s="119"/>
      <c r="N723" s="119"/>
    </row>
    <row r="724" spans="13:14" s="120" customFormat="1" x14ac:dyDescent="0.2">
      <c r="M724" s="119"/>
      <c r="N724" s="119"/>
    </row>
    <row r="725" spans="13:14" s="120" customFormat="1" x14ac:dyDescent="0.2">
      <c r="M725" s="119"/>
      <c r="N725" s="119"/>
    </row>
    <row r="726" spans="13:14" s="120" customFormat="1" x14ac:dyDescent="0.2">
      <c r="M726" s="119"/>
      <c r="N726" s="119"/>
    </row>
    <row r="727" spans="13:14" s="120" customFormat="1" x14ac:dyDescent="0.2">
      <c r="M727" s="119"/>
      <c r="N727" s="119"/>
    </row>
    <row r="728" spans="13:14" s="120" customFormat="1" x14ac:dyDescent="0.2">
      <c r="M728" s="119"/>
      <c r="N728" s="119"/>
    </row>
    <row r="729" spans="13:14" s="120" customFormat="1" x14ac:dyDescent="0.2">
      <c r="M729" s="119"/>
      <c r="N729" s="119"/>
    </row>
    <row r="730" spans="13:14" s="120" customFormat="1" x14ac:dyDescent="0.2">
      <c r="M730" s="119"/>
      <c r="N730" s="119"/>
    </row>
    <row r="731" spans="13:14" s="120" customFormat="1" x14ac:dyDescent="0.2">
      <c r="M731" s="119"/>
      <c r="N731" s="119"/>
    </row>
    <row r="732" spans="13:14" s="120" customFormat="1" x14ac:dyDescent="0.2">
      <c r="M732" s="119"/>
      <c r="N732" s="119"/>
    </row>
    <row r="733" spans="13:14" s="120" customFormat="1" x14ac:dyDescent="0.2">
      <c r="M733" s="119"/>
      <c r="N733" s="119"/>
    </row>
    <row r="734" spans="13:14" s="120" customFormat="1" x14ac:dyDescent="0.2">
      <c r="M734" s="119"/>
      <c r="N734" s="119"/>
    </row>
    <row r="735" spans="13:14" s="120" customFormat="1" x14ac:dyDescent="0.2">
      <c r="M735" s="119"/>
      <c r="N735" s="119"/>
    </row>
    <row r="736" spans="13:14" s="120" customFormat="1" x14ac:dyDescent="0.2">
      <c r="M736" s="119"/>
      <c r="N736" s="119"/>
    </row>
    <row r="737" spans="13:14" s="120" customFormat="1" x14ac:dyDescent="0.2">
      <c r="M737" s="119"/>
      <c r="N737" s="119"/>
    </row>
    <row r="738" spans="13:14" s="120" customFormat="1" x14ac:dyDescent="0.2">
      <c r="M738" s="119"/>
      <c r="N738" s="119"/>
    </row>
    <row r="739" spans="13:14" s="120" customFormat="1" x14ac:dyDescent="0.2">
      <c r="M739" s="119"/>
      <c r="N739" s="119"/>
    </row>
    <row r="740" spans="13:14" s="120" customFormat="1" x14ac:dyDescent="0.2">
      <c r="M740" s="119"/>
      <c r="N740" s="119"/>
    </row>
    <row r="741" spans="13:14" s="120" customFormat="1" x14ac:dyDescent="0.2">
      <c r="M741" s="119"/>
      <c r="N741" s="119"/>
    </row>
    <row r="742" spans="13:14" s="120" customFormat="1" x14ac:dyDescent="0.2">
      <c r="M742" s="119"/>
      <c r="N742" s="119"/>
    </row>
    <row r="743" spans="13:14" s="120" customFormat="1" x14ac:dyDescent="0.2">
      <c r="M743" s="119"/>
      <c r="N743" s="119"/>
    </row>
    <row r="744" spans="13:14" s="120" customFormat="1" x14ac:dyDescent="0.2">
      <c r="M744" s="119"/>
      <c r="N744" s="119"/>
    </row>
    <row r="745" spans="13:14" s="120" customFormat="1" x14ac:dyDescent="0.2">
      <c r="M745" s="119"/>
      <c r="N745" s="119"/>
    </row>
    <row r="746" spans="13:14" s="120" customFormat="1" x14ac:dyDescent="0.2">
      <c r="M746" s="119"/>
      <c r="N746" s="119"/>
    </row>
    <row r="747" spans="13:14" s="120" customFormat="1" x14ac:dyDescent="0.2">
      <c r="M747" s="119"/>
      <c r="N747" s="119"/>
    </row>
    <row r="748" spans="13:14" s="120" customFormat="1" x14ac:dyDescent="0.2">
      <c r="M748" s="119"/>
      <c r="N748" s="119"/>
    </row>
    <row r="749" spans="13:14" s="120" customFormat="1" x14ac:dyDescent="0.2">
      <c r="M749" s="119"/>
      <c r="N749" s="119"/>
    </row>
    <row r="750" spans="13:14" s="120" customFormat="1" x14ac:dyDescent="0.2">
      <c r="M750" s="119"/>
      <c r="N750" s="119"/>
    </row>
    <row r="751" spans="13:14" s="120" customFormat="1" x14ac:dyDescent="0.2">
      <c r="M751" s="119"/>
      <c r="N751" s="119"/>
    </row>
    <row r="752" spans="13:14" s="120" customFormat="1" x14ac:dyDescent="0.2">
      <c r="M752" s="119"/>
      <c r="N752" s="119"/>
    </row>
    <row r="753" spans="13:14" s="120" customFormat="1" x14ac:dyDescent="0.2">
      <c r="M753" s="119"/>
      <c r="N753" s="119"/>
    </row>
    <row r="754" spans="13:14" s="120" customFormat="1" x14ac:dyDescent="0.2">
      <c r="M754" s="119"/>
      <c r="N754" s="119"/>
    </row>
    <row r="755" spans="13:14" s="120" customFormat="1" x14ac:dyDescent="0.2">
      <c r="M755" s="119"/>
      <c r="N755" s="119"/>
    </row>
    <row r="756" spans="13:14" s="120" customFormat="1" x14ac:dyDescent="0.2">
      <c r="M756" s="119"/>
      <c r="N756" s="119"/>
    </row>
    <row r="757" spans="13:14" s="120" customFormat="1" x14ac:dyDescent="0.2">
      <c r="M757" s="119"/>
      <c r="N757" s="119"/>
    </row>
    <row r="758" spans="13:14" s="120" customFormat="1" x14ac:dyDescent="0.2">
      <c r="M758" s="119"/>
      <c r="N758" s="119"/>
    </row>
    <row r="759" spans="13:14" s="120" customFormat="1" x14ac:dyDescent="0.2">
      <c r="M759" s="119"/>
      <c r="N759" s="119"/>
    </row>
    <row r="760" spans="13:14" s="120" customFormat="1" x14ac:dyDescent="0.2">
      <c r="M760" s="119"/>
      <c r="N760" s="119"/>
    </row>
    <row r="761" spans="13:14" s="120" customFormat="1" x14ac:dyDescent="0.2">
      <c r="M761" s="119"/>
      <c r="N761" s="119"/>
    </row>
    <row r="762" spans="13:14" s="120" customFormat="1" x14ac:dyDescent="0.2">
      <c r="M762" s="119"/>
      <c r="N762" s="119"/>
    </row>
    <row r="763" spans="13:14" s="120" customFormat="1" x14ac:dyDescent="0.2">
      <c r="M763" s="119"/>
      <c r="N763" s="119"/>
    </row>
    <row r="764" spans="13:14" s="120" customFormat="1" x14ac:dyDescent="0.2">
      <c r="M764" s="119"/>
      <c r="N764" s="119"/>
    </row>
    <row r="765" spans="13:14" s="120" customFormat="1" x14ac:dyDescent="0.2">
      <c r="M765" s="119"/>
      <c r="N765" s="119"/>
    </row>
    <row r="766" spans="13:14" s="120" customFormat="1" x14ac:dyDescent="0.2">
      <c r="M766" s="119"/>
      <c r="N766" s="119"/>
    </row>
    <row r="767" spans="13:14" s="120" customFormat="1" x14ac:dyDescent="0.2">
      <c r="M767" s="119"/>
      <c r="N767" s="119"/>
    </row>
    <row r="768" spans="13:14" s="120" customFormat="1" x14ac:dyDescent="0.2">
      <c r="M768" s="119"/>
      <c r="N768" s="119"/>
    </row>
    <row r="769" spans="13:14" s="120" customFormat="1" x14ac:dyDescent="0.2">
      <c r="M769" s="119"/>
      <c r="N769" s="119"/>
    </row>
    <row r="770" spans="13:14" s="120" customFormat="1" x14ac:dyDescent="0.2">
      <c r="M770" s="119"/>
      <c r="N770" s="119"/>
    </row>
    <row r="771" spans="13:14" s="120" customFormat="1" x14ac:dyDescent="0.2">
      <c r="M771" s="119"/>
      <c r="N771" s="119"/>
    </row>
    <row r="772" spans="13:14" s="120" customFormat="1" x14ac:dyDescent="0.2">
      <c r="M772" s="119"/>
      <c r="N772" s="119"/>
    </row>
    <row r="773" spans="13:14" s="120" customFormat="1" x14ac:dyDescent="0.2">
      <c r="M773" s="119"/>
      <c r="N773" s="119"/>
    </row>
    <row r="774" spans="13:14" s="120" customFormat="1" x14ac:dyDescent="0.2">
      <c r="M774" s="119"/>
      <c r="N774" s="119"/>
    </row>
    <row r="775" spans="13:14" s="120" customFormat="1" x14ac:dyDescent="0.2">
      <c r="M775" s="119"/>
      <c r="N775" s="119"/>
    </row>
    <row r="776" spans="13:14" s="120" customFormat="1" x14ac:dyDescent="0.2">
      <c r="M776" s="119"/>
      <c r="N776" s="119"/>
    </row>
    <row r="777" spans="13:14" s="120" customFormat="1" x14ac:dyDescent="0.2">
      <c r="M777" s="119"/>
      <c r="N777" s="119"/>
    </row>
    <row r="778" spans="13:14" s="120" customFormat="1" x14ac:dyDescent="0.2">
      <c r="M778" s="119"/>
      <c r="N778" s="119"/>
    </row>
    <row r="779" spans="13:14" s="120" customFormat="1" x14ac:dyDescent="0.2">
      <c r="M779" s="119"/>
      <c r="N779" s="119"/>
    </row>
    <row r="780" spans="13:14" s="120" customFormat="1" x14ac:dyDescent="0.2">
      <c r="M780" s="119"/>
      <c r="N780" s="119"/>
    </row>
    <row r="781" spans="13:14" s="120" customFormat="1" x14ac:dyDescent="0.2">
      <c r="M781" s="119"/>
      <c r="N781" s="119"/>
    </row>
    <row r="782" spans="13:14" s="120" customFormat="1" x14ac:dyDescent="0.2">
      <c r="M782" s="119"/>
      <c r="N782" s="119"/>
    </row>
    <row r="783" spans="13:14" s="120" customFormat="1" x14ac:dyDescent="0.2">
      <c r="M783" s="119"/>
      <c r="N783" s="119"/>
    </row>
    <row r="784" spans="13:14" s="120" customFormat="1" x14ac:dyDescent="0.2">
      <c r="M784" s="119"/>
      <c r="N784" s="119"/>
    </row>
    <row r="785" spans="13:14" s="120" customFormat="1" x14ac:dyDescent="0.2">
      <c r="M785" s="119"/>
      <c r="N785" s="119"/>
    </row>
    <row r="786" spans="13:14" s="120" customFormat="1" x14ac:dyDescent="0.2">
      <c r="M786" s="119"/>
      <c r="N786" s="119"/>
    </row>
    <row r="787" spans="13:14" s="120" customFormat="1" x14ac:dyDescent="0.2">
      <c r="M787" s="119"/>
      <c r="N787" s="119"/>
    </row>
    <row r="788" spans="13:14" s="120" customFormat="1" x14ac:dyDescent="0.2">
      <c r="M788" s="119"/>
      <c r="N788" s="119"/>
    </row>
    <row r="789" spans="13:14" s="120" customFormat="1" x14ac:dyDescent="0.2">
      <c r="M789" s="119"/>
      <c r="N789" s="119"/>
    </row>
    <row r="790" spans="13:14" s="120" customFormat="1" x14ac:dyDescent="0.2">
      <c r="M790" s="119"/>
      <c r="N790" s="119"/>
    </row>
    <row r="791" spans="13:14" s="120" customFormat="1" x14ac:dyDescent="0.2">
      <c r="M791" s="119"/>
      <c r="N791" s="119"/>
    </row>
    <row r="792" spans="13:14" s="120" customFormat="1" x14ac:dyDescent="0.2">
      <c r="M792" s="119"/>
      <c r="N792" s="119"/>
    </row>
    <row r="793" spans="13:14" s="120" customFormat="1" x14ac:dyDescent="0.2">
      <c r="M793" s="119"/>
      <c r="N793" s="119"/>
    </row>
    <row r="794" spans="13:14" s="120" customFormat="1" x14ac:dyDescent="0.2">
      <c r="M794" s="119"/>
      <c r="N794" s="119"/>
    </row>
    <row r="795" spans="13:14" s="120" customFormat="1" x14ac:dyDescent="0.2">
      <c r="M795" s="119"/>
      <c r="N795" s="119"/>
    </row>
    <row r="796" spans="13:14" s="120" customFormat="1" x14ac:dyDescent="0.2">
      <c r="M796" s="119"/>
      <c r="N796" s="119"/>
    </row>
    <row r="797" spans="13:14" s="120" customFormat="1" x14ac:dyDescent="0.2">
      <c r="M797" s="119"/>
      <c r="N797" s="119"/>
    </row>
    <row r="798" spans="13:14" s="120" customFormat="1" x14ac:dyDescent="0.2">
      <c r="M798" s="119"/>
      <c r="N798" s="119"/>
    </row>
    <row r="799" spans="13:14" s="120" customFormat="1" x14ac:dyDescent="0.2">
      <c r="M799" s="119"/>
      <c r="N799" s="119"/>
    </row>
    <row r="800" spans="13:14" s="120" customFormat="1" x14ac:dyDescent="0.2">
      <c r="M800" s="119"/>
      <c r="N800" s="119"/>
    </row>
    <row r="801" spans="13:14" s="120" customFormat="1" x14ac:dyDescent="0.2">
      <c r="M801" s="119"/>
      <c r="N801" s="119"/>
    </row>
    <row r="802" spans="13:14" s="120" customFormat="1" x14ac:dyDescent="0.2">
      <c r="M802" s="119"/>
      <c r="N802" s="119"/>
    </row>
    <row r="803" spans="13:14" s="120" customFormat="1" x14ac:dyDescent="0.2">
      <c r="M803" s="119"/>
      <c r="N803" s="119"/>
    </row>
    <row r="804" spans="13:14" s="120" customFormat="1" x14ac:dyDescent="0.2">
      <c r="M804" s="119"/>
      <c r="N804" s="119"/>
    </row>
    <row r="805" spans="13:14" s="120" customFormat="1" x14ac:dyDescent="0.2">
      <c r="M805" s="119"/>
      <c r="N805" s="119"/>
    </row>
    <row r="806" spans="13:14" s="120" customFormat="1" x14ac:dyDescent="0.2">
      <c r="M806" s="119"/>
      <c r="N806" s="119"/>
    </row>
    <row r="807" spans="13:14" s="120" customFormat="1" x14ac:dyDescent="0.2">
      <c r="M807" s="119"/>
      <c r="N807" s="119"/>
    </row>
    <row r="808" spans="13:14" s="120" customFormat="1" x14ac:dyDescent="0.2">
      <c r="M808" s="119"/>
      <c r="N808" s="119"/>
    </row>
    <row r="809" spans="13:14" s="120" customFormat="1" x14ac:dyDescent="0.2">
      <c r="M809" s="119"/>
      <c r="N809" s="119"/>
    </row>
    <row r="810" spans="13:14" s="120" customFormat="1" x14ac:dyDescent="0.2">
      <c r="M810" s="119"/>
      <c r="N810" s="119"/>
    </row>
    <row r="811" spans="13:14" s="120" customFormat="1" x14ac:dyDescent="0.2">
      <c r="M811" s="119"/>
      <c r="N811" s="119"/>
    </row>
    <row r="812" spans="13:14" s="120" customFormat="1" x14ac:dyDescent="0.2">
      <c r="M812" s="119"/>
      <c r="N812" s="119"/>
    </row>
    <row r="813" spans="13:14" s="120" customFormat="1" x14ac:dyDescent="0.2">
      <c r="M813" s="119"/>
      <c r="N813" s="119"/>
    </row>
    <row r="814" spans="13:14" s="120" customFormat="1" x14ac:dyDescent="0.2">
      <c r="M814" s="119"/>
      <c r="N814" s="119"/>
    </row>
    <row r="815" spans="13:14" s="120" customFormat="1" x14ac:dyDescent="0.2">
      <c r="M815" s="119"/>
      <c r="N815" s="119"/>
    </row>
    <row r="816" spans="13:14" s="120" customFormat="1" x14ac:dyDescent="0.2">
      <c r="M816" s="119"/>
      <c r="N816" s="119"/>
    </row>
    <row r="817" spans="13:14" s="120" customFormat="1" x14ac:dyDescent="0.2">
      <c r="M817" s="119"/>
      <c r="N817" s="119"/>
    </row>
    <row r="818" spans="13:14" s="120" customFormat="1" x14ac:dyDescent="0.2">
      <c r="M818" s="119"/>
      <c r="N818" s="119"/>
    </row>
    <row r="819" spans="13:14" s="120" customFormat="1" x14ac:dyDescent="0.2">
      <c r="M819" s="119"/>
      <c r="N819" s="119"/>
    </row>
    <row r="820" spans="13:14" s="120" customFormat="1" x14ac:dyDescent="0.2">
      <c r="M820" s="119"/>
      <c r="N820" s="119"/>
    </row>
    <row r="821" spans="13:14" s="120" customFormat="1" x14ac:dyDescent="0.2">
      <c r="M821" s="119"/>
      <c r="N821" s="119"/>
    </row>
    <row r="822" spans="13:14" s="120" customFormat="1" x14ac:dyDescent="0.2">
      <c r="M822" s="119"/>
      <c r="N822" s="119"/>
    </row>
    <row r="823" spans="13:14" s="120" customFormat="1" x14ac:dyDescent="0.2">
      <c r="M823" s="119"/>
      <c r="N823" s="119"/>
    </row>
    <row r="824" spans="13:14" s="120" customFormat="1" x14ac:dyDescent="0.2">
      <c r="M824" s="119"/>
      <c r="N824" s="119"/>
    </row>
    <row r="825" spans="13:14" s="120" customFormat="1" x14ac:dyDescent="0.2">
      <c r="M825" s="119"/>
      <c r="N825" s="119"/>
    </row>
    <row r="826" spans="13:14" s="120" customFormat="1" x14ac:dyDescent="0.2">
      <c r="M826" s="119"/>
      <c r="N826" s="119"/>
    </row>
    <row r="827" spans="13:14" s="120" customFormat="1" x14ac:dyDescent="0.2">
      <c r="M827" s="119"/>
      <c r="N827" s="119"/>
    </row>
    <row r="828" spans="13:14" s="120" customFormat="1" x14ac:dyDescent="0.2">
      <c r="M828" s="119"/>
      <c r="N828" s="119"/>
    </row>
    <row r="829" spans="13:14" s="120" customFormat="1" x14ac:dyDescent="0.2">
      <c r="M829" s="119"/>
      <c r="N829" s="119"/>
    </row>
    <row r="830" spans="13:14" s="120" customFormat="1" x14ac:dyDescent="0.2">
      <c r="M830" s="119"/>
      <c r="N830" s="119"/>
    </row>
    <row r="831" spans="13:14" s="120" customFormat="1" x14ac:dyDescent="0.2">
      <c r="M831" s="119"/>
      <c r="N831" s="119"/>
    </row>
    <row r="832" spans="13:14" s="120" customFormat="1" x14ac:dyDescent="0.2">
      <c r="M832" s="119"/>
      <c r="N832" s="119"/>
    </row>
    <row r="833" spans="13:14" s="120" customFormat="1" x14ac:dyDescent="0.2">
      <c r="M833" s="119"/>
      <c r="N833" s="119"/>
    </row>
    <row r="834" spans="13:14" s="120" customFormat="1" x14ac:dyDescent="0.2">
      <c r="M834" s="119"/>
      <c r="N834" s="119"/>
    </row>
    <row r="835" spans="13:14" s="120" customFormat="1" x14ac:dyDescent="0.2">
      <c r="M835" s="119"/>
      <c r="N835" s="119"/>
    </row>
    <row r="836" spans="13:14" s="120" customFormat="1" x14ac:dyDescent="0.2">
      <c r="M836" s="119"/>
      <c r="N836" s="119"/>
    </row>
    <row r="837" spans="13:14" s="120" customFormat="1" x14ac:dyDescent="0.2">
      <c r="M837" s="119"/>
      <c r="N837" s="119"/>
    </row>
    <row r="838" spans="13:14" s="120" customFormat="1" x14ac:dyDescent="0.2">
      <c r="M838" s="119"/>
      <c r="N838" s="119"/>
    </row>
    <row r="839" spans="13:14" s="120" customFormat="1" x14ac:dyDescent="0.2">
      <c r="M839" s="119"/>
      <c r="N839" s="119"/>
    </row>
    <row r="840" spans="13:14" s="120" customFormat="1" x14ac:dyDescent="0.2">
      <c r="M840" s="119"/>
      <c r="N840" s="119"/>
    </row>
    <row r="841" spans="13:14" s="120" customFormat="1" x14ac:dyDescent="0.2">
      <c r="M841" s="119"/>
      <c r="N841" s="119"/>
    </row>
    <row r="842" spans="13:14" s="120" customFormat="1" x14ac:dyDescent="0.2">
      <c r="M842" s="119"/>
      <c r="N842" s="119"/>
    </row>
    <row r="843" spans="13:14" s="120" customFormat="1" x14ac:dyDescent="0.2">
      <c r="M843" s="119"/>
      <c r="N843" s="119"/>
    </row>
    <row r="844" spans="13:14" s="120" customFormat="1" x14ac:dyDescent="0.2">
      <c r="M844" s="119"/>
      <c r="N844" s="119"/>
    </row>
    <row r="845" spans="13:14" s="120" customFormat="1" x14ac:dyDescent="0.2">
      <c r="M845" s="119"/>
      <c r="N845" s="119"/>
    </row>
    <row r="846" spans="13:14" s="120" customFormat="1" x14ac:dyDescent="0.2">
      <c r="M846" s="119"/>
      <c r="N846" s="119"/>
    </row>
    <row r="847" spans="13:14" s="120" customFormat="1" x14ac:dyDescent="0.2">
      <c r="M847" s="119"/>
      <c r="N847" s="119"/>
    </row>
    <row r="848" spans="13:14" s="120" customFormat="1" x14ac:dyDescent="0.2">
      <c r="M848" s="119"/>
      <c r="N848" s="119"/>
    </row>
    <row r="849" spans="13:14" s="120" customFormat="1" x14ac:dyDescent="0.2">
      <c r="M849" s="119"/>
      <c r="N849" s="119"/>
    </row>
    <row r="850" spans="13:14" s="120" customFormat="1" x14ac:dyDescent="0.2">
      <c r="M850" s="119"/>
      <c r="N850" s="119"/>
    </row>
    <row r="851" spans="13:14" s="120" customFormat="1" x14ac:dyDescent="0.2">
      <c r="M851" s="119"/>
      <c r="N851" s="119"/>
    </row>
    <row r="852" spans="13:14" s="120" customFormat="1" x14ac:dyDescent="0.2">
      <c r="M852" s="119"/>
      <c r="N852" s="119"/>
    </row>
    <row r="853" spans="13:14" s="120" customFormat="1" x14ac:dyDescent="0.2">
      <c r="M853" s="119"/>
      <c r="N853" s="119"/>
    </row>
    <row r="854" spans="13:14" s="120" customFormat="1" x14ac:dyDescent="0.2">
      <c r="M854" s="119"/>
      <c r="N854" s="119"/>
    </row>
    <row r="855" spans="13:14" s="120" customFormat="1" x14ac:dyDescent="0.2">
      <c r="M855" s="119"/>
      <c r="N855" s="119"/>
    </row>
    <row r="856" spans="13:14" s="120" customFormat="1" x14ac:dyDescent="0.2">
      <c r="M856" s="119"/>
      <c r="N856" s="119"/>
    </row>
    <row r="857" spans="13:14" s="120" customFormat="1" x14ac:dyDescent="0.2">
      <c r="M857" s="119"/>
      <c r="N857" s="119"/>
    </row>
    <row r="858" spans="13:14" s="120" customFormat="1" x14ac:dyDescent="0.2">
      <c r="M858" s="119"/>
      <c r="N858" s="119"/>
    </row>
    <row r="859" spans="13:14" s="120" customFormat="1" x14ac:dyDescent="0.2">
      <c r="M859" s="119"/>
      <c r="N859" s="119"/>
    </row>
    <row r="860" spans="13:14" s="120" customFormat="1" x14ac:dyDescent="0.2">
      <c r="M860" s="119"/>
      <c r="N860" s="119"/>
    </row>
    <row r="861" spans="13:14" s="120" customFormat="1" x14ac:dyDescent="0.2">
      <c r="M861" s="119"/>
      <c r="N861" s="119"/>
    </row>
    <row r="862" spans="13:14" s="120" customFormat="1" x14ac:dyDescent="0.2">
      <c r="M862" s="119"/>
      <c r="N862" s="119"/>
    </row>
    <row r="863" spans="13:14" s="120" customFormat="1" x14ac:dyDescent="0.2">
      <c r="M863" s="119"/>
      <c r="N863" s="119"/>
    </row>
    <row r="864" spans="13:14" s="120" customFormat="1" x14ac:dyDescent="0.2">
      <c r="M864" s="119"/>
      <c r="N864" s="119"/>
    </row>
    <row r="865" spans="13:14" s="120" customFormat="1" x14ac:dyDescent="0.2">
      <c r="M865" s="119"/>
      <c r="N865" s="119"/>
    </row>
    <row r="866" spans="13:14" s="120" customFormat="1" x14ac:dyDescent="0.2">
      <c r="M866" s="119"/>
      <c r="N866" s="119"/>
    </row>
    <row r="867" spans="13:14" s="120" customFormat="1" x14ac:dyDescent="0.2">
      <c r="M867" s="119"/>
      <c r="N867" s="119"/>
    </row>
    <row r="868" spans="13:14" s="120" customFormat="1" x14ac:dyDescent="0.2">
      <c r="M868" s="119"/>
      <c r="N868" s="119"/>
    </row>
    <row r="869" spans="13:14" s="120" customFormat="1" x14ac:dyDescent="0.2">
      <c r="M869" s="119"/>
      <c r="N869" s="119"/>
    </row>
    <row r="870" spans="13:14" s="120" customFormat="1" x14ac:dyDescent="0.2">
      <c r="M870" s="119"/>
      <c r="N870" s="119"/>
    </row>
    <row r="871" spans="13:14" s="120" customFormat="1" x14ac:dyDescent="0.2">
      <c r="M871" s="119"/>
      <c r="N871" s="119"/>
    </row>
    <row r="872" spans="13:14" s="120" customFormat="1" x14ac:dyDescent="0.2">
      <c r="M872" s="119"/>
      <c r="N872" s="119"/>
    </row>
    <row r="873" spans="13:14" s="120" customFormat="1" x14ac:dyDescent="0.2">
      <c r="M873" s="119"/>
      <c r="N873" s="119"/>
    </row>
    <row r="874" spans="13:14" s="120" customFormat="1" x14ac:dyDescent="0.2">
      <c r="M874" s="119"/>
      <c r="N874" s="119"/>
    </row>
    <row r="875" spans="13:14" s="120" customFormat="1" x14ac:dyDescent="0.2">
      <c r="M875" s="119"/>
      <c r="N875" s="119"/>
    </row>
    <row r="876" spans="13:14" s="120" customFormat="1" x14ac:dyDescent="0.2">
      <c r="M876" s="119"/>
      <c r="N876" s="119"/>
    </row>
    <row r="877" spans="13:14" s="120" customFormat="1" x14ac:dyDescent="0.2">
      <c r="M877" s="119"/>
      <c r="N877" s="119"/>
    </row>
    <row r="878" spans="13:14" s="120" customFormat="1" x14ac:dyDescent="0.2">
      <c r="M878" s="119"/>
      <c r="N878" s="119"/>
    </row>
    <row r="879" spans="13:14" s="120" customFormat="1" x14ac:dyDescent="0.2">
      <c r="M879" s="119"/>
      <c r="N879" s="119"/>
    </row>
    <row r="880" spans="13:14" s="120" customFormat="1" x14ac:dyDescent="0.2">
      <c r="M880" s="119"/>
      <c r="N880" s="119"/>
    </row>
    <row r="881" spans="13:14" s="120" customFormat="1" x14ac:dyDescent="0.2">
      <c r="M881" s="119"/>
      <c r="N881" s="119"/>
    </row>
    <row r="882" spans="13:14" s="120" customFormat="1" x14ac:dyDescent="0.2">
      <c r="M882" s="119"/>
      <c r="N882" s="119"/>
    </row>
    <row r="883" spans="13:14" s="120" customFormat="1" x14ac:dyDescent="0.2">
      <c r="M883" s="119"/>
      <c r="N883" s="119"/>
    </row>
    <row r="884" spans="13:14" s="120" customFormat="1" x14ac:dyDescent="0.2">
      <c r="M884" s="119"/>
      <c r="N884" s="119"/>
    </row>
    <row r="885" spans="13:14" s="120" customFormat="1" x14ac:dyDescent="0.2">
      <c r="M885" s="119"/>
      <c r="N885" s="119"/>
    </row>
    <row r="886" spans="13:14" s="120" customFormat="1" x14ac:dyDescent="0.2">
      <c r="M886" s="119"/>
      <c r="N886" s="119"/>
    </row>
    <row r="887" spans="13:14" s="120" customFormat="1" x14ac:dyDescent="0.2">
      <c r="M887" s="119"/>
      <c r="N887" s="119"/>
    </row>
    <row r="888" spans="13:14" s="120" customFormat="1" x14ac:dyDescent="0.2">
      <c r="M888" s="119"/>
      <c r="N888" s="119"/>
    </row>
    <row r="889" spans="13:14" s="120" customFormat="1" x14ac:dyDescent="0.2">
      <c r="M889" s="119"/>
      <c r="N889" s="119"/>
    </row>
    <row r="890" spans="13:14" s="120" customFormat="1" x14ac:dyDescent="0.2">
      <c r="M890" s="119"/>
      <c r="N890" s="119"/>
    </row>
    <row r="891" spans="13:14" s="120" customFormat="1" x14ac:dyDescent="0.2">
      <c r="M891" s="119"/>
      <c r="N891" s="119"/>
    </row>
    <row r="892" spans="13:14" s="120" customFormat="1" x14ac:dyDescent="0.2">
      <c r="M892" s="119"/>
      <c r="N892" s="119"/>
    </row>
    <row r="893" spans="13:14" s="120" customFormat="1" x14ac:dyDescent="0.2">
      <c r="M893" s="119"/>
      <c r="N893" s="119"/>
    </row>
    <row r="894" spans="13:14" s="120" customFormat="1" x14ac:dyDescent="0.2">
      <c r="M894" s="119"/>
      <c r="N894" s="119"/>
    </row>
    <row r="895" spans="13:14" s="120" customFormat="1" x14ac:dyDescent="0.2">
      <c r="M895" s="119"/>
      <c r="N895" s="119"/>
    </row>
    <row r="896" spans="13:14" s="120" customFormat="1" x14ac:dyDescent="0.2">
      <c r="M896" s="119"/>
      <c r="N896" s="119"/>
    </row>
    <row r="897" spans="13:14" s="120" customFormat="1" x14ac:dyDescent="0.2">
      <c r="M897" s="119"/>
      <c r="N897" s="119"/>
    </row>
    <row r="898" spans="13:14" s="120" customFormat="1" x14ac:dyDescent="0.2">
      <c r="M898" s="119"/>
      <c r="N898" s="119"/>
    </row>
    <row r="899" spans="13:14" s="120" customFormat="1" x14ac:dyDescent="0.2">
      <c r="M899" s="119"/>
      <c r="N899" s="119"/>
    </row>
    <row r="900" spans="13:14" s="120" customFormat="1" x14ac:dyDescent="0.2">
      <c r="M900" s="119"/>
      <c r="N900" s="119"/>
    </row>
    <row r="901" spans="13:14" s="120" customFormat="1" x14ac:dyDescent="0.2">
      <c r="M901" s="119"/>
      <c r="N901" s="119"/>
    </row>
    <row r="902" spans="13:14" s="120" customFormat="1" x14ac:dyDescent="0.2">
      <c r="M902" s="119"/>
      <c r="N902" s="119"/>
    </row>
    <row r="903" spans="13:14" s="120" customFormat="1" x14ac:dyDescent="0.2">
      <c r="M903" s="119"/>
      <c r="N903" s="119"/>
    </row>
    <row r="904" spans="13:14" s="120" customFormat="1" x14ac:dyDescent="0.2">
      <c r="M904" s="119"/>
      <c r="N904" s="119"/>
    </row>
    <row r="905" spans="13:14" s="120" customFormat="1" x14ac:dyDescent="0.2">
      <c r="M905" s="119"/>
      <c r="N905" s="119"/>
    </row>
    <row r="906" spans="13:14" s="120" customFormat="1" x14ac:dyDescent="0.2">
      <c r="M906" s="119"/>
      <c r="N906" s="119"/>
    </row>
    <row r="907" spans="13:14" s="120" customFormat="1" x14ac:dyDescent="0.2">
      <c r="M907" s="119"/>
      <c r="N907" s="119"/>
    </row>
    <row r="908" spans="13:14" s="120" customFormat="1" x14ac:dyDescent="0.2">
      <c r="M908" s="119"/>
      <c r="N908" s="119"/>
    </row>
    <row r="909" spans="13:14" s="120" customFormat="1" x14ac:dyDescent="0.2">
      <c r="M909" s="119"/>
      <c r="N909" s="119"/>
    </row>
    <row r="910" spans="13:14" s="120" customFormat="1" x14ac:dyDescent="0.2">
      <c r="M910" s="119"/>
      <c r="N910" s="119"/>
    </row>
    <row r="911" spans="13:14" s="120" customFormat="1" x14ac:dyDescent="0.2">
      <c r="M911" s="119"/>
      <c r="N911" s="119"/>
    </row>
    <row r="912" spans="13:14" s="120" customFormat="1" x14ac:dyDescent="0.2">
      <c r="M912" s="119"/>
      <c r="N912" s="119"/>
    </row>
    <row r="913" spans="13:14" s="120" customFormat="1" x14ac:dyDescent="0.2">
      <c r="M913" s="119"/>
      <c r="N913" s="119"/>
    </row>
    <row r="914" spans="13:14" s="120" customFormat="1" x14ac:dyDescent="0.2">
      <c r="M914" s="119"/>
      <c r="N914" s="119"/>
    </row>
    <row r="915" spans="13:14" s="120" customFormat="1" x14ac:dyDescent="0.2">
      <c r="M915" s="119"/>
      <c r="N915" s="119"/>
    </row>
    <row r="916" spans="13:14" s="120" customFormat="1" x14ac:dyDescent="0.2">
      <c r="M916" s="119"/>
      <c r="N916" s="119"/>
    </row>
    <row r="917" spans="13:14" s="120" customFormat="1" x14ac:dyDescent="0.2">
      <c r="M917" s="119"/>
      <c r="N917" s="119"/>
    </row>
    <row r="918" spans="13:14" s="120" customFormat="1" x14ac:dyDescent="0.2">
      <c r="M918" s="119"/>
      <c r="N918" s="119"/>
    </row>
    <row r="919" spans="13:14" s="120" customFormat="1" x14ac:dyDescent="0.2">
      <c r="M919" s="119"/>
      <c r="N919" s="119"/>
    </row>
    <row r="920" spans="13:14" s="120" customFormat="1" x14ac:dyDescent="0.2">
      <c r="M920" s="119"/>
      <c r="N920" s="119"/>
    </row>
    <row r="921" spans="13:14" s="120" customFormat="1" x14ac:dyDescent="0.2">
      <c r="M921" s="119"/>
      <c r="N921" s="119"/>
    </row>
    <row r="922" spans="13:14" s="120" customFormat="1" x14ac:dyDescent="0.2">
      <c r="M922" s="119"/>
      <c r="N922" s="119"/>
    </row>
    <row r="923" spans="13:14" s="120" customFormat="1" x14ac:dyDescent="0.2">
      <c r="M923" s="119"/>
      <c r="N923" s="119"/>
    </row>
    <row r="924" spans="13:14" s="120" customFormat="1" x14ac:dyDescent="0.2">
      <c r="M924" s="119"/>
      <c r="N924" s="119"/>
    </row>
    <row r="925" spans="13:14" s="120" customFormat="1" x14ac:dyDescent="0.2">
      <c r="M925" s="119"/>
      <c r="N925" s="119"/>
    </row>
    <row r="926" spans="13:14" s="120" customFormat="1" x14ac:dyDescent="0.2">
      <c r="M926" s="119"/>
      <c r="N926" s="119"/>
    </row>
    <row r="927" spans="13:14" s="120" customFormat="1" x14ac:dyDescent="0.2">
      <c r="M927" s="119"/>
      <c r="N927" s="119"/>
    </row>
    <row r="928" spans="13:14" s="120" customFormat="1" x14ac:dyDescent="0.2">
      <c r="M928" s="119"/>
      <c r="N928" s="119"/>
    </row>
    <row r="929" spans="13:14" s="120" customFormat="1" x14ac:dyDescent="0.2">
      <c r="M929" s="119"/>
      <c r="N929" s="119"/>
    </row>
    <row r="930" spans="13:14" s="120" customFormat="1" x14ac:dyDescent="0.2">
      <c r="M930" s="119"/>
      <c r="N930" s="119"/>
    </row>
    <row r="931" spans="13:14" s="120" customFormat="1" x14ac:dyDescent="0.2">
      <c r="M931" s="119"/>
      <c r="N931" s="119"/>
    </row>
    <row r="932" spans="13:14" s="120" customFormat="1" x14ac:dyDescent="0.2">
      <c r="M932" s="119"/>
      <c r="N932" s="119"/>
    </row>
    <row r="933" spans="13:14" s="120" customFormat="1" x14ac:dyDescent="0.2">
      <c r="M933" s="119"/>
      <c r="N933" s="119"/>
    </row>
    <row r="934" spans="13:14" s="120" customFormat="1" x14ac:dyDescent="0.2">
      <c r="M934" s="119"/>
      <c r="N934" s="119"/>
    </row>
    <row r="935" spans="13:14" s="120" customFormat="1" x14ac:dyDescent="0.2">
      <c r="M935" s="119"/>
      <c r="N935" s="119"/>
    </row>
    <row r="936" spans="13:14" s="120" customFormat="1" x14ac:dyDescent="0.2">
      <c r="M936" s="119"/>
      <c r="N936" s="119"/>
    </row>
    <row r="937" spans="13:14" s="120" customFormat="1" x14ac:dyDescent="0.2">
      <c r="M937" s="119"/>
      <c r="N937" s="119"/>
    </row>
    <row r="938" spans="13:14" s="120" customFormat="1" x14ac:dyDescent="0.2">
      <c r="M938" s="119"/>
      <c r="N938" s="119"/>
    </row>
    <row r="939" spans="13:14" s="120" customFormat="1" x14ac:dyDescent="0.2">
      <c r="M939" s="119"/>
      <c r="N939" s="119"/>
    </row>
    <row r="940" spans="13:14" s="120" customFormat="1" x14ac:dyDescent="0.2">
      <c r="M940" s="119"/>
      <c r="N940" s="119"/>
    </row>
    <row r="941" spans="13:14" s="120" customFormat="1" x14ac:dyDescent="0.2">
      <c r="M941" s="119"/>
      <c r="N941" s="119"/>
    </row>
    <row r="942" spans="13:14" s="120" customFormat="1" x14ac:dyDescent="0.2">
      <c r="M942" s="119"/>
      <c r="N942" s="119"/>
    </row>
    <row r="943" spans="13:14" s="120" customFormat="1" x14ac:dyDescent="0.2">
      <c r="M943" s="119"/>
      <c r="N943" s="119"/>
    </row>
    <row r="944" spans="13:14" s="120" customFormat="1" x14ac:dyDescent="0.2">
      <c r="M944" s="119"/>
      <c r="N944" s="119"/>
    </row>
    <row r="945" spans="13:14" s="120" customFormat="1" x14ac:dyDescent="0.2">
      <c r="M945" s="119"/>
      <c r="N945" s="119"/>
    </row>
    <row r="946" spans="13:14" s="120" customFormat="1" x14ac:dyDescent="0.2">
      <c r="M946" s="119"/>
      <c r="N946" s="119"/>
    </row>
    <row r="947" spans="13:14" s="120" customFormat="1" x14ac:dyDescent="0.2">
      <c r="M947" s="119"/>
      <c r="N947" s="119"/>
    </row>
    <row r="948" spans="13:14" s="120" customFormat="1" x14ac:dyDescent="0.2">
      <c r="M948" s="119"/>
      <c r="N948" s="119"/>
    </row>
    <row r="949" spans="13:14" s="120" customFormat="1" x14ac:dyDescent="0.2">
      <c r="M949" s="119"/>
      <c r="N949" s="119"/>
    </row>
    <row r="950" spans="13:14" s="120" customFormat="1" x14ac:dyDescent="0.2">
      <c r="M950" s="119"/>
      <c r="N950" s="119"/>
    </row>
    <row r="951" spans="13:14" s="120" customFormat="1" x14ac:dyDescent="0.2">
      <c r="M951" s="119"/>
      <c r="N951" s="119"/>
    </row>
    <row r="952" spans="13:14" s="120" customFormat="1" x14ac:dyDescent="0.2">
      <c r="M952" s="119"/>
      <c r="N952" s="119"/>
    </row>
    <row r="953" spans="13:14" s="120" customFormat="1" x14ac:dyDescent="0.2">
      <c r="M953" s="119"/>
      <c r="N953" s="119"/>
    </row>
    <row r="954" spans="13:14" s="120" customFormat="1" x14ac:dyDescent="0.2">
      <c r="M954" s="119"/>
      <c r="N954" s="119"/>
    </row>
    <row r="955" spans="13:14" s="120" customFormat="1" x14ac:dyDescent="0.2">
      <c r="M955" s="119"/>
      <c r="N955" s="119"/>
    </row>
    <row r="956" spans="13:14" s="120" customFormat="1" x14ac:dyDescent="0.2">
      <c r="M956" s="119"/>
      <c r="N956" s="119"/>
    </row>
    <row r="957" spans="13:14" s="120" customFormat="1" x14ac:dyDescent="0.2">
      <c r="M957" s="119"/>
      <c r="N957" s="119"/>
    </row>
    <row r="958" spans="13:14" s="120" customFormat="1" x14ac:dyDescent="0.2">
      <c r="M958" s="119"/>
      <c r="N958" s="119"/>
    </row>
    <row r="959" spans="13:14" s="120" customFormat="1" x14ac:dyDescent="0.2">
      <c r="M959" s="119"/>
      <c r="N959" s="119"/>
    </row>
    <row r="960" spans="13:14" s="120" customFormat="1" x14ac:dyDescent="0.2">
      <c r="M960" s="119"/>
      <c r="N960" s="119"/>
    </row>
    <row r="961" spans="13:14" s="120" customFormat="1" x14ac:dyDescent="0.2">
      <c r="M961" s="119"/>
      <c r="N961" s="119"/>
    </row>
    <row r="962" spans="13:14" s="120" customFormat="1" x14ac:dyDescent="0.2">
      <c r="M962" s="119"/>
      <c r="N962" s="119"/>
    </row>
    <row r="963" spans="13:14" s="120" customFormat="1" x14ac:dyDescent="0.2">
      <c r="M963" s="119"/>
      <c r="N963" s="119"/>
    </row>
    <row r="964" spans="13:14" s="120" customFormat="1" x14ac:dyDescent="0.2">
      <c r="M964" s="119"/>
      <c r="N964" s="119"/>
    </row>
    <row r="965" spans="13:14" s="120" customFormat="1" x14ac:dyDescent="0.2">
      <c r="M965" s="119"/>
      <c r="N965" s="119"/>
    </row>
    <row r="966" spans="13:14" s="120" customFormat="1" x14ac:dyDescent="0.2">
      <c r="M966" s="119"/>
      <c r="N966" s="119"/>
    </row>
    <row r="967" spans="13:14" s="120" customFormat="1" x14ac:dyDescent="0.2">
      <c r="M967" s="119"/>
      <c r="N967" s="119"/>
    </row>
    <row r="968" spans="13:14" s="120" customFormat="1" x14ac:dyDescent="0.2">
      <c r="M968" s="119"/>
      <c r="N968" s="119"/>
    </row>
    <row r="969" spans="13:14" s="120" customFormat="1" x14ac:dyDescent="0.2">
      <c r="M969" s="119"/>
      <c r="N969" s="119"/>
    </row>
    <row r="970" spans="13:14" s="120" customFormat="1" x14ac:dyDescent="0.2">
      <c r="M970" s="119"/>
      <c r="N970" s="119"/>
    </row>
    <row r="971" spans="13:14" s="120" customFormat="1" x14ac:dyDescent="0.2">
      <c r="M971" s="119"/>
      <c r="N971" s="119"/>
    </row>
    <row r="972" spans="13:14" s="120" customFormat="1" x14ac:dyDescent="0.2">
      <c r="M972" s="119"/>
      <c r="N972" s="119"/>
    </row>
    <row r="973" spans="13:14" s="120" customFormat="1" x14ac:dyDescent="0.2">
      <c r="M973" s="119"/>
      <c r="N973" s="119"/>
    </row>
    <row r="974" spans="13:14" s="120" customFormat="1" x14ac:dyDescent="0.2">
      <c r="M974" s="119"/>
      <c r="N974" s="119"/>
    </row>
    <row r="975" spans="13:14" s="120" customFormat="1" x14ac:dyDescent="0.2">
      <c r="M975" s="119"/>
      <c r="N975" s="119"/>
    </row>
    <row r="976" spans="13:14" s="120" customFormat="1" x14ac:dyDescent="0.2">
      <c r="M976" s="119"/>
      <c r="N976" s="119"/>
    </row>
    <row r="977" spans="13:14" s="120" customFormat="1" x14ac:dyDescent="0.2">
      <c r="M977" s="119"/>
      <c r="N977" s="119"/>
    </row>
    <row r="978" spans="13:14" s="120" customFormat="1" x14ac:dyDescent="0.2">
      <c r="M978" s="119"/>
      <c r="N978" s="119"/>
    </row>
    <row r="979" spans="13:14" s="120" customFormat="1" x14ac:dyDescent="0.2">
      <c r="M979" s="119"/>
      <c r="N979" s="119"/>
    </row>
    <row r="980" spans="13:14" s="120" customFormat="1" x14ac:dyDescent="0.2">
      <c r="M980" s="119"/>
      <c r="N980" s="119"/>
    </row>
    <row r="981" spans="13:14" s="120" customFormat="1" x14ac:dyDescent="0.2">
      <c r="M981" s="119"/>
      <c r="N981" s="119"/>
    </row>
    <row r="982" spans="13:14" s="120" customFormat="1" x14ac:dyDescent="0.2">
      <c r="M982" s="119"/>
      <c r="N982" s="119"/>
    </row>
    <row r="983" spans="13:14" s="120" customFormat="1" x14ac:dyDescent="0.2">
      <c r="M983" s="119"/>
      <c r="N983" s="119"/>
    </row>
    <row r="984" spans="13:14" s="120" customFormat="1" x14ac:dyDescent="0.2">
      <c r="M984" s="119"/>
      <c r="N984" s="119"/>
    </row>
    <row r="985" spans="13:14" s="120" customFormat="1" x14ac:dyDescent="0.2">
      <c r="M985" s="119"/>
      <c r="N985" s="119"/>
    </row>
    <row r="986" spans="13:14" s="120" customFormat="1" x14ac:dyDescent="0.2">
      <c r="M986" s="119"/>
      <c r="N986" s="119"/>
    </row>
    <row r="987" spans="13:14" s="120" customFormat="1" x14ac:dyDescent="0.2">
      <c r="M987" s="119"/>
      <c r="N987" s="119"/>
    </row>
    <row r="988" spans="13:14" s="120" customFormat="1" x14ac:dyDescent="0.2">
      <c r="M988" s="119"/>
      <c r="N988" s="119"/>
    </row>
    <row r="989" spans="13:14" s="120" customFormat="1" x14ac:dyDescent="0.2">
      <c r="M989" s="119"/>
      <c r="N989" s="119"/>
    </row>
    <row r="990" spans="13:14" s="120" customFormat="1" x14ac:dyDescent="0.2">
      <c r="M990" s="119"/>
      <c r="N990" s="119"/>
    </row>
    <row r="991" spans="13:14" s="120" customFormat="1" x14ac:dyDescent="0.2">
      <c r="M991" s="119"/>
      <c r="N991" s="119"/>
    </row>
    <row r="992" spans="13:14" s="120" customFormat="1" x14ac:dyDescent="0.2">
      <c r="M992" s="119"/>
      <c r="N992" s="119"/>
    </row>
    <row r="993" spans="13:14" s="120" customFormat="1" x14ac:dyDescent="0.2">
      <c r="M993" s="119"/>
      <c r="N993" s="119"/>
    </row>
    <row r="994" spans="13:14" s="120" customFormat="1" x14ac:dyDescent="0.2">
      <c r="M994" s="119"/>
      <c r="N994" s="119"/>
    </row>
    <row r="995" spans="13:14" s="120" customFormat="1" x14ac:dyDescent="0.2">
      <c r="M995" s="119"/>
      <c r="N995" s="119"/>
    </row>
    <row r="996" spans="13:14" s="120" customFormat="1" x14ac:dyDescent="0.2">
      <c r="M996" s="119"/>
      <c r="N996" s="119"/>
    </row>
    <row r="997" spans="13:14" s="120" customFormat="1" x14ac:dyDescent="0.2">
      <c r="M997" s="119"/>
      <c r="N997" s="119"/>
    </row>
    <row r="998" spans="13:14" s="120" customFormat="1" x14ac:dyDescent="0.2">
      <c r="M998" s="119"/>
      <c r="N998" s="119"/>
    </row>
    <row r="999" spans="13:14" s="120" customFormat="1" x14ac:dyDescent="0.2">
      <c r="M999" s="119"/>
      <c r="N999" s="119"/>
    </row>
    <row r="1000" spans="13:14" s="120" customFormat="1" x14ac:dyDescent="0.2">
      <c r="M1000" s="119"/>
      <c r="N1000" s="119"/>
    </row>
    <row r="1001" spans="13:14" s="120" customFormat="1" x14ac:dyDescent="0.2">
      <c r="M1001" s="119"/>
      <c r="N1001" s="119"/>
    </row>
    <row r="1002" spans="13:14" s="120" customFormat="1" x14ac:dyDescent="0.2">
      <c r="M1002" s="119"/>
      <c r="N1002" s="119"/>
    </row>
    <row r="1003" spans="13:14" s="120" customFormat="1" x14ac:dyDescent="0.2">
      <c r="M1003" s="119"/>
      <c r="N1003" s="119"/>
    </row>
    <row r="1004" spans="13:14" s="120" customFormat="1" x14ac:dyDescent="0.2">
      <c r="M1004" s="119"/>
      <c r="N1004" s="119"/>
    </row>
    <row r="1005" spans="13:14" s="120" customFormat="1" x14ac:dyDescent="0.2">
      <c r="M1005" s="119"/>
      <c r="N1005" s="119"/>
    </row>
    <row r="1006" spans="13:14" s="120" customFormat="1" x14ac:dyDescent="0.2">
      <c r="M1006" s="119"/>
      <c r="N1006" s="119"/>
    </row>
    <row r="1007" spans="13:14" s="120" customFormat="1" x14ac:dyDescent="0.2">
      <c r="M1007" s="119"/>
      <c r="N1007" s="119"/>
    </row>
    <row r="1008" spans="13:14" s="120" customFormat="1" x14ac:dyDescent="0.2">
      <c r="M1008" s="119"/>
      <c r="N1008" s="119"/>
    </row>
    <row r="1009" spans="13:14" s="120" customFormat="1" x14ac:dyDescent="0.2">
      <c r="M1009" s="119"/>
      <c r="N1009" s="119"/>
    </row>
    <row r="1010" spans="13:14" s="120" customFormat="1" x14ac:dyDescent="0.2">
      <c r="M1010" s="119"/>
      <c r="N1010" s="119"/>
    </row>
    <row r="1011" spans="13:14" s="120" customFormat="1" x14ac:dyDescent="0.2">
      <c r="M1011" s="119"/>
      <c r="N1011" s="119"/>
    </row>
    <row r="1012" spans="13:14" s="120" customFormat="1" x14ac:dyDescent="0.2">
      <c r="M1012" s="119"/>
      <c r="N1012" s="119"/>
    </row>
    <row r="1013" spans="13:14" s="120" customFormat="1" x14ac:dyDescent="0.2">
      <c r="M1013" s="119"/>
      <c r="N1013" s="119"/>
    </row>
    <row r="1014" spans="13:14" s="120" customFormat="1" x14ac:dyDescent="0.2">
      <c r="M1014" s="119"/>
      <c r="N1014" s="119"/>
    </row>
    <row r="1015" spans="13:14" s="120" customFormat="1" x14ac:dyDescent="0.2">
      <c r="M1015" s="119"/>
      <c r="N1015" s="119"/>
    </row>
    <row r="1016" spans="13:14" s="120" customFormat="1" x14ac:dyDescent="0.2">
      <c r="M1016" s="119"/>
      <c r="N1016" s="119"/>
    </row>
    <row r="1017" spans="13:14" s="120" customFormat="1" x14ac:dyDescent="0.2">
      <c r="M1017" s="119"/>
      <c r="N1017" s="119"/>
    </row>
    <row r="1018" spans="13:14" s="120" customFormat="1" x14ac:dyDescent="0.2">
      <c r="M1018" s="119"/>
      <c r="N1018" s="119"/>
    </row>
    <row r="1019" spans="13:14" s="120" customFormat="1" x14ac:dyDescent="0.2">
      <c r="M1019" s="119"/>
      <c r="N1019" s="119"/>
    </row>
    <row r="1020" spans="13:14" s="120" customFormat="1" x14ac:dyDescent="0.2">
      <c r="M1020" s="119"/>
      <c r="N1020" s="119"/>
    </row>
    <row r="1021" spans="13:14" s="120" customFormat="1" x14ac:dyDescent="0.2">
      <c r="M1021" s="119"/>
      <c r="N1021" s="119"/>
    </row>
    <row r="1022" spans="13:14" s="120" customFormat="1" x14ac:dyDescent="0.2">
      <c r="M1022" s="119"/>
      <c r="N1022" s="119"/>
    </row>
    <row r="1023" spans="13:14" s="120" customFormat="1" x14ac:dyDescent="0.2">
      <c r="M1023" s="119"/>
      <c r="N1023" s="119"/>
    </row>
    <row r="1024" spans="13:14" s="120" customFormat="1" x14ac:dyDescent="0.2">
      <c r="M1024" s="119"/>
      <c r="N1024" s="119"/>
    </row>
    <row r="1025" spans="13:14" s="120" customFormat="1" x14ac:dyDescent="0.2">
      <c r="M1025" s="119"/>
      <c r="N1025" s="119"/>
    </row>
    <row r="1026" spans="13:14" s="120" customFormat="1" x14ac:dyDescent="0.2">
      <c r="M1026" s="119"/>
      <c r="N1026" s="119"/>
    </row>
    <row r="1027" spans="13:14" s="120" customFormat="1" x14ac:dyDescent="0.2">
      <c r="M1027" s="119"/>
      <c r="N1027" s="119"/>
    </row>
    <row r="1028" spans="13:14" s="120" customFormat="1" x14ac:dyDescent="0.2">
      <c r="M1028" s="119"/>
      <c r="N1028" s="119"/>
    </row>
    <row r="1029" spans="13:14" s="120" customFormat="1" x14ac:dyDescent="0.2">
      <c r="M1029" s="119"/>
      <c r="N1029" s="119"/>
    </row>
    <row r="1030" spans="13:14" s="120" customFormat="1" x14ac:dyDescent="0.2">
      <c r="M1030" s="119"/>
      <c r="N1030" s="119"/>
    </row>
    <row r="1031" spans="13:14" s="120" customFormat="1" x14ac:dyDescent="0.2">
      <c r="M1031" s="119"/>
      <c r="N1031" s="119"/>
    </row>
    <row r="1032" spans="13:14" s="120" customFormat="1" x14ac:dyDescent="0.2">
      <c r="M1032" s="119"/>
      <c r="N1032" s="119"/>
    </row>
    <row r="1033" spans="13:14" s="120" customFormat="1" x14ac:dyDescent="0.2">
      <c r="M1033" s="119"/>
      <c r="N1033" s="119"/>
    </row>
    <row r="1034" spans="13:14" s="120" customFormat="1" x14ac:dyDescent="0.2">
      <c r="M1034" s="119"/>
      <c r="N1034" s="119"/>
    </row>
    <row r="1035" spans="13:14" s="120" customFormat="1" x14ac:dyDescent="0.2">
      <c r="M1035" s="119"/>
      <c r="N1035" s="119"/>
    </row>
    <row r="1036" spans="13:14" s="120" customFormat="1" x14ac:dyDescent="0.2">
      <c r="M1036" s="119"/>
      <c r="N1036" s="119"/>
    </row>
    <row r="1037" spans="13:14" s="120" customFormat="1" x14ac:dyDescent="0.2">
      <c r="M1037" s="119"/>
      <c r="N1037" s="119"/>
    </row>
    <row r="1038" spans="13:14" s="120" customFormat="1" x14ac:dyDescent="0.2">
      <c r="M1038" s="119"/>
      <c r="N1038" s="119"/>
    </row>
    <row r="1039" spans="13:14" s="120" customFormat="1" x14ac:dyDescent="0.2">
      <c r="M1039" s="119"/>
      <c r="N1039" s="119"/>
    </row>
    <row r="1040" spans="13:14" s="120" customFormat="1" x14ac:dyDescent="0.2">
      <c r="M1040" s="119"/>
      <c r="N1040" s="119"/>
    </row>
    <row r="1041" spans="13:14" s="120" customFormat="1" x14ac:dyDescent="0.2">
      <c r="M1041" s="119"/>
      <c r="N1041" s="119"/>
    </row>
  </sheetData>
  <mergeCells count="12">
    <mergeCell ref="B10:L10"/>
    <mergeCell ref="B2:G2"/>
    <mergeCell ref="I2:J2"/>
    <mergeCell ref="C3:G3"/>
    <mergeCell ref="I3:J3"/>
    <mergeCell ref="C4:G4"/>
    <mergeCell ref="I4:J4"/>
    <mergeCell ref="C5:G5"/>
    <mergeCell ref="I5:J5"/>
    <mergeCell ref="C6:G6"/>
    <mergeCell ref="C7:G7"/>
    <mergeCell ref="C8:G8"/>
  </mergeCells>
  <phoneticPr fontId="23" type="noConversion"/>
  <pageMargins left="0.25" right="0.25" top="0.75" bottom="0.75" header="0.3" footer="0.3"/>
  <pageSetup paperSize="9" scale="50" fitToHeight="2" orientation="portrait" r:id="rId1"/>
  <headerFooter>
    <oddFooter>&amp;L&amp;P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D1445-0F22-4EA7-AE17-28AC3AF38C44}">
  <sheetPr>
    <tabColor rgb="FF92D050"/>
    <pageSetUpPr fitToPage="1"/>
  </sheetPr>
  <dimension ref="A1:L987"/>
  <sheetViews>
    <sheetView zoomScale="125" zoomScaleNormal="100" workbookViewId="0">
      <selection activeCell="B2" sqref="B2:E2"/>
    </sheetView>
  </sheetViews>
  <sheetFormatPr baseColWidth="10" defaultColWidth="10.83203125" defaultRowHeight="16" x14ac:dyDescent="0.2"/>
  <cols>
    <col min="1" max="1" width="3.5" style="111" customWidth="1"/>
    <col min="2" max="2" width="46.33203125" style="111" bestFit="1" customWidth="1"/>
    <col min="3" max="3" width="10.6640625" style="111" customWidth="1"/>
    <col min="4" max="4" width="14.33203125" style="111" customWidth="1"/>
    <col min="5" max="5" width="9.33203125" style="111" customWidth="1"/>
    <col min="6" max="10" width="15.6640625" style="111" customWidth="1"/>
    <col min="11" max="11" width="8.6640625" style="121" hidden="1" customWidth="1"/>
    <col min="12" max="12" width="9.1640625" style="121" hidden="1" customWidth="1"/>
    <col min="13" max="16384" width="10.83203125" style="111"/>
  </cols>
  <sheetData>
    <row r="1" spans="1:12" s="33" customFormat="1" ht="17" thickBot="1" x14ac:dyDescent="0.25">
      <c r="K1" s="66"/>
      <c r="L1" s="66"/>
    </row>
    <row r="2" spans="1:12" s="33" customFormat="1" ht="17" thickBot="1" x14ac:dyDescent="0.25">
      <c r="B2" s="630" t="s">
        <v>503</v>
      </c>
      <c r="C2" s="669"/>
      <c r="D2" s="669"/>
      <c r="E2" s="669"/>
      <c r="F2" s="67"/>
      <c r="G2" s="671" t="s">
        <v>61</v>
      </c>
      <c r="H2" s="672"/>
      <c r="I2" s="68"/>
      <c r="K2" s="66"/>
      <c r="L2" s="66"/>
    </row>
    <row r="3" spans="1:12" s="33" customFormat="1" ht="17" thickBot="1" x14ac:dyDescent="0.25">
      <c r="B3" s="69" t="s">
        <v>62</v>
      </c>
      <c r="C3" s="660"/>
      <c r="D3" s="667"/>
      <c r="E3" s="667"/>
      <c r="G3" s="645" t="str">
        <f>COVER!C9</f>
        <v>ian.shotam@programmed.com.au</v>
      </c>
      <c r="H3" s="646"/>
      <c r="J3" s="66"/>
      <c r="K3" s="66"/>
    </row>
    <row r="4" spans="1:12" s="33" customFormat="1" ht="15.75" customHeight="1" thickBot="1" x14ac:dyDescent="0.25">
      <c r="B4" s="69" t="str">
        <f>COVER!B12</f>
        <v>SITE</v>
      </c>
      <c r="C4" s="649" t="str">
        <f>COVER!C12</f>
        <v>GOLDEN GROVE</v>
      </c>
      <c r="D4" s="668"/>
      <c r="E4" s="668"/>
      <c r="G4" s="627"/>
      <c r="H4" s="628"/>
      <c r="J4" s="66"/>
      <c r="K4" s="66"/>
    </row>
    <row r="5" spans="1:12" s="33" customFormat="1" ht="15.75" customHeight="1" thickBot="1" x14ac:dyDescent="0.25">
      <c r="B5" s="69" t="str">
        <f>COVER!B13</f>
        <v>MANAGERS NAME</v>
      </c>
      <c r="C5" s="649" t="str">
        <f>COVER!C13</f>
        <v>Ian Shotam</v>
      </c>
      <c r="D5" s="668"/>
      <c r="E5" s="668"/>
      <c r="G5" s="629"/>
      <c r="H5" s="628"/>
      <c r="J5" s="66"/>
      <c r="K5" s="66"/>
    </row>
    <row r="6" spans="1:12" s="33" customFormat="1" x14ac:dyDescent="0.2">
      <c r="B6" s="69" t="str">
        <f>COVER!B14</f>
        <v>DATE - ORDER PLACED</v>
      </c>
      <c r="C6" s="651">
        <f>COVER!C14</f>
        <v>45082</v>
      </c>
      <c r="D6" s="665"/>
      <c r="E6" s="665"/>
      <c r="J6" s="66"/>
      <c r="K6" s="66"/>
    </row>
    <row r="7" spans="1:12" s="33" customFormat="1" ht="34" x14ac:dyDescent="0.2">
      <c r="B7" s="543" t="str">
        <f>COVER!B15</f>
        <v>DATE - DELIVERY PERTH - FREIGHT LINES, 12-26 RIVERSDALE RD, WELSHPOOL WA 6100</v>
      </c>
      <c r="C7" s="651">
        <f>COVER!C15</f>
        <v>45085</v>
      </c>
      <c r="D7" s="665"/>
      <c r="E7" s="665"/>
      <c r="J7" s="66"/>
      <c r="K7" s="66"/>
    </row>
    <row r="8" spans="1:12" s="33" customFormat="1" ht="17" thickBot="1" x14ac:dyDescent="0.25">
      <c r="B8" s="70" t="str">
        <f>COVER!B16</f>
        <v>DATE - ESTIMATED ARRIVAL SITE</v>
      </c>
      <c r="C8" s="653">
        <f>COVER!C16</f>
        <v>45086</v>
      </c>
      <c r="D8" s="666"/>
      <c r="E8" s="666"/>
      <c r="J8" s="66"/>
      <c r="K8" s="66"/>
    </row>
    <row r="9" spans="1:12" s="33" customFormat="1" ht="17" thickBot="1" x14ac:dyDescent="0.25">
      <c r="K9" s="66"/>
      <c r="L9" s="66"/>
    </row>
    <row r="10" spans="1:12" s="33" customFormat="1" ht="17" thickBot="1" x14ac:dyDescent="0.25">
      <c r="B10" s="93" t="s">
        <v>504</v>
      </c>
      <c r="C10" s="109"/>
      <c r="D10" s="109"/>
      <c r="E10" s="109"/>
      <c r="F10" s="76" t="s">
        <v>67</v>
      </c>
      <c r="G10" s="76" t="s">
        <v>68</v>
      </c>
      <c r="H10" s="76" t="s">
        <v>69</v>
      </c>
      <c r="I10" s="516" t="s">
        <v>70</v>
      </c>
      <c r="J10" s="517" t="s">
        <v>25</v>
      </c>
      <c r="K10" s="86"/>
      <c r="L10" s="87"/>
    </row>
    <row r="11" spans="1:12" s="33" customFormat="1" x14ac:dyDescent="0.2">
      <c r="A11" s="524"/>
      <c r="B11" s="53" t="s">
        <v>505</v>
      </c>
      <c r="C11" s="106">
        <v>608067</v>
      </c>
      <c r="D11" s="107" t="s">
        <v>506</v>
      </c>
      <c r="E11" s="107" t="s">
        <v>507</v>
      </c>
      <c r="F11" s="8"/>
      <c r="G11" s="3"/>
      <c r="H11" s="17"/>
      <c r="I11" s="112">
        <v>0.67</v>
      </c>
      <c r="J11" s="91">
        <f t="shared" ref="J11:J24" si="0">H11*I11</f>
        <v>0</v>
      </c>
      <c r="K11" s="86">
        <f>I11/6</f>
        <v>0.11166666666666668</v>
      </c>
      <c r="L11" s="87">
        <f t="shared" ref="L11:L24" si="1">K11/1000*100</f>
        <v>1.1166666666666668E-2</v>
      </c>
    </row>
    <row r="12" spans="1:12" s="33" customFormat="1" x14ac:dyDescent="0.2">
      <c r="A12" s="524"/>
      <c r="B12" s="53" t="s">
        <v>508</v>
      </c>
      <c r="C12" s="106">
        <v>43174</v>
      </c>
      <c r="D12" s="107" t="s">
        <v>506</v>
      </c>
      <c r="E12" s="107" t="s">
        <v>509</v>
      </c>
      <c r="F12" s="8"/>
      <c r="G12" s="3"/>
      <c r="H12" s="17"/>
      <c r="I12" s="112">
        <v>18.71</v>
      </c>
      <c r="J12" s="91">
        <f t="shared" si="0"/>
        <v>0</v>
      </c>
      <c r="K12" s="86"/>
      <c r="L12" s="87"/>
    </row>
    <row r="13" spans="1:12" s="33" customFormat="1" x14ac:dyDescent="0.2">
      <c r="A13" s="524"/>
      <c r="B13" s="53" t="s">
        <v>510</v>
      </c>
      <c r="C13" s="106">
        <v>53884</v>
      </c>
      <c r="D13" s="107" t="s">
        <v>506</v>
      </c>
      <c r="E13" s="107" t="s">
        <v>511</v>
      </c>
      <c r="F13" s="8"/>
      <c r="G13" s="3"/>
      <c r="H13" s="17"/>
      <c r="I13" s="112">
        <v>3.23</v>
      </c>
      <c r="J13" s="91">
        <f t="shared" si="0"/>
        <v>0</v>
      </c>
      <c r="K13" s="86">
        <f>I13/6</f>
        <v>0.53833333333333333</v>
      </c>
      <c r="L13" s="87">
        <f t="shared" si="1"/>
        <v>5.3833333333333337E-2</v>
      </c>
    </row>
    <row r="14" spans="1:12" s="33" customFormat="1" x14ac:dyDescent="0.2">
      <c r="A14" s="524"/>
      <c r="B14" s="53" t="s">
        <v>512</v>
      </c>
      <c r="C14" s="106">
        <v>47696</v>
      </c>
      <c r="D14" s="107" t="s">
        <v>506</v>
      </c>
      <c r="E14" s="107" t="s">
        <v>511</v>
      </c>
      <c r="F14" s="8"/>
      <c r="G14" s="3"/>
      <c r="H14" s="17"/>
      <c r="I14" s="112">
        <v>3.23</v>
      </c>
      <c r="J14" s="91">
        <f t="shared" si="0"/>
        <v>0</v>
      </c>
      <c r="K14" s="86">
        <f>I14/6</f>
        <v>0.53833333333333333</v>
      </c>
      <c r="L14" s="87">
        <f t="shared" si="1"/>
        <v>5.3833333333333337E-2</v>
      </c>
    </row>
    <row r="15" spans="1:12" s="33" customFormat="1" x14ac:dyDescent="0.2">
      <c r="A15" s="524"/>
      <c r="B15" s="53" t="s">
        <v>513</v>
      </c>
      <c r="C15" s="106">
        <v>36327</v>
      </c>
      <c r="D15" s="107" t="s">
        <v>506</v>
      </c>
      <c r="E15" s="107" t="s">
        <v>514</v>
      </c>
      <c r="F15" s="8"/>
      <c r="G15" s="3"/>
      <c r="H15" s="17"/>
      <c r="I15" s="112">
        <v>36.51</v>
      </c>
      <c r="J15" s="91">
        <f t="shared" si="0"/>
        <v>0</v>
      </c>
      <c r="K15" s="86">
        <f>I15/4.08</f>
        <v>8.9485294117647047</v>
      </c>
      <c r="L15" s="87">
        <f t="shared" si="1"/>
        <v>0.89485294117647041</v>
      </c>
    </row>
    <row r="16" spans="1:12" s="33" customFormat="1" x14ac:dyDescent="0.2">
      <c r="A16" s="524"/>
      <c r="B16" s="53" t="s">
        <v>515</v>
      </c>
      <c r="C16" s="106">
        <v>9555</v>
      </c>
      <c r="D16" s="107" t="s">
        <v>506</v>
      </c>
      <c r="E16" s="107" t="s">
        <v>516</v>
      </c>
      <c r="F16" s="8"/>
      <c r="G16" s="3"/>
      <c r="H16" s="17"/>
      <c r="I16" s="112">
        <v>5.94</v>
      </c>
      <c r="J16" s="91">
        <f t="shared" si="0"/>
        <v>0</v>
      </c>
      <c r="K16" s="86">
        <f t="shared" ref="K16:K24" si="2">I16/4.08</f>
        <v>1.4558823529411766</v>
      </c>
      <c r="L16" s="87">
        <f t="shared" si="1"/>
        <v>0.14558823529411766</v>
      </c>
    </row>
    <row r="17" spans="1:12" s="33" customFormat="1" x14ac:dyDescent="0.2">
      <c r="A17" s="524"/>
      <c r="B17" s="298" t="s">
        <v>517</v>
      </c>
      <c r="C17" s="106">
        <v>88505</v>
      </c>
      <c r="D17" s="107" t="s">
        <v>506</v>
      </c>
      <c r="E17" s="166" t="s">
        <v>518</v>
      </c>
      <c r="F17" s="8"/>
      <c r="G17" s="3"/>
      <c r="H17" s="17"/>
      <c r="I17" s="467">
        <v>29.14</v>
      </c>
      <c r="J17" s="91">
        <f t="shared" si="0"/>
        <v>0</v>
      </c>
      <c r="K17" s="86"/>
      <c r="L17" s="87"/>
    </row>
    <row r="18" spans="1:12" s="33" customFormat="1" x14ac:dyDescent="0.2">
      <c r="A18" s="524"/>
      <c r="B18" s="298" t="s">
        <v>519</v>
      </c>
      <c r="C18" s="106">
        <v>88507</v>
      </c>
      <c r="D18" s="107" t="s">
        <v>506</v>
      </c>
      <c r="E18" s="166" t="s">
        <v>518</v>
      </c>
      <c r="F18" s="8"/>
      <c r="G18" s="3"/>
      <c r="H18" s="17"/>
      <c r="I18" s="467">
        <v>29.14</v>
      </c>
      <c r="J18" s="91">
        <f t="shared" si="0"/>
        <v>0</v>
      </c>
      <c r="K18" s="86"/>
      <c r="L18" s="87"/>
    </row>
    <row r="19" spans="1:12" s="33" customFormat="1" x14ac:dyDescent="0.2">
      <c r="A19" s="524"/>
      <c r="B19" s="298" t="s">
        <v>520</v>
      </c>
      <c r="C19" s="106">
        <v>88497</v>
      </c>
      <c r="D19" s="107" t="s">
        <v>506</v>
      </c>
      <c r="E19" s="166" t="s">
        <v>518</v>
      </c>
      <c r="F19" s="8"/>
      <c r="G19" s="3"/>
      <c r="H19" s="17"/>
      <c r="I19" s="467">
        <v>29.14</v>
      </c>
      <c r="J19" s="91">
        <f t="shared" si="0"/>
        <v>0</v>
      </c>
      <c r="K19" s="86"/>
      <c r="L19" s="87"/>
    </row>
    <row r="20" spans="1:12" s="33" customFormat="1" x14ac:dyDescent="0.2">
      <c r="A20" s="524"/>
      <c r="B20" s="298" t="s">
        <v>521</v>
      </c>
      <c r="C20" s="106">
        <v>88503</v>
      </c>
      <c r="D20" s="107" t="s">
        <v>506</v>
      </c>
      <c r="E20" s="166" t="s">
        <v>518</v>
      </c>
      <c r="F20" s="8"/>
      <c r="G20" s="3"/>
      <c r="H20" s="17"/>
      <c r="I20" s="467">
        <v>29.14</v>
      </c>
      <c r="J20" s="91">
        <f t="shared" si="0"/>
        <v>0</v>
      </c>
      <c r="K20" s="86"/>
      <c r="L20" s="87"/>
    </row>
    <row r="21" spans="1:12" s="33" customFormat="1" x14ac:dyDescent="0.2">
      <c r="A21" s="524"/>
      <c r="B21" s="298" t="s">
        <v>522</v>
      </c>
      <c r="C21" s="106">
        <v>88491</v>
      </c>
      <c r="D21" s="107" t="s">
        <v>506</v>
      </c>
      <c r="E21" s="166" t="s">
        <v>518</v>
      </c>
      <c r="F21" s="8"/>
      <c r="G21" s="3"/>
      <c r="H21" s="17"/>
      <c r="I21" s="467">
        <v>29.14</v>
      </c>
      <c r="J21" s="91">
        <f t="shared" si="0"/>
        <v>0</v>
      </c>
      <c r="K21" s="86"/>
      <c r="L21" s="87"/>
    </row>
    <row r="22" spans="1:12" s="33" customFormat="1" x14ac:dyDescent="0.2">
      <c r="A22" s="524"/>
      <c r="B22" s="298" t="s">
        <v>523</v>
      </c>
      <c r="C22" s="106">
        <v>88506</v>
      </c>
      <c r="D22" s="107" t="s">
        <v>506</v>
      </c>
      <c r="E22" s="166" t="s">
        <v>518</v>
      </c>
      <c r="F22" s="8"/>
      <c r="G22" s="3"/>
      <c r="H22" s="17"/>
      <c r="I22" s="467">
        <v>29.14</v>
      </c>
      <c r="J22" s="91">
        <f t="shared" si="0"/>
        <v>0</v>
      </c>
      <c r="K22" s="86"/>
      <c r="L22" s="87"/>
    </row>
    <row r="23" spans="1:12" s="33" customFormat="1" x14ac:dyDescent="0.2">
      <c r="A23" s="524"/>
      <c r="B23" s="298" t="s">
        <v>524</v>
      </c>
      <c r="C23" s="106">
        <v>88696</v>
      </c>
      <c r="D23" s="107" t="s">
        <v>506</v>
      </c>
      <c r="E23" s="166" t="s">
        <v>518</v>
      </c>
      <c r="F23" s="8"/>
      <c r="G23" s="3"/>
      <c r="H23" s="17"/>
      <c r="I23" s="467">
        <v>29.14</v>
      </c>
      <c r="J23" s="91">
        <f t="shared" si="0"/>
        <v>0</v>
      </c>
      <c r="K23" s="86"/>
      <c r="L23" s="87"/>
    </row>
    <row r="24" spans="1:12" s="33" customFormat="1" ht="17" thickBot="1" x14ac:dyDescent="0.25">
      <c r="A24" s="524"/>
      <c r="B24" s="298" t="s">
        <v>525</v>
      </c>
      <c r="C24" s="106">
        <v>88806</v>
      </c>
      <c r="D24" s="107" t="s">
        <v>506</v>
      </c>
      <c r="E24" s="166" t="s">
        <v>518</v>
      </c>
      <c r="F24" s="8"/>
      <c r="G24" s="3"/>
      <c r="H24" s="17"/>
      <c r="I24" s="467">
        <v>29.14</v>
      </c>
      <c r="J24" s="91">
        <f t="shared" si="0"/>
        <v>0</v>
      </c>
      <c r="K24" s="86">
        <f t="shared" si="2"/>
        <v>7.1421568627450984</v>
      </c>
      <c r="L24" s="87">
        <f t="shared" si="1"/>
        <v>0.71421568627450982</v>
      </c>
    </row>
    <row r="25" spans="1:12" s="33" customFormat="1" ht="17" thickBot="1" x14ac:dyDescent="0.25">
      <c r="B25" s="102"/>
      <c r="C25" s="103"/>
      <c r="D25" s="118"/>
      <c r="E25" s="118"/>
      <c r="F25" s="118"/>
      <c r="G25" s="118"/>
      <c r="H25" s="103"/>
      <c r="I25" s="104"/>
      <c r="J25" s="105">
        <f>SUM(J10:J24)</f>
        <v>0</v>
      </c>
      <c r="K25" s="86"/>
      <c r="L25" s="87"/>
    </row>
    <row r="26" spans="1:12" s="33" customFormat="1" x14ac:dyDescent="0.2">
      <c r="K26" s="66"/>
      <c r="L26" s="66"/>
    </row>
    <row r="27" spans="1:12" s="33" customFormat="1" x14ac:dyDescent="0.2">
      <c r="K27" s="66"/>
      <c r="L27" s="66"/>
    </row>
    <row r="28" spans="1:12" s="33" customFormat="1" x14ac:dyDescent="0.2">
      <c r="K28" s="66"/>
      <c r="L28" s="66"/>
    </row>
    <row r="29" spans="1:12" s="33" customFormat="1" x14ac:dyDescent="0.2">
      <c r="K29" s="66"/>
      <c r="L29" s="66"/>
    </row>
    <row r="30" spans="1:12" s="33" customFormat="1" x14ac:dyDescent="0.2">
      <c r="K30" s="66"/>
      <c r="L30" s="66"/>
    </row>
    <row r="31" spans="1:12" s="33" customFormat="1" x14ac:dyDescent="0.2">
      <c r="K31" s="66"/>
      <c r="L31" s="66"/>
    </row>
    <row r="32" spans="1:12" s="33" customFormat="1" x14ac:dyDescent="0.2">
      <c r="K32" s="66"/>
      <c r="L32" s="66"/>
    </row>
    <row r="33" spans="11:12" s="33" customFormat="1" x14ac:dyDescent="0.2">
      <c r="K33" s="66"/>
      <c r="L33" s="66"/>
    </row>
    <row r="34" spans="11:12" s="33" customFormat="1" x14ac:dyDescent="0.2">
      <c r="K34" s="66"/>
      <c r="L34" s="66"/>
    </row>
    <row r="35" spans="11:12" s="33" customFormat="1" x14ac:dyDescent="0.2">
      <c r="K35" s="66"/>
      <c r="L35" s="66"/>
    </row>
    <row r="36" spans="11:12" s="33" customFormat="1" x14ac:dyDescent="0.2">
      <c r="K36" s="66"/>
      <c r="L36" s="66"/>
    </row>
    <row r="37" spans="11:12" s="33" customFormat="1" x14ac:dyDescent="0.2">
      <c r="K37" s="66"/>
      <c r="L37" s="66"/>
    </row>
    <row r="38" spans="11:12" s="33" customFormat="1" x14ac:dyDescent="0.2">
      <c r="K38" s="66"/>
      <c r="L38" s="66"/>
    </row>
    <row r="39" spans="11:12" s="33" customFormat="1" x14ac:dyDescent="0.2">
      <c r="K39" s="66"/>
      <c r="L39" s="66"/>
    </row>
    <row r="40" spans="11:12" s="33" customFormat="1" x14ac:dyDescent="0.2">
      <c r="K40" s="66"/>
      <c r="L40" s="66"/>
    </row>
    <row r="41" spans="11:12" s="33" customFormat="1" x14ac:dyDescent="0.2">
      <c r="K41" s="66"/>
      <c r="L41" s="66"/>
    </row>
    <row r="42" spans="11:12" s="33" customFormat="1" x14ac:dyDescent="0.2">
      <c r="K42" s="66"/>
      <c r="L42" s="66"/>
    </row>
    <row r="43" spans="11:12" s="33" customFormat="1" x14ac:dyDescent="0.2">
      <c r="K43" s="66"/>
      <c r="L43" s="66"/>
    </row>
    <row r="44" spans="11:12" s="33" customFormat="1" x14ac:dyDescent="0.2">
      <c r="K44" s="66"/>
      <c r="L44" s="66"/>
    </row>
    <row r="45" spans="11:12" s="33" customFormat="1" x14ac:dyDescent="0.2">
      <c r="K45" s="66"/>
      <c r="L45" s="66"/>
    </row>
    <row r="46" spans="11:12" s="33" customFormat="1" x14ac:dyDescent="0.2">
      <c r="K46" s="66"/>
      <c r="L46" s="66"/>
    </row>
    <row r="47" spans="11:12" s="33" customFormat="1" x14ac:dyDescent="0.2">
      <c r="K47" s="66"/>
      <c r="L47" s="66"/>
    </row>
    <row r="48" spans="11:12" s="33" customFormat="1" x14ac:dyDescent="0.2">
      <c r="K48" s="66"/>
      <c r="L48" s="66"/>
    </row>
    <row r="49" spans="11:12" s="33" customFormat="1" x14ac:dyDescent="0.2">
      <c r="K49" s="66"/>
      <c r="L49" s="66"/>
    </row>
    <row r="50" spans="11:12" s="33" customFormat="1" x14ac:dyDescent="0.2">
      <c r="K50" s="66"/>
      <c r="L50" s="66"/>
    </row>
    <row r="51" spans="11:12" s="33" customFormat="1" x14ac:dyDescent="0.2">
      <c r="K51" s="66"/>
      <c r="L51" s="66"/>
    </row>
    <row r="52" spans="11:12" s="33" customFormat="1" x14ac:dyDescent="0.2">
      <c r="K52" s="66"/>
      <c r="L52" s="66"/>
    </row>
    <row r="53" spans="11:12" s="33" customFormat="1" x14ac:dyDescent="0.2">
      <c r="K53" s="66"/>
      <c r="L53" s="66"/>
    </row>
    <row r="54" spans="11:12" s="33" customFormat="1" x14ac:dyDescent="0.2">
      <c r="K54" s="66"/>
      <c r="L54" s="66"/>
    </row>
    <row r="55" spans="11:12" s="120" customFormat="1" x14ac:dyDescent="0.2">
      <c r="K55" s="119"/>
      <c r="L55" s="119"/>
    </row>
    <row r="56" spans="11:12" s="120" customFormat="1" x14ac:dyDescent="0.2">
      <c r="K56" s="119"/>
      <c r="L56" s="119"/>
    </row>
    <row r="57" spans="11:12" s="120" customFormat="1" x14ac:dyDescent="0.2">
      <c r="K57" s="119"/>
      <c r="L57" s="119"/>
    </row>
    <row r="58" spans="11:12" s="120" customFormat="1" x14ac:dyDescent="0.2">
      <c r="K58" s="119"/>
      <c r="L58" s="119"/>
    </row>
    <row r="59" spans="11:12" s="120" customFormat="1" x14ac:dyDescent="0.2">
      <c r="K59" s="119"/>
      <c r="L59" s="119"/>
    </row>
    <row r="60" spans="11:12" s="120" customFormat="1" x14ac:dyDescent="0.2">
      <c r="K60" s="119"/>
      <c r="L60" s="119"/>
    </row>
    <row r="61" spans="11:12" s="120" customFormat="1" x14ac:dyDescent="0.2">
      <c r="K61" s="119"/>
      <c r="L61" s="119"/>
    </row>
    <row r="62" spans="11:12" s="120" customFormat="1" x14ac:dyDescent="0.2">
      <c r="K62" s="119"/>
      <c r="L62" s="119"/>
    </row>
    <row r="63" spans="11:12" s="120" customFormat="1" x14ac:dyDescent="0.2">
      <c r="K63" s="119"/>
      <c r="L63" s="119"/>
    </row>
    <row r="64" spans="11:12" s="120" customFormat="1" x14ac:dyDescent="0.2">
      <c r="K64" s="119"/>
      <c r="L64" s="119"/>
    </row>
    <row r="65" spans="11:12" s="120" customFormat="1" x14ac:dyDescent="0.2">
      <c r="K65" s="119"/>
      <c r="L65" s="119"/>
    </row>
    <row r="66" spans="11:12" s="120" customFormat="1" x14ac:dyDescent="0.2">
      <c r="K66" s="119"/>
      <c r="L66" s="119"/>
    </row>
    <row r="67" spans="11:12" s="120" customFormat="1" x14ac:dyDescent="0.2">
      <c r="K67" s="119"/>
      <c r="L67" s="119"/>
    </row>
    <row r="68" spans="11:12" s="120" customFormat="1" x14ac:dyDescent="0.2">
      <c r="K68" s="119"/>
      <c r="L68" s="119"/>
    </row>
    <row r="69" spans="11:12" s="120" customFormat="1" x14ac:dyDescent="0.2">
      <c r="K69" s="119"/>
      <c r="L69" s="119"/>
    </row>
    <row r="70" spans="11:12" s="120" customFormat="1" x14ac:dyDescent="0.2">
      <c r="K70" s="119"/>
      <c r="L70" s="119"/>
    </row>
    <row r="71" spans="11:12" s="120" customFormat="1" x14ac:dyDescent="0.2">
      <c r="K71" s="119"/>
      <c r="L71" s="119"/>
    </row>
    <row r="72" spans="11:12" s="120" customFormat="1" x14ac:dyDescent="0.2">
      <c r="K72" s="119"/>
      <c r="L72" s="119"/>
    </row>
    <row r="73" spans="11:12" s="120" customFormat="1" x14ac:dyDescent="0.2">
      <c r="K73" s="119"/>
      <c r="L73" s="119"/>
    </row>
    <row r="74" spans="11:12" s="120" customFormat="1" x14ac:dyDescent="0.2">
      <c r="K74" s="119"/>
      <c r="L74" s="119"/>
    </row>
    <row r="75" spans="11:12" s="120" customFormat="1" x14ac:dyDescent="0.2">
      <c r="K75" s="119"/>
      <c r="L75" s="119"/>
    </row>
    <row r="76" spans="11:12" s="120" customFormat="1" x14ac:dyDescent="0.2">
      <c r="K76" s="119"/>
      <c r="L76" s="119"/>
    </row>
    <row r="77" spans="11:12" s="120" customFormat="1" x14ac:dyDescent="0.2">
      <c r="K77" s="119"/>
      <c r="L77" s="119"/>
    </row>
    <row r="78" spans="11:12" s="120" customFormat="1" x14ac:dyDescent="0.2">
      <c r="K78" s="119"/>
      <c r="L78" s="119"/>
    </row>
    <row r="79" spans="11:12" s="120" customFormat="1" x14ac:dyDescent="0.2">
      <c r="K79" s="119"/>
      <c r="L79" s="119"/>
    </row>
    <row r="80" spans="11:12" s="120" customFormat="1" x14ac:dyDescent="0.2">
      <c r="K80" s="119"/>
      <c r="L80" s="119"/>
    </row>
    <row r="81" spans="11:12" s="120" customFormat="1" x14ac:dyDescent="0.2">
      <c r="K81" s="119"/>
      <c r="L81" s="119"/>
    </row>
    <row r="82" spans="11:12" s="120" customFormat="1" x14ac:dyDescent="0.2">
      <c r="K82" s="119"/>
      <c r="L82" s="119"/>
    </row>
    <row r="83" spans="11:12" s="120" customFormat="1" x14ac:dyDescent="0.2">
      <c r="K83" s="119"/>
      <c r="L83" s="119"/>
    </row>
    <row r="84" spans="11:12" s="120" customFormat="1" x14ac:dyDescent="0.2">
      <c r="K84" s="119"/>
      <c r="L84" s="119"/>
    </row>
    <row r="85" spans="11:12" s="120" customFormat="1" x14ac:dyDescent="0.2">
      <c r="K85" s="119"/>
      <c r="L85" s="119"/>
    </row>
    <row r="86" spans="11:12" s="120" customFormat="1" x14ac:dyDescent="0.2">
      <c r="K86" s="119"/>
      <c r="L86" s="119"/>
    </row>
    <row r="87" spans="11:12" s="120" customFormat="1" x14ac:dyDescent="0.2">
      <c r="K87" s="119"/>
      <c r="L87" s="119"/>
    </row>
    <row r="88" spans="11:12" s="120" customFormat="1" x14ac:dyDescent="0.2">
      <c r="K88" s="119"/>
      <c r="L88" s="119"/>
    </row>
    <row r="89" spans="11:12" s="120" customFormat="1" x14ac:dyDescent="0.2">
      <c r="K89" s="119"/>
      <c r="L89" s="119"/>
    </row>
    <row r="90" spans="11:12" s="120" customFormat="1" x14ac:dyDescent="0.2">
      <c r="K90" s="119"/>
      <c r="L90" s="119"/>
    </row>
    <row r="91" spans="11:12" s="120" customFormat="1" x14ac:dyDescent="0.2">
      <c r="K91" s="119"/>
      <c r="L91" s="119"/>
    </row>
    <row r="92" spans="11:12" s="120" customFormat="1" x14ac:dyDescent="0.2">
      <c r="K92" s="119"/>
      <c r="L92" s="119"/>
    </row>
    <row r="93" spans="11:12" s="120" customFormat="1" x14ac:dyDescent="0.2">
      <c r="K93" s="119"/>
      <c r="L93" s="119"/>
    </row>
    <row r="94" spans="11:12" s="120" customFormat="1" x14ac:dyDescent="0.2">
      <c r="K94" s="119"/>
      <c r="L94" s="119"/>
    </row>
    <row r="95" spans="11:12" s="120" customFormat="1" x14ac:dyDescent="0.2">
      <c r="K95" s="119"/>
      <c r="L95" s="119"/>
    </row>
    <row r="96" spans="11:12" s="120" customFormat="1" x14ac:dyDescent="0.2">
      <c r="K96" s="119"/>
      <c r="L96" s="119"/>
    </row>
    <row r="97" spans="11:12" s="120" customFormat="1" x14ac:dyDescent="0.2">
      <c r="K97" s="119"/>
      <c r="L97" s="119"/>
    </row>
    <row r="98" spans="11:12" s="120" customFormat="1" x14ac:dyDescent="0.2">
      <c r="K98" s="119"/>
      <c r="L98" s="119"/>
    </row>
    <row r="99" spans="11:12" s="120" customFormat="1" x14ac:dyDescent="0.2">
      <c r="K99" s="119"/>
      <c r="L99" s="119"/>
    </row>
    <row r="100" spans="11:12" s="120" customFormat="1" x14ac:dyDescent="0.2">
      <c r="K100" s="119"/>
      <c r="L100" s="119"/>
    </row>
    <row r="101" spans="11:12" s="120" customFormat="1" x14ac:dyDescent="0.2">
      <c r="K101" s="119"/>
      <c r="L101" s="119"/>
    </row>
    <row r="102" spans="11:12" s="120" customFormat="1" x14ac:dyDescent="0.2">
      <c r="K102" s="119"/>
      <c r="L102" s="119"/>
    </row>
    <row r="103" spans="11:12" s="120" customFormat="1" x14ac:dyDescent="0.2">
      <c r="K103" s="119"/>
      <c r="L103" s="119"/>
    </row>
    <row r="104" spans="11:12" s="120" customFormat="1" x14ac:dyDescent="0.2">
      <c r="K104" s="119"/>
      <c r="L104" s="119"/>
    </row>
    <row r="105" spans="11:12" s="120" customFormat="1" x14ac:dyDescent="0.2">
      <c r="K105" s="119"/>
      <c r="L105" s="119"/>
    </row>
    <row r="106" spans="11:12" s="120" customFormat="1" x14ac:dyDescent="0.2">
      <c r="K106" s="119"/>
      <c r="L106" s="119"/>
    </row>
    <row r="107" spans="11:12" s="120" customFormat="1" x14ac:dyDescent="0.2">
      <c r="K107" s="119"/>
      <c r="L107" s="119"/>
    </row>
    <row r="108" spans="11:12" s="120" customFormat="1" x14ac:dyDescent="0.2">
      <c r="K108" s="119"/>
      <c r="L108" s="119"/>
    </row>
    <row r="109" spans="11:12" s="120" customFormat="1" x14ac:dyDescent="0.2">
      <c r="K109" s="119"/>
      <c r="L109" s="119"/>
    </row>
    <row r="110" spans="11:12" s="120" customFormat="1" x14ac:dyDescent="0.2">
      <c r="K110" s="119"/>
      <c r="L110" s="119"/>
    </row>
    <row r="111" spans="11:12" s="120" customFormat="1" x14ac:dyDescent="0.2">
      <c r="K111" s="119"/>
      <c r="L111" s="119"/>
    </row>
    <row r="112" spans="11:12" s="120" customFormat="1" x14ac:dyDescent="0.2">
      <c r="K112" s="119"/>
      <c r="L112" s="119"/>
    </row>
    <row r="113" spans="11:12" s="120" customFormat="1" x14ac:dyDescent="0.2">
      <c r="K113" s="119"/>
      <c r="L113" s="119"/>
    </row>
    <row r="114" spans="11:12" s="120" customFormat="1" x14ac:dyDescent="0.2">
      <c r="K114" s="119"/>
      <c r="L114" s="119"/>
    </row>
    <row r="115" spans="11:12" s="120" customFormat="1" x14ac:dyDescent="0.2">
      <c r="K115" s="119"/>
      <c r="L115" s="119"/>
    </row>
    <row r="116" spans="11:12" s="120" customFormat="1" x14ac:dyDescent="0.2">
      <c r="K116" s="119"/>
      <c r="L116" s="119"/>
    </row>
    <row r="117" spans="11:12" s="120" customFormat="1" x14ac:dyDescent="0.2">
      <c r="K117" s="119"/>
      <c r="L117" s="119"/>
    </row>
    <row r="118" spans="11:12" s="120" customFormat="1" x14ac:dyDescent="0.2">
      <c r="K118" s="119"/>
      <c r="L118" s="119"/>
    </row>
    <row r="119" spans="11:12" s="120" customFormat="1" x14ac:dyDescent="0.2">
      <c r="K119" s="119"/>
      <c r="L119" s="119"/>
    </row>
    <row r="120" spans="11:12" s="120" customFormat="1" x14ac:dyDescent="0.2">
      <c r="K120" s="119"/>
      <c r="L120" s="119"/>
    </row>
    <row r="121" spans="11:12" s="120" customFormat="1" x14ac:dyDescent="0.2">
      <c r="K121" s="119"/>
      <c r="L121" s="119"/>
    </row>
    <row r="122" spans="11:12" s="120" customFormat="1" x14ac:dyDescent="0.2">
      <c r="K122" s="119"/>
      <c r="L122" s="119"/>
    </row>
    <row r="123" spans="11:12" s="120" customFormat="1" x14ac:dyDescent="0.2">
      <c r="K123" s="119"/>
      <c r="L123" s="119"/>
    </row>
    <row r="124" spans="11:12" s="120" customFormat="1" x14ac:dyDescent="0.2">
      <c r="K124" s="119"/>
      <c r="L124" s="119"/>
    </row>
    <row r="125" spans="11:12" s="120" customFormat="1" x14ac:dyDescent="0.2">
      <c r="K125" s="119"/>
      <c r="L125" s="119"/>
    </row>
    <row r="126" spans="11:12" s="120" customFormat="1" x14ac:dyDescent="0.2">
      <c r="K126" s="119"/>
      <c r="L126" s="119"/>
    </row>
    <row r="127" spans="11:12" s="120" customFormat="1" x14ac:dyDescent="0.2">
      <c r="K127" s="119"/>
      <c r="L127" s="119"/>
    </row>
    <row r="128" spans="11:12" s="120" customFormat="1" x14ac:dyDescent="0.2">
      <c r="K128" s="119"/>
      <c r="L128" s="119"/>
    </row>
    <row r="129" spans="11:12" s="120" customFormat="1" x14ac:dyDescent="0.2">
      <c r="K129" s="119"/>
      <c r="L129" s="119"/>
    </row>
    <row r="130" spans="11:12" s="120" customFormat="1" x14ac:dyDescent="0.2">
      <c r="K130" s="119"/>
      <c r="L130" s="119"/>
    </row>
    <row r="131" spans="11:12" s="120" customFormat="1" x14ac:dyDescent="0.2">
      <c r="K131" s="119"/>
      <c r="L131" s="119"/>
    </row>
    <row r="132" spans="11:12" s="120" customFormat="1" x14ac:dyDescent="0.2">
      <c r="K132" s="119"/>
      <c r="L132" s="119"/>
    </row>
    <row r="133" spans="11:12" s="120" customFormat="1" x14ac:dyDescent="0.2">
      <c r="K133" s="119"/>
      <c r="L133" s="119"/>
    </row>
    <row r="134" spans="11:12" s="120" customFormat="1" x14ac:dyDescent="0.2">
      <c r="K134" s="119"/>
      <c r="L134" s="119"/>
    </row>
    <row r="135" spans="11:12" s="120" customFormat="1" x14ac:dyDescent="0.2">
      <c r="K135" s="119"/>
      <c r="L135" s="119"/>
    </row>
    <row r="136" spans="11:12" s="120" customFormat="1" x14ac:dyDescent="0.2">
      <c r="K136" s="119"/>
      <c r="L136" s="119"/>
    </row>
    <row r="137" spans="11:12" s="120" customFormat="1" x14ac:dyDescent="0.2">
      <c r="K137" s="119"/>
      <c r="L137" s="119"/>
    </row>
    <row r="138" spans="11:12" s="120" customFormat="1" x14ac:dyDescent="0.2">
      <c r="K138" s="119"/>
      <c r="L138" s="119"/>
    </row>
    <row r="139" spans="11:12" s="120" customFormat="1" x14ac:dyDescent="0.2">
      <c r="K139" s="119"/>
      <c r="L139" s="119"/>
    </row>
    <row r="140" spans="11:12" s="120" customFormat="1" x14ac:dyDescent="0.2">
      <c r="K140" s="119"/>
      <c r="L140" s="119"/>
    </row>
    <row r="141" spans="11:12" s="120" customFormat="1" x14ac:dyDescent="0.2">
      <c r="K141" s="119"/>
      <c r="L141" s="119"/>
    </row>
    <row r="142" spans="11:12" s="120" customFormat="1" x14ac:dyDescent="0.2">
      <c r="K142" s="119"/>
      <c r="L142" s="119"/>
    </row>
    <row r="143" spans="11:12" s="120" customFormat="1" x14ac:dyDescent="0.2">
      <c r="K143" s="119"/>
      <c r="L143" s="119"/>
    </row>
    <row r="144" spans="11:12" s="120" customFormat="1" x14ac:dyDescent="0.2">
      <c r="K144" s="119"/>
      <c r="L144" s="119"/>
    </row>
    <row r="145" spans="11:12" s="120" customFormat="1" x14ac:dyDescent="0.2">
      <c r="K145" s="119"/>
      <c r="L145" s="119"/>
    </row>
    <row r="146" spans="11:12" s="120" customFormat="1" x14ac:dyDescent="0.2">
      <c r="K146" s="119"/>
      <c r="L146" s="119"/>
    </row>
    <row r="147" spans="11:12" s="120" customFormat="1" x14ac:dyDescent="0.2">
      <c r="K147" s="119"/>
      <c r="L147" s="119"/>
    </row>
    <row r="148" spans="11:12" s="120" customFormat="1" x14ac:dyDescent="0.2">
      <c r="K148" s="119"/>
      <c r="L148" s="119"/>
    </row>
    <row r="149" spans="11:12" s="120" customFormat="1" x14ac:dyDescent="0.2">
      <c r="K149" s="119"/>
      <c r="L149" s="119"/>
    </row>
    <row r="150" spans="11:12" s="120" customFormat="1" x14ac:dyDescent="0.2">
      <c r="K150" s="119"/>
      <c r="L150" s="119"/>
    </row>
    <row r="151" spans="11:12" s="120" customFormat="1" x14ac:dyDescent="0.2">
      <c r="K151" s="119"/>
      <c r="L151" s="119"/>
    </row>
    <row r="152" spans="11:12" s="120" customFormat="1" x14ac:dyDescent="0.2">
      <c r="K152" s="119"/>
      <c r="L152" s="119"/>
    </row>
    <row r="153" spans="11:12" s="120" customFormat="1" x14ac:dyDescent="0.2">
      <c r="K153" s="119"/>
      <c r="L153" s="119"/>
    </row>
    <row r="154" spans="11:12" s="120" customFormat="1" x14ac:dyDescent="0.2">
      <c r="K154" s="119"/>
      <c r="L154" s="119"/>
    </row>
    <row r="155" spans="11:12" s="120" customFormat="1" x14ac:dyDescent="0.2">
      <c r="K155" s="119"/>
      <c r="L155" s="119"/>
    </row>
    <row r="156" spans="11:12" s="120" customFormat="1" x14ac:dyDescent="0.2">
      <c r="K156" s="119"/>
      <c r="L156" s="119"/>
    </row>
    <row r="157" spans="11:12" s="120" customFormat="1" x14ac:dyDescent="0.2">
      <c r="K157" s="119"/>
      <c r="L157" s="119"/>
    </row>
    <row r="158" spans="11:12" s="120" customFormat="1" x14ac:dyDescent="0.2">
      <c r="K158" s="119"/>
      <c r="L158" s="119"/>
    </row>
    <row r="159" spans="11:12" s="120" customFormat="1" x14ac:dyDescent="0.2">
      <c r="K159" s="119"/>
      <c r="L159" s="119"/>
    </row>
    <row r="160" spans="11:12" s="120" customFormat="1" x14ac:dyDescent="0.2">
      <c r="K160" s="119"/>
      <c r="L160" s="119"/>
    </row>
    <row r="161" spans="11:12" s="120" customFormat="1" x14ac:dyDescent="0.2">
      <c r="K161" s="119"/>
      <c r="L161" s="119"/>
    </row>
    <row r="162" spans="11:12" s="120" customFormat="1" x14ac:dyDescent="0.2">
      <c r="K162" s="119"/>
      <c r="L162" s="119"/>
    </row>
    <row r="163" spans="11:12" s="120" customFormat="1" x14ac:dyDescent="0.2">
      <c r="K163" s="119"/>
      <c r="L163" s="119"/>
    </row>
    <row r="164" spans="11:12" s="120" customFormat="1" x14ac:dyDescent="0.2">
      <c r="K164" s="119"/>
      <c r="L164" s="119"/>
    </row>
    <row r="165" spans="11:12" s="120" customFormat="1" x14ac:dyDescent="0.2">
      <c r="K165" s="119"/>
      <c r="L165" s="119"/>
    </row>
    <row r="166" spans="11:12" s="120" customFormat="1" x14ac:dyDescent="0.2">
      <c r="K166" s="119"/>
      <c r="L166" s="119"/>
    </row>
    <row r="167" spans="11:12" s="120" customFormat="1" x14ac:dyDescent="0.2">
      <c r="K167" s="119"/>
      <c r="L167" s="119"/>
    </row>
    <row r="168" spans="11:12" s="120" customFormat="1" x14ac:dyDescent="0.2">
      <c r="K168" s="119"/>
      <c r="L168" s="119"/>
    </row>
    <row r="169" spans="11:12" s="120" customFormat="1" x14ac:dyDescent="0.2">
      <c r="K169" s="119"/>
      <c r="L169" s="119"/>
    </row>
    <row r="170" spans="11:12" s="120" customFormat="1" x14ac:dyDescent="0.2">
      <c r="K170" s="119"/>
      <c r="L170" s="119"/>
    </row>
    <row r="171" spans="11:12" s="120" customFormat="1" x14ac:dyDescent="0.2">
      <c r="K171" s="119"/>
      <c r="L171" s="119"/>
    </row>
    <row r="172" spans="11:12" s="120" customFormat="1" x14ac:dyDescent="0.2">
      <c r="K172" s="119"/>
      <c r="L172" s="119"/>
    </row>
    <row r="173" spans="11:12" s="120" customFormat="1" x14ac:dyDescent="0.2">
      <c r="K173" s="119"/>
      <c r="L173" s="119"/>
    </row>
    <row r="174" spans="11:12" s="120" customFormat="1" x14ac:dyDescent="0.2">
      <c r="K174" s="119"/>
      <c r="L174" s="119"/>
    </row>
    <row r="175" spans="11:12" s="120" customFormat="1" x14ac:dyDescent="0.2">
      <c r="K175" s="119"/>
      <c r="L175" s="119"/>
    </row>
    <row r="176" spans="11:12" s="120" customFormat="1" x14ac:dyDescent="0.2">
      <c r="K176" s="119"/>
      <c r="L176" s="119"/>
    </row>
    <row r="177" spans="11:12" s="120" customFormat="1" x14ac:dyDescent="0.2">
      <c r="K177" s="119"/>
      <c r="L177" s="119"/>
    </row>
    <row r="178" spans="11:12" s="120" customFormat="1" x14ac:dyDescent="0.2">
      <c r="K178" s="119"/>
      <c r="L178" s="119"/>
    </row>
    <row r="179" spans="11:12" s="120" customFormat="1" x14ac:dyDescent="0.2">
      <c r="K179" s="119"/>
      <c r="L179" s="119"/>
    </row>
    <row r="180" spans="11:12" s="120" customFormat="1" x14ac:dyDescent="0.2">
      <c r="K180" s="119"/>
      <c r="L180" s="119"/>
    </row>
    <row r="181" spans="11:12" s="120" customFormat="1" x14ac:dyDescent="0.2">
      <c r="K181" s="119"/>
      <c r="L181" s="119"/>
    </row>
    <row r="182" spans="11:12" s="120" customFormat="1" x14ac:dyDescent="0.2">
      <c r="K182" s="119"/>
      <c r="L182" s="119"/>
    </row>
    <row r="183" spans="11:12" s="120" customFormat="1" x14ac:dyDescent="0.2">
      <c r="K183" s="119"/>
      <c r="L183" s="119"/>
    </row>
    <row r="184" spans="11:12" s="120" customFormat="1" x14ac:dyDescent="0.2">
      <c r="K184" s="119"/>
      <c r="L184" s="119"/>
    </row>
    <row r="185" spans="11:12" s="120" customFormat="1" x14ac:dyDescent="0.2">
      <c r="K185" s="119"/>
      <c r="L185" s="119"/>
    </row>
    <row r="186" spans="11:12" s="120" customFormat="1" x14ac:dyDescent="0.2">
      <c r="K186" s="119"/>
      <c r="L186" s="119"/>
    </row>
    <row r="187" spans="11:12" s="120" customFormat="1" x14ac:dyDescent="0.2">
      <c r="K187" s="119"/>
      <c r="L187" s="119"/>
    </row>
    <row r="188" spans="11:12" s="120" customFormat="1" x14ac:dyDescent="0.2">
      <c r="K188" s="119"/>
      <c r="L188" s="119"/>
    </row>
    <row r="189" spans="11:12" s="120" customFormat="1" x14ac:dyDescent="0.2">
      <c r="K189" s="119"/>
      <c r="L189" s="119"/>
    </row>
    <row r="190" spans="11:12" s="120" customFormat="1" x14ac:dyDescent="0.2">
      <c r="K190" s="119"/>
      <c r="L190" s="119"/>
    </row>
    <row r="191" spans="11:12" s="120" customFormat="1" x14ac:dyDescent="0.2">
      <c r="K191" s="119"/>
      <c r="L191" s="119"/>
    </row>
    <row r="192" spans="11:12" s="120" customFormat="1" x14ac:dyDescent="0.2">
      <c r="K192" s="119"/>
      <c r="L192" s="119"/>
    </row>
    <row r="193" spans="11:12" s="120" customFormat="1" x14ac:dyDescent="0.2">
      <c r="K193" s="119"/>
      <c r="L193" s="119"/>
    </row>
    <row r="194" spans="11:12" s="120" customFormat="1" x14ac:dyDescent="0.2">
      <c r="K194" s="119"/>
      <c r="L194" s="119"/>
    </row>
    <row r="195" spans="11:12" s="120" customFormat="1" x14ac:dyDescent="0.2">
      <c r="K195" s="119"/>
      <c r="L195" s="119"/>
    </row>
    <row r="196" spans="11:12" s="120" customFormat="1" x14ac:dyDescent="0.2">
      <c r="K196" s="119"/>
      <c r="L196" s="119"/>
    </row>
    <row r="197" spans="11:12" s="120" customFormat="1" x14ac:dyDescent="0.2">
      <c r="K197" s="119"/>
      <c r="L197" s="119"/>
    </row>
    <row r="198" spans="11:12" s="120" customFormat="1" x14ac:dyDescent="0.2">
      <c r="K198" s="119"/>
      <c r="L198" s="119"/>
    </row>
    <row r="199" spans="11:12" s="120" customFormat="1" x14ac:dyDescent="0.2">
      <c r="K199" s="119"/>
      <c r="L199" s="119"/>
    </row>
    <row r="200" spans="11:12" s="120" customFormat="1" x14ac:dyDescent="0.2">
      <c r="K200" s="119"/>
      <c r="L200" s="119"/>
    </row>
    <row r="201" spans="11:12" s="120" customFormat="1" x14ac:dyDescent="0.2">
      <c r="K201" s="119"/>
      <c r="L201" s="119"/>
    </row>
    <row r="202" spans="11:12" s="120" customFormat="1" x14ac:dyDescent="0.2">
      <c r="K202" s="119"/>
      <c r="L202" s="119"/>
    </row>
    <row r="203" spans="11:12" s="120" customFormat="1" x14ac:dyDescent="0.2">
      <c r="K203" s="119"/>
      <c r="L203" s="119"/>
    </row>
    <row r="204" spans="11:12" s="120" customFormat="1" x14ac:dyDescent="0.2">
      <c r="K204" s="119"/>
      <c r="L204" s="119"/>
    </row>
    <row r="205" spans="11:12" s="120" customFormat="1" x14ac:dyDescent="0.2">
      <c r="K205" s="119"/>
      <c r="L205" s="119"/>
    </row>
    <row r="206" spans="11:12" s="120" customFormat="1" x14ac:dyDescent="0.2">
      <c r="K206" s="119"/>
      <c r="L206" s="119"/>
    </row>
    <row r="207" spans="11:12" s="120" customFormat="1" x14ac:dyDescent="0.2">
      <c r="K207" s="119"/>
      <c r="L207" s="119"/>
    </row>
    <row r="208" spans="11:12" s="120" customFormat="1" x14ac:dyDescent="0.2">
      <c r="K208" s="119"/>
      <c r="L208" s="119"/>
    </row>
    <row r="209" spans="11:12" s="120" customFormat="1" x14ac:dyDescent="0.2">
      <c r="K209" s="119"/>
      <c r="L209" s="119"/>
    </row>
    <row r="210" spans="11:12" s="120" customFormat="1" x14ac:dyDescent="0.2">
      <c r="K210" s="119"/>
      <c r="L210" s="119"/>
    </row>
    <row r="211" spans="11:12" s="120" customFormat="1" x14ac:dyDescent="0.2">
      <c r="K211" s="119"/>
      <c r="L211" s="119"/>
    </row>
    <row r="212" spans="11:12" s="120" customFormat="1" x14ac:dyDescent="0.2">
      <c r="K212" s="119"/>
      <c r="L212" s="119"/>
    </row>
    <row r="213" spans="11:12" s="120" customFormat="1" x14ac:dyDescent="0.2">
      <c r="K213" s="119"/>
      <c r="L213" s="119"/>
    </row>
    <row r="214" spans="11:12" s="120" customFormat="1" x14ac:dyDescent="0.2">
      <c r="K214" s="119"/>
      <c r="L214" s="119"/>
    </row>
    <row r="215" spans="11:12" s="120" customFormat="1" x14ac:dyDescent="0.2">
      <c r="K215" s="119"/>
      <c r="L215" s="119"/>
    </row>
    <row r="216" spans="11:12" s="120" customFormat="1" x14ac:dyDescent="0.2">
      <c r="K216" s="119"/>
      <c r="L216" s="119"/>
    </row>
    <row r="217" spans="11:12" s="120" customFormat="1" x14ac:dyDescent="0.2">
      <c r="K217" s="119"/>
      <c r="L217" s="119"/>
    </row>
    <row r="218" spans="11:12" s="120" customFormat="1" x14ac:dyDescent="0.2">
      <c r="K218" s="119"/>
      <c r="L218" s="119"/>
    </row>
    <row r="219" spans="11:12" s="120" customFormat="1" x14ac:dyDescent="0.2">
      <c r="K219" s="119"/>
      <c r="L219" s="119"/>
    </row>
    <row r="220" spans="11:12" s="120" customFormat="1" x14ac:dyDescent="0.2">
      <c r="K220" s="119"/>
      <c r="L220" s="119"/>
    </row>
    <row r="221" spans="11:12" s="120" customFormat="1" x14ac:dyDescent="0.2">
      <c r="K221" s="119"/>
      <c r="L221" s="119"/>
    </row>
    <row r="222" spans="11:12" s="120" customFormat="1" x14ac:dyDescent="0.2">
      <c r="K222" s="119"/>
      <c r="L222" s="119"/>
    </row>
    <row r="223" spans="11:12" s="120" customFormat="1" x14ac:dyDescent="0.2">
      <c r="K223" s="119"/>
      <c r="L223" s="119"/>
    </row>
    <row r="224" spans="11:12" s="120" customFormat="1" x14ac:dyDescent="0.2">
      <c r="K224" s="119"/>
      <c r="L224" s="119"/>
    </row>
    <row r="225" spans="11:12" s="120" customFormat="1" x14ac:dyDescent="0.2">
      <c r="K225" s="119"/>
      <c r="L225" s="119"/>
    </row>
    <row r="226" spans="11:12" s="120" customFormat="1" x14ac:dyDescent="0.2">
      <c r="K226" s="119"/>
      <c r="L226" s="119"/>
    </row>
    <row r="227" spans="11:12" s="120" customFormat="1" x14ac:dyDescent="0.2">
      <c r="K227" s="119"/>
      <c r="L227" s="119"/>
    </row>
    <row r="228" spans="11:12" s="120" customFormat="1" x14ac:dyDescent="0.2">
      <c r="K228" s="119"/>
      <c r="L228" s="119"/>
    </row>
    <row r="229" spans="11:12" s="120" customFormat="1" x14ac:dyDescent="0.2">
      <c r="K229" s="119"/>
      <c r="L229" s="119"/>
    </row>
    <row r="230" spans="11:12" s="120" customFormat="1" x14ac:dyDescent="0.2">
      <c r="K230" s="119"/>
      <c r="L230" s="119"/>
    </row>
    <row r="231" spans="11:12" s="120" customFormat="1" x14ac:dyDescent="0.2">
      <c r="K231" s="119"/>
      <c r="L231" s="119"/>
    </row>
    <row r="232" spans="11:12" s="120" customFormat="1" x14ac:dyDescent="0.2">
      <c r="K232" s="119"/>
      <c r="L232" s="119"/>
    </row>
    <row r="233" spans="11:12" s="120" customFormat="1" x14ac:dyDescent="0.2">
      <c r="K233" s="119"/>
      <c r="L233" s="119"/>
    </row>
    <row r="234" spans="11:12" s="120" customFormat="1" x14ac:dyDescent="0.2">
      <c r="K234" s="119"/>
      <c r="L234" s="119"/>
    </row>
    <row r="235" spans="11:12" s="120" customFormat="1" x14ac:dyDescent="0.2">
      <c r="K235" s="119"/>
      <c r="L235" s="119"/>
    </row>
    <row r="236" spans="11:12" s="120" customFormat="1" x14ac:dyDescent="0.2">
      <c r="K236" s="119"/>
      <c r="L236" s="119"/>
    </row>
    <row r="237" spans="11:12" s="120" customFormat="1" x14ac:dyDescent="0.2">
      <c r="K237" s="119"/>
      <c r="L237" s="119"/>
    </row>
    <row r="238" spans="11:12" s="120" customFormat="1" x14ac:dyDescent="0.2">
      <c r="K238" s="119"/>
      <c r="L238" s="119"/>
    </row>
    <row r="239" spans="11:12" s="120" customFormat="1" x14ac:dyDescent="0.2">
      <c r="K239" s="119"/>
      <c r="L239" s="119"/>
    </row>
    <row r="240" spans="11:12" s="120" customFormat="1" x14ac:dyDescent="0.2">
      <c r="K240" s="119"/>
      <c r="L240" s="119"/>
    </row>
    <row r="241" spans="11:12" s="120" customFormat="1" x14ac:dyDescent="0.2">
      <c r="K241" s="119"/>
      <c r="L241" s="119"/>
    </row>
    <row r="242" spans="11:12" s="120" customFormat="1" x14ac:dyDescent="0.2">
      <c r="K242" s="119"/>
      <c r="L242" s="119"/>
    </row>
    <row r="243" spans="11:12" s="120" customFormat="1" x14ac:dyDescent="0.2">
      <c r="K243" s="119"/>
      <c r="L243" s="119"/>
    </row>
    <row r="244" spans="11:12" s="120" customFormat="1" x14ac:dyDescent="0.2">
      <c r="K244" s="119"/>
      <c r="L244" s="119"/>
    </row>
    <row r="245" spans="11:12" s="120" customFormat="1" x14ac:dyDescent="0.2">
      <c r="K245" s="119"/>
      <c r="L245" s="119"/>
    </row>
    <row r="246" spans="11:12" s="120" customFormat="1" x14ac:dyDescent="0.2">
      <c r="K246" s="119"/>
      <c r="L246" s="119"/>
    </row>
    <row r="247" spans="11:12" s="120" customFormat="1" x14ac:dyDescent="0.2">
      <c r="K247" s="119"/>
      <c r="L247" s="119"/>
    </row>
    <row r="248" spans="11:12" s="120" customFormat="1" x14ac:dyDescent="0.2">
      <c r="K248" s="119"/>
      <c r="L248" s="119"/>
    </row>
    <row r="249" spans="11:12" s="120" customFormat="1" x14ac:dyDescent="0.2">
      <c r="K249" s="119"/>
      <c r="L249" s="119"/>
    </row>
    <row r="250" spans="11:12" s="120" customFormat="1" x14ac:dyDescent="0.2">
      <c r="K250" s="119"/>
      <c r="L250" s="119"/>
    </row>
    <row r="251" spans="11:12" s="120" customFormat="1" x14ac:dyDescent="0.2">
      <c r="K251" s="119"/>
      <c r="L251" s="119"/>
    </row>
    <row r="252" spans="11:12" s="120" customFormat="1" x14ac:dyDescent="0.2">
      <c r="K252" s="119"/>
      <c r="L252" s="119"/>
    </row>
    <row r="253" spans="11:12" s="120" customFormat="1" x14ac:dyDescent="0.2">
      <c r="K253" s="119"/>
      <c r="L253" s="119"/>
    </row>
    <row r="254" spans="11:12" s="120" customFormat="1" x14ac:dyDescent="0.2">
      <c r="K254" s="119"/>
      <c r="L254" s="119"/>
    </row>
    <row r="255" spans="11:12" s="120" customFormat="1" x14ac:dyDescent="0.2">
      <c r="K255" s="119"/>
      <c r="L255" s="119"/>
    </row>
    <row r="256" spans="11:12" s="120" customFormat="1" x14ac:dyDescent="0.2">
      <c r="K256" s="119"/>
      <c r="L256" s="119"/>
    </row>
    <row r="257" spans="11:12" s="120" customFormat="1" x14ac:dyDescent="0.2">
      <c r="K257" s="119"/>
      <c r="L257" s="119"/>
    </row>
    <row r="258" spans="11:12" s="120" customFormat="1" x14ac:dyDescent="0.2">
      <c r="K258" s="119"/>
      <c r="L258" s="119"/>
    </row>
    <row r="259" spans="11:12" s="120" customFormat="1" x14ac:dyDescent="0.2">
      <c r="K259" s="119"/>
      <c r="L259" s="119"/>
    </row>
    <row r="260" spans="11:12" s="120" customFormat="1" x14ac:dyDescent="0.2">
      <c r="K260" s="119"/>
      <c r="L260" s="119"/>
    </row>
    <row r="261" spans="11:12" s="120" customFormat="1" x14ac:dyDescent="0.2">
      <c r="K261" s="119"/>
      <c r="L261" s="119"/>
    </row>
    <row r="262" spans="11:12" s="120" customFormat="1" x14ac:dyDescent="0.2">
      <c r="K262" s="119"/>
      <c r="L262" s="119"/>
    </row>
    <row r="263" spans="11:12" s="120" customFormat="1" x14ac:dyDescent="0.2">
      <c r="K263" s="119"/>
      <c r="L263" s="119"/>
    </row>
    <row r="264" spans="11:12" s="120" customFormat="1" x14ac:dyDescent="0.2">
      <c r="K264" s="119"/>
      <c r="L264" s="119"/>
    </row>
    <row r="265" spans="11:12" s="120" customFormat="1" x14ac:dyDescent="0.2">
      <c r="K265" s="119"/>
      <c r="L265" s="119"/>
    </row>
    <row r="266" spans="11:12" s="120" customFormat="1" x14ac:dyDescent="0.2">
      <c r="K266" s="119"/>
      <c r="L266" s="119"/>
    </row>
    <row r="267" spans="11:12" s="120" customFormat="1" x14ac:dyDescent="0.2">
      <c r="K267" s="119"/>
      <c r="L267" s="119"/>
    </row>
    <row r="268" spans="11:12" s="120" customFormat="1" x14ac:dyDescent="0.2">
      <c r="K268" s="119"/>
      <c r="L268" s="119"/>
    </row>
    <row r="269" spans="11:12" s="120" customFormat="1" x14ac:dyDescent="0.2">
      <c r="K269" s="119"/>
      <c r="L269" s="119"/>
    </row>
    <row r="270" spans="11:12" s="120" customFormat="1" x14ac:dyDescent="0.2">
      <c r="K270" s="119"/>
      <c r="L270" s="119"/>
    </row>
    <row r="271" spans="11:12" s="120" customFormat="1" x14ac:dyDescent="0.2">
      <c r="K271" s="119"/>
      <c r="L271" s="119"/>
    </row>
    <row r="272" spans="11:12" s="120" customFormat="1" x14ac:dyDescent="0.2">
      <c r="K272" s="119"/>
      <c r="L272" s="119"/>
    </row>
    <row r="273" spans="11:12" s="120" customFormat="1" x14ac:dyDescent="0.2">
      <c r="K273" s="119"/>
      <c r="L273" s="119"/>
    </row>
    <row r="274" spans="11:12" s="120" customFormat="1" x14ac:dyDescent="0.2">
      <c r="K274" s="119"/>
      <c r="L274" s="119"/>
    </row>
    <row r="275" spans="11:12" s="120" customFormat="1" x14ac:dyDescent="0.2">
      <c r="K275" s="119"/>
      <c r="L275" s="119"/>
    </row>
    <row r="276" spans="11:12" s="120" customFormat="1" x14ac:dyDescent="0.2">
      <c r="K276" s="119"/>
      <c r="L276" s="119"/>
    </row>
    <row r="277" spans="11:12" s="120" customFormat="1" x14ac:dyDescent="0.2">
      <c r="K277" s="119"/>
      <c r="L277" s="119"/>
    </row>
    <row r="278" spans="11:12" s="120" customFormat="1" x14ac:dyDescent="0.2">
      <c r="K278" s="119"/>
      <c r="L278" s="119"/>
    </row>
    <row r="279" spans="11:12" s="120" customFormat="1" x14ac:dyDescent="0.2">
      <c r="K279" s="119"/>
      <c r="L279" s="119"/>
    </row>
    <row r="280" spans="11:12" s="120" customFormat="1" x14ac:dyDescent="0.2">
      <c r="K280" s="119"/>
      <c r="L280" s="119"/>
    </row>
    <row r="281" spans="11:12" s="120" customFormat="1" x14ac:dyDescent="0.2">
      <c r="K281" s="119"/>
      <c r="L281" s="119"/>
    </row>
    <row r="282" spans="11:12" s="120" customFormat="1" x14ac:dyDescent="0.2">
      <c r="K282" s="119"/>
      <c r="L282" s="119"/>
    </row>
    <row r="283" spans="11:12" s="120" customFormat="1" x14ac:dyDescent="0.2">
      <c r="K283" s="119"/>
      <c r="L283" s="119"/>
    </row>
    <row r="284" spans="11:12" s="120" customFormat="1" x14ac:dyDescent="0.2">
      <c r="K284" s="119"/>
      <c r="L284" s="119"/>
    </row>
    <row r="285" spans="11:12" s="120" customFormat="1" x14ac:dyDescent="0.2">
      <c r="K285" s="119"/>
      <c r="L285" s="119"/>
    </row>
    <row r="286" spans="11:12" s="120" customFormat="1" x14ac:dyDescent="0.2">
      <c r="K286" s="119"/>
      <c r="L286" s="119"/>
    </row>
    <row r="287" spans="11:12" s="120" customFormat="1" x14ac:dyDescent="0.2">
      <c r="K287" s="119"/>
      <c r="L287" s="119"/>
    </row>
    <row r="288" spans="11:12" s="120" customFormat="1" x14ac:dyDescent="0.2">
      <c r="K288" s="119"/>
      <c r="L288" s="119"/>
    </row>
    <row r="289" spans="11:12" s="120" customFormat="1" x14ac:dyDescent="0.2">
      <c r="K289" s="119"/>
      <c r="L289" s="119"/>
    </row>
    <row r="290" spans="11:12" s="120" customFormat="1" x14ac:dyDescent="0.2">
      <c r="K290" s="119"/>
      <c r="L290" s="119"/>
    </row>
    <row r="291" spans="11:12" s="120" customFormat="1" x14ac:dyDescent="0.2">
      <c r="K291" s="119"/>
      <c r="L291" s="119"/>
    </row>
    <row r="292" spans="11:12" s="120" customFormat="1" x14ac:dyDescent="0.2">
      <c r="K292" s="119"/>
      <c r="L292" s="119"/>
    </row>
    <row r="293" spans="11:12" s="120" customFormat="1" x14ac:dyDescent="0.2">
      <c r="K293" s="119"/>
      <c r="L293" s="119"/>
    </row>
    <row r="294" spans="11:12" s="120" customFormat="1" x14ac:dyDescent="0.2">
      <c r="K294" s="119"/>
      <c r="L294" s="119"/>
    </row>
    <row r="295" spans="11:12" s="120" customFormat="1" x14ac:dyDescent="0.2">
      <c r="K295" s="119"/>
      <c r="L295" s="119"/>
    </row>
    <row r="296" spans="11:12" s="120" customFormat="1" x14ac:dyDescent="0.2">
      <c r="K296" s="119"/>
      <c r="L296" s="119"/>
    </row>
    <row r="297" spans="11:12" s="120" customFormat="1" x14ac:dyDescent="0.2">
      <c r="K297" s="119"/>
      <c r="L297" s="119"/>
    </row>
    <row r="298" spans="11:12" s="120" customFormat="1" x14ac:dyDescent="0.2">
      <c r="K298" s="119"/>
      <c r="L298" s="119"/>
    </row>
    <row r="299" spans="11:12" s="120" customFormat="1" x14ac:dyDescent="0.2">
      <c r="K299" s="119"/>
      <c r="L299" s="119"/>
    </row>
    <row r="300" spans="11:12" s="120" customFormat="1" x14ac:dyDescent="0.2">
      <c r="K300" s="119"/>
      <c r="L300" s="119"/>
    </row>
    <row r="301" spans="11:12" s="120" customFormat="1" x14ac:dyDescent="0.2">
      <c r="K301" s="119"/>
      <c r="L301" s="119"/>
    </row>
    <row r="302" spans="11:12" s="120" customFormat="1" x14ac:dyDescent="0.2">
      <c r="K302" s="119"/>
      <c r="L302" s="119"/>
    </row>
    <row r="303" spans="11:12" s="120" customFormat="1" x14ac:dyDescent="0.2">
      <c r="K303" s="119"/>
      <c r="L303" s="119"/>
    </row>
    <row r="304" spans="11:12" s="120" customFormat="1" x14ac:dyDescent="0.2">
      <c r="K304" s="119"/>
      <c r="L304" s="119"/>
    </row>
    <row r="305" spans="11:12" s="120" customFormat="1" x14ac:dyDescent="0.2">
      <c r="K305" s="119"/>
      <c r="L305" s="119"/>
    </row>
    <row r="306" spans="11:12" s="120" customFormat="1" x14ac:dyDescent="0.2">
      <c r="K306" s="119"/>
      <c r="L306" s="119"/>
    </row>
    <row r="307" spans="11:12" s="120" customFormat="1" x14ac:dyDescent="0.2">
      <c r="K307" s="119"/>
      <c r="L307" s="119"/>
    </row>
    <row r="308" spans="11:12" s="120" customFormat="1" x14ac:dyDescent="0.2">
      <c r="K308" s="119"/>
      <c r="L308" s="119"/>
    </row>
    <row r="309" spans="11:12" s="120" customFormat="1" x14ac:dyDescent="0.2">
      <c r="K309" s="119"/>
      <c r="L309" s="119"/>
    </row>
    <row r="310" spans="11:12" s="120" customFormat="1" x14ac:dyDescent="0.2">
      <c r="K310" s="119"/>
      <c r="L310" s="119"/>
    </row>
    <row r="311" spans="11:12" s="120" customFormat="1" x14ac:dyDescent="0.2">
      <c r="K311" s="119"/>
      <c r="L311" s="119"/>
    </row>
    <row r="312" spans="11:12" s="120" customFormat="1" x14ac:dyDescent="0.2">
      <c r="K312" s="119"/>
      <c r="L312" s="119"/>
    </row>
    <row r="313" spans="11:12" s="120" customFormat="1" x14ac:dyDescent="0.2">
      <c r="K313" s="119"/>
      <c r="L313" s="119"/>
    </row>
    <row r="314" spans="11:12" s="120" customFormat="1" x14ac:dyDescent="0.2">
      <c r="K314" s="119"/>
      <c r="L314" s="119"/>
    </row>
    <row r="315" spans="11:12" s="120" customFormat="1" x14ac:dyDescent="0.2">
      <c r="K315" s="119"/>
      <c r="L315" s="119"/>
    </row>
    <row r="316" spans="11:12" s="120" customFormat="1" x14ac:dyDescent="0.2">
      <c r="K316" s="119"/>
      <c r="L316" s="119"/>
    </row>
    <row r="317" spans="11:12" s="120" customFormat="1" x14ac:dyDescent="0.2">
      <c r="K317" s="119"/>
      <c r="L317" s="119"/>
    </row>
    <row r="318" spans="11:12" s="120" customFormat="1" x14ac:dyDescent="0.2">
      <c r="K318" s="119"/>
      <c r="L318" s="119"/>
    </row>
    <row r="319" spans="11:12" s="120" customFormat="1" x14ac:dyDescent="0.2">
      <c r="K319" s="119"/>
      <c r="L319" s="119"/>
    </row>
    <row r="320" spans="11:12" s="120" customFormat="1" x14ac:dyDescent="0.2">
      <c r="K320" s="119"/>
      <c r="L320" s="119"/>
    </row>
    <row r="321" spans="11:12" s="120" customFormat="1" x14ac:dyDescent="0.2">
      <c r="K321" s="119"/>
      <c r="L321" s="119"/>
    </row>
    <row r="322" spans="11:12" s="120" customFormat="1" x14ac:dyDescent="0.2">
      <c r="K322" s="119"/>
      <c r="L322" s="119"/>
    </row>
    <row r="323" spans="11:12" s="120" customFormat="1" x14ac:dyDescent="0.2">
      <c r="K323" s="119"/>
      <c r="L323" s="119"/>
    </row>
    <row r="324" spans="11:12" s="120" customFormat="1" x14ac:dyDescent="0.2">
      <c r="K324" s="119"/>
      <c r="L324" s="119"/>
    </row>
    <row r="325" spans="11:12" s="120" customFormat="1" x14ac:dyDescent="0.2">
      <c r="K325" s="119"/>
      <c r="L325" s="119"/>
    </row>
    <row r="326" spans="11:12" s="120" customFormat="1" x14ac:dyDescent="0.2">
      <c r="K326" s="119"/>
      <c r="L326" s="119"/>
    </row>
    <row r="327" spans="11:12" s="120" customFormat="1" x14ac:dyDescent="0.2">
      <c r="K327" s="119"/>
      <c r="L327" s="119"/>
    </row>
    <row r="328" spans="11:12" s="120" customFormat="1" x14ac:dyDescent="0.2">
      <c r="K328" s="119"/>
      <c r="L328" s="119"/>
    </row>
    <row r="329" spans="11:12" s="120" customFormat="1" x14ac:dyDescent="0.2">
      <c r="K329" s="119"/>
      <c r="L329" s="119"/>
    </row>
    <row r="330" spans="11:12" s="120" customFormat="1" x14ac:dyDescent="0.2">
      <c r="K330" s="119"/>
      <c r="L330" s="119"/>
    </row>
    <row r="331" spans="11:12" s="120" customFormat="1" x14ac:dyDescent="0.2">
      <c r="K331" s="119"/>
      <c r="L331" s="119"/>
    </row>
    <row r="332" spans="11:12" s="120" customFormat="1" x14ac:dyDescent="0.2">
      <c r="K332" s="119"/>
      <c r="L332" s="119"/>
    </row>
    <row r="333" spans="11:12" s="120" customFormat="1" x14ac:dyDescent="0.2">
      <c r="K333" s="119"/>
      <c r="L333" s="119"/>
    </row>
    <row r="334" spans="11:12" s="120" customFormat="1" x14ac:dyDescent="0.2">
      <c r="K334" s="119"/>
      <c r="L334" s="119"/>
    </row>
    <row r="335" spans="11:12" s="120" customFormat="1" x14ac:dyDescent="0.2">
      <c r="K335" s="119"/>
      <c r="L335" s="119"/>
    </row>
    <row r="336" spans="11:12" s="120" customFormat="1" x14ac:dyDescent="0.2">
      <c r="K336" s="119"/>
      <c r="L336" s="119"/>
    </row>
    <row r="337" spans="11:12" s="120" customFormat="1" x14ac:dyDescent="0.2">
      <c r="K337" s="119"/>
      <c r="L337" s="119"/>
    </row>
    <row r="338" spans="11:12" s="120" customFormat="1" x14ac:dyDescent="0.2">
      <c r="K338" s="119"/>
      <c r="L338" s="119"/>
    </row>
    <row r="339" spans="11:12" s="120" customFormat="1" x14ac:dyDescent="0.2">
      <c r="K339" s="119"/>
      <c r="L339" s="119"/>
    </row>
    <row r="340" spans="11:12" s="120" customFormat="1" x14ac:dyDescent="0.2">
      <c r="K340" s="119"/>
      <c r="L340" s="119"/>
    </row>
    <row r="341" spans="11:12" s="120" customFormat="1" x14ac:dyDescent="0.2">
      <c r="K341" s="119"/>
      <c r="L341" s="119"/>
    </row>
    <row r="342" spans="11:12" s="120" customFormat="1" x14ac:dyDescent="0.2">
      <c r="K342" s="119"/>
      <c r="L342" s="119"/>
    </row>
    <row r="343" spans="11:12" s="120" customFormat="1" x14ac:dyDescent="0.2">
      <c r="K343" s="119"/>
      <c r="L343" s="119"/>
    </row>
    <row r="344" spans="11:12" s="120" customFormat="1" x14ac:dyDescent="0.2">
      <c r="K344" s="119"/>
      <c r="L344" s="119"/>
    </row>
    <row r="345" spans="11:12" s="120" customFormat="1" x14ac:dyDescent="0.2">
      <c r="K345" s="119"/>
      <c r="L345" s="119"/>
    </row>
    <row r="346" spans="11:12" s="120" customFormat="1" x14ac:dyDescent="0.2">
      <c r="K346" s="119"/>
      <c r="L346" s="119"/>
    </row>
    <row r="347" spans="11:12" s="120" customFormat="1" x14ac:dyDescent="0.2">
      <c r="K347" s="119"/>
      <c r="L347" s="119"/>
    </row>
    <row r="348" spans="11:12" s="120" customFormat="1" x14ac:dyDescent="0.2">
      <c r="K348" s="119"/>
      <c r="L348" s="119"/>
    </row>
    <row r="349" spans="11:12" s="120" customFormat="1" x14ac:dyDescent="0.2">
      <c r="K349" s="119"/>
      <c r="L349" s="119"/>
    </row>
    <row r="350" spans="11:12" s="120" customFormat="1" x14ac:dyDescent="0.2">
      <c r="K350" s="119"/>
      <c r="L350" s="119"/>
    </row>
    <row r="351" spans="11:12" s="120" customFormat="1" x14ac:dyDescent="0.2">
      <c r="K351" s="119"/>
      <c r="L351" s="119"/>
    </row>
    <row r="352" spans="11:12" s="120" customFormat="1" x14ac:dyDescent="0.2">
      <c r="K352" s="119"/>
      <c r="L352" s="119"/>
    </row>
    <row r="353" spans="11:12" s="120" customFormat="1" x14ac:dyDescent="0.2">
      <c r="K353" s="119"/>
      <c r="L353" s="119"/>
    </row>
    <row r="354" spans="11:12" s="120" customFormat="1" x14ac:dyDescent="0.2">
      <c r="K354" s="119"/>
      <c r="L354" s="119"/>
    </row>
    <row r="355" spans="11:12" s="120" customFormat="1" x14ac:dyDescent="0.2">
      <c r="K355" s="119"/>
      <c r="L355" s="119"/>
    </row>
    <row r="356" spans="11:12" s="120" customFormat="1" x14ac:dyDescent="0.2">
      <c r="K356" s="119"/>
      <c r="L356" s="119"/>
    </row>
    <row r="357" spans="11:12" s="120" customFormat="1" x14ac:dyDescent="0.2">
      <c r="K357" s="119"/>
      <c r="L357" s="119"/>
    </row>
    <row r="358" spans="11:12" s="120" customFormat="1" x14ac:dyDescent="0.2">
      <c r="K358" s="119"/>
      <c r="L358" s="119"/>
    </row>
    <row r="359" spans="11:12" s="120" customFormat="1" x14ac:dyDescent="0.2">
      <c r="K359" s="119"/>
      <c r="L359" s="119"/>
    </row>
    <row r="360" spans="11:12" s="120" customFormat="1" x14ac:dyDescent="0.2">
      <c r="K360" s="119"/>
      <c r="L360" s="119"/>
    </row>
    <row r="361" spans="11:12" s="120" customFormat="1" x14ac:dyDescent="0.2">
      <c r="K361" s="119"/>
      <c r="L361" s="119"/>
    </row>
    <row r="362" spans="11:12" s="120" customFormat="1" x14ac:dyDescent="0.2">
      <c r="K362" s="119"/>
      <c r="L362" s="119"/>
    </row>
    <row r="363" spans="11:12" s="120" customFormat="1" x14ac:dyDescent="0.2">
      <c r="K363" s="119"/>
      <c r="L363" s="119"/>
    </row>
    <row r="364" spans="11:12" s="120" customFormat="1" x14ac:dyDescent="0.2">
      <c r="K364" s="119"/>
      <c r="L364" s="119"/>
    </row>
    <row r="365" spans="11:12" s="120" customFormat="1" x14ac:dyDescent="0.2">
      <c r="K365" s="119"/>
      <c r="L365" s="119"/>
    </row>
    <row r="366" spans="11:12" s="120" customFormat="1" x14ac:dyDescent="0.2">
      <c r="K366" s="119"/>
      <c r="L366" s="119"/>
    </row>
    <row r="367" spans="11:12" s="120" customFormat="1" x14ac:dyDescent="0.2">
      <c r="K367" s="119"/>
      <c r="L367" s="119"/>
    </row>
    <row r="368" spans="11:12" s="120" customFormat="1" x14ac:dyDescent="0.2">
      <c r="K368" s="119"/>
      <c r="L368" s="119"/>
    </row>
    <row r="369" spans="11:12" s="120" customFormat="1" x14ac:dyDescent="0.2">
      <c r="K369" s="119"/>
      <c r="L369" s="119"/>
    </row>
    <row r="370" spans="11:12" s="120" customFormat="1" x14ac:dyDescent="0.2">
      <c r="K370" s="119"/>
      <c r="L370" s="119"/>
    </row>
    <row r="371" spans="11:12" s="120" customFormat="1" x14ac:dyDescent="0.2">
      <c r="K371" s="119"/>
      <c r="L371" s="119"/>
    </row>
    <row r="372" spans="11:12" s="120" customFormat="1" x14ac:dyDescent="0.2">
      <c r="K372" s="119"/>
      <c r="L372" s="119"/>
    </row>
    <row r="373" spans="11:12" s="120" customFormat="1" x14ac:dyDescent="0.2">
      <c r="K373" s="119"/>
      <c r="L373" s="119"/>
    </row>
    <row r="374" spans="11:12" s="120" customFormat="1" x14ac:dyDescent="0.2">
      <c r="K374" s="119"/>
      <c r="L374" s="119"/>
    </row>
    <row r="375" spans="11:12" s="120" customFormat="1" x14ac:dyDescent="0.2">
      <c r="K375" s="119"/>
      <c r="L375" s="119"/>
    </row>
    <row r="376" spans="11:12" s="120" customFormat="1" x14ac:dyDescent="0.2">
      <c r="K376" s="119"/>
      <c r="L376" s="119"/>
    </row>
    <row r="377" spans="11:12" s="120" customFormat="1" x14ac:dyDescent="0.2">
      <c r="K377" s="119"/>
      <c r="L377" s="119"/>
    </row>
    <row r="378" spans="11:12" s="120" customFormat="1" x14ac:dyDescent="0.2">
      <c r="K378" s="119"/>
      <c r="L378" s="119"/>
    </row>
    <row r="379" spans="11:12" s="120" customFormat="1" x14ac:dyDescent="0.2">
      <c r="K379" s="119"/>
      <c r="L379" s="119"/>
    </row>
    <row r="380" spans="11:12" s="120" customFormat="1" x14ac:dyDescent="0.2">
      <c r="K380" s="119"/>
      <c r="L380" s="119"/>
    </row>
    <row r="381" spans="11:12" s="120" customFormat="1" x14ac:dyDescent="0.2">
      <c r="K381" s="119"/>
      <c r="L381" s="119"/>
    </row>
    <row r="382" spans="11:12" s="120" customFormat="1" x14ac:dyDescent="0.2">
      <c r="K382" s="119"/>
      <c r="L382" s="119"/>
    </row>
    <row r="383" spans="11:12" s="120" customFormat="1" x14ac:dyDescent="0.2">
      <c r="K383" s="119"/>
      <c r="L383" s="119"/>
    </row>
    <row r="384" spans="11:12" s="120" customFormat="1" x14ac:dyDescent="0.2">
      <c r="K384" s="119"/>
      <c r="L384" s="119"/>
    </row>
    <row r="385" spans="11:12" s="120" customFormat="1" x14ac:dyDescent="0.2">
      <c r="K385" s="119"/>
      <c r="L385" s="119"/>
    </row>
    <row r="386" spans="11:12" s="120" customFormat="1" x14ac:dyDescent="0.2">
      <c r="K386" s="119"/>
      <c r="L386" s="119"/>
    </row>
    <row r="387" spans="11:12" s="120" customFormat="1" x14ac:dyDescent="0.2">
      <c r="K387" s="119"/>
      <c r="L387" s="119"/>
    </row>
    <row r="388" spans="11:12" s="120" customFormat="1" x14ac:dyDescent="0.2">
      <c r="K388" s="119"/>
      <c r="L388" s="119"/>
    </row>
    <row r="389" spans="11:12" s="120" customFormat="1" x14ac:dyDescent="0.2">
      <c r="K389" s="119"/>
      <c r="L389" s="119"/>
    </row>
    <row r="390" spans="11:12" s="120" customFormat="1" x14ac:dyDescent="0.2">
      <c r="K390" s="119"/>
      <c r="L390" s="119"/>
    </row>
    <row r="391" spans="11:12" s="120" customFormat="1" x14ac:dyDescent="0.2">
      <c r="K391" s="119"/>
      <c r="L391" s="119"/>
    </row>
    <row r="392" spans="11:12" s="120" customFormat="1" x14ac:dyDescent="0.2">
      <c r="K392" s="119"/>
      <c r="L392" s="119"/>
    </row>
    <row r="393" spans="11:12" s="120" customFormat="1" x14ac:dyDescent="0.2">
      <c r="K393" s="119"/>
      <c r="L393" s="119"/>
    </row>
    <row r="394" spans="11:12" s="120" customFormat="1" x14ac:dyDescent="0.2">
      <c r="K394" s="119"/>
      <c r="L394" s="119"/>
    </row>
    <row r="395" spans="11:12" s="120" customFormat="1" x14ac:dyDescent="0.2">
      <c r="K395" s="119"/>
      <c r="L395" s="119"/>
    </row>
    <row r="396" spans="11:12" s="120" customFormat="1" x14ac:dyDescent="0.2">
      <c r="K396" s="119"/>
      <c r="L396" s="119"/>
    </row>
    <row r="397" spans="11:12" s="120" customFormat="1" x14ac:dyDescent="0.2">
      <c r="K397" s="119"/>
      <c r="L397" s="119"/>
    </row>
    <row r="398" spans="11:12" s="120" customFormat="1" x14ac:dyDescent="0.2">
      <c r="K398" s="119"/>
      <c r="L398" s="119"/>
    </row>
    <row r="399" spans="11:12" s="120" customFormat="1" x14ac:dyDescent="0.2">
      <c r="K399" s="119"/>
      <c r="L399" s="119"/>
    </row>
    <row r="400" spans="11:12" s="120" customFormat="1" x14ac:dyDescent="0.2">
      <c r="K400" s="119"/>
      <c r="L400" s="119"/>
    </row>
    <row r="401" spans="11:12" s="120" customFormat="1" x14ac:dyDescent="0.2">
      <c r="K401" s="119"/>
      <c r="L401" s="119"/>
    </row>
    <row r="402" spans="11:12" s="120" customFormat="1" x14ac:dyDescent="0.2">
      <c r="K402" s="119"/>
      <c r="L402" s="119"/>
    </row>
    <row r="403" spans="11:12" s="120" customFormat="1" x14ac:dyDescent="0.2">
      <c r="K403" s="119"/>
      <c r="L403" s="119"/>
    </row>
    <row r="404" spans="11:12" s="120" customFormat="1" x14ac:dyDescent="0.2">
      <c r="K404" s="119"/>
      <c r="L404" s="119"/>
    </row>
    <row r="405" spans="11:12" s="120" customFormat="1" x14ac:dyDescent="0.2">
      <c r="K405" s="119"/>
      <c r="L405" s="119"/>
    </row>
    <row r="406" spans="11:12" s="120" customFormat="1" x14ac:dyDescent="0.2">
      <c r="K406" s="119"/>
      <c r="L406" s="119"/>
    </row>
    <row r="407" spans="11:12" s="120" customFormat="1" x14ac:dyDescent="0.2">
      <c r="K407" s="119"/>
      <c r="L407" s="119"/>
    </row>
    <row r="408" spans="11:12" s="120" customFormat="1" x14ac:dyDescent="0.2">
      <c r="K408" s="119"/>
      <c r="L408" s="119"/>
    </row>
    <row r="409" spans="11:12" s="120" customFormat="1" x14ac:dyDescent="0.2">
      <c r="K409" s="119"/>
      <c r="L409" s="119"/>
    </row>
    <row r="410" spans="11:12" s="120" customFormat="1" x14ac:dyDescent="0.2">
      <c r="K410" s="119"/>
      <c r="L410" s="119"/>
    </row>
    <row r="411" spans="11:12" s="120" customFormat="1" x14ac:dyDescent="0.2">
      <c r="K411" s="119"/>
      <c r="L411" s="119"/>
    </row>
    <row r="412" spans="11:12" s="120" customFormat="1" x14ac:dyDescent="0.2">
      <c r="K412" s="119"/>
      <c r="L412" s="119"/>
    </row>
    <row r="413" spans="11:12" s="120" customFormat="1" x14ac:dyDescent="0.2">
      <c r="K413" s="119"/>
      <c r="L413" s="119"/>
    </row>
    <row r="414" spans="11:12" s="120" customFormat="1" x14ac:dyDescent="0.2">
      <c r="K414" s="119"/>
      <c r="L414" s="119"/>
    </row>
    <row r="415" spans="11:12" s="120" customFormat="1" x14ac:dyDescent="0.2">
      <c r="K415" s="119"/>
      <c r="L415" s="119"/>
    </row>
    <row r="416" spans="11:12" s="120" customFormat="1" x14ac:dyDescent="0.2">
      <c r="K416" s="119"/>
      <c r="L416" s="119"/>
    </row>
    <row r="417" spans="11:12" s="120" customFormat="1" x14ac:dyDescent="0.2">
      <c r="K417" s="119"/>
      <c r="L417" s="119"/>
    </row>
    <row r="418" spans="11:12" s="120" customFormat="1" x14ac:dyDescent="0.2">
      <c r="K418" s="119"/>
      <c r="L418" s="119"/>
    </row>
    <row r="419" spans="11:12" s="120" customFormat="1" x14ac:dyDescent="0.2">
      <c r="K419" s="119"/>
      <c r="L419" s="119"/>
    </row>
    <row r="420" spans="11:12" s="120" customFormat="1" x14ac:dyDescent="0.2">
      <c r="K420" s="119"/>
      <c r="L420" s="119"/>
    </row>
    <row r="421" spans="11:12" s="120" customFormat="1" x14ac:dyDescent="0.2">
      <c r="K421" s="119"/>
      <c r="L421" s="119"/>
    </row>
    <row r="422" spans="11:12" s="120" customFormat="1" x14ac:dyDescent="0.2">
      <c r="K422" s="119"/>
      <c r="L422" s="119"/>
    </row>
    <row r="423" spans="11:12" s="120" customFormat="1" x14ac:dyDescent="0.2">
      <c r="K423" s="119"/>
      <c r="L423" s="119"/>
    </row>
    <row r="424" spans="11:12" s="120" customFormat="1" x14ac:dyDescent="0.2">
      <c r="K424" s="119"/>
      <c r="L424" s="119"/>
    </row>
    <row r="425" spans="11:12" s="120" customFormat="1" x14ac:dyDescent="0.2">
      <c r="K425" s="119"/>
      <c r="L425" s="119"/>
    </row>
    <row r="426" spans="11:12" s="120" customFormat="1" x14ac:dyDescent="0.2">
      <c r="K426" s="119"/>
      <c r="L426" s="119"/>
    </row>
    <row r="427" spans="11:12" s="120" customFormat="1" x14ac:dyDescent="0.2">
      <c r="K427" s="119"/>
      <c r="L427" s="119"/>
    </row>
    <row r="428" spans="11:12" s="120" customFormat="1" x14ac:dyDescent="0.2">
      <c r="K428" s="119"/>
      <c r="L428" s="119"/>
    </row>
    <row r="429" spans="11:12" s="120" customFormat="1" x14ac:dyDescent="0.2">
      <c r="K429" s="119"/>
      <c r="L429" s="119"/>
    </row>
    <row r="430" spans="11:12" s="120" customFormat="1" x14ac:dyDescent="0.2">
      <c r="K430" s="119"/>
      <c r="L430" s="119"/>
    </row>
    <row r="431" spans="11:12" s="120" customFormat="1" x14ac:dyDescent="0.2">
      <c r="K431" s="119"/>
      <c r="L431" s="119"/>
    </row>
    <row r="432" spans="11:12" s="120" customFormat="1" x14ac:dyDescent="0.2">
      <c r="K432" s="119"/>
      <c r="L432" s="119"/>
    </row>
    <row r="433" spans="11:12" s="120" customFormat="1" x14ac:dyDescent="0.2">
      <c r="K433" s="119"/>
      <c r="L433" s="119"/>
    </row>
    <row r="434" spans="11:12" s="120" customFormat="1" x14ac:dyDescent="0.2">
      <c r="K434" s="119"/>
      <c r="L434" s="119"/>
    </row>
    <row r="435" spans="11:12" s="120" customFormat="1" x14ac:dyDescent="0.2">
      <c r="K435" s="119"/>
      <c r="L435" s="119"/>
    </row>
    <row r="436" spans="11:12" s="120" customFormat="1" x14ac:dyDescent="0.2">
      <c r="K436" s="119"/>
      <c r="L436" s="119"/>
    </row>
    <row r="437" spans="11:12" s="120" customFormat="1" x14ac:dyDescent="0.2">
      <c r="K437" s="119"/>
      <c r="L437" s="119"/>
    </row>
    <row r="438" spans="11:12" s="120" customFormat="1" x14ac:dyDescent="0.2">
      <c r="K438" s="119"/>
      <c r="L438" s="119"/>
    </row>
    <row r="439" spans="11:12" s="120" customFormat="1" x14ac:dyDescent="0.2">
      <c r="K439" s="119"/>
      <c r="L439" s="119"/>
    </row>
    <row r="440" spans="11:12" s="120" customFormat="1" x14ac:dyDescent="0.2">
      <c r="K440" s="119"/>
      <c r="L440" s="119"/>
    </row>
    <row r="441" spans="11:12" s="120" customFormat="1" x14ac:dyDescent="0.2">
      <c r="K441" s="119"/>
      <c r="L441" s="119"/>
    </row>
    <row r="442" spans="11:12" s="120" customFormat="1" x14ac:dyDescent="0.2">
      <c r="K442" s="119"/>
      <c r="L442" s="119"/>
    </row>
    <row r="443" spans="11:12" s="120" customFormat="1" x14ac:dyDescent="0.2">
      <c r="K443" s="119"/>
      <c r="L443" s="119"/>
    </row>
    <row r="444" spans="11:12" s="120" customFormat="1" x14ac:dyDescent="0.2">
      <c r="K444" s="119"/>
      <c r="L444" s="119"/>
    </row>
    <row r="445" spans="11:12" s="120" customFormat="1" x14ac:dyDescent="0.2">
      <c r="K445" s="119"/>
      <c r="L445" s="119"/>
    </row>
    <row r="446" spans="11:12" s="120" customFormat="1" x14ac:dyDescent="0.2">
      <c r="K446" s="119"/>
      <c r="L446" s="119"/>
    </row>
    <row r="447" spans="11:12" s="120" customFormat="1" x14ac:dyDescent="0.2">
      <c r="K447" s="119"/>
      <c r="L447" s="119"/>
    </row>
    <row r="448" spans="11:12" s="120" customFormat="1" x14ac:dyDescent="0.2">
      <c r="K448" s="119"/>
      <c r="L448" s="119"/>
    </row>
    <row r="449" spans="11:12" s="120" customFormat="1" x14ac:dyDescent="0.2">
      <c r="K449" s="119"/>
      <c r="L449" s="119"/>
    </row>
    <row r="450" spans="11:12" s="120" customFormat="1" x14ac:dyDescent="0.2">
      <c r="K450" s="119"/>
      <c r="L450" s="119"/>
    </row>
    <row r="451" spans="11:12" s="120" customFormat="1" x14ac:dyDescent="0.2">
      <c r="K451" s="119"/>
      <c r="L451" s="119"/>
    </row>
    <row r="452" spans="11:12" s="120" customFormat="1" x14ac:dyDescent="0.2">
      <c r="K452" s="119"/>
      <c r="L452" s="119"/>
    </row>
    <row r="453" spans="11:12" s="120" customFormat="1" x14ac:dyDescent="0.2">
      <c r="K453" s="119"/>
      <c r="L453" s="119"/>
    </row>
    <row r="454" spans="11:12" s="120" customFormat="1" x14ac:dyDescent="0.2">
      <c r="K454" s="119"/>
      <c r="L454" s="119"/>
    </row>
    <row r="455" spans="11:12" s="120" customFormat="1" x14ac:dyDescent="0.2">
      <c r="K455" s="119"/>
      <c r="L455" s="119"/>
    </row>
    <row r="456" spans="11:12" s="120" customFormat="1" x14ac:dyDescent="0.2">
      <c r="K456" s="119"/>
      <c r="L456" s="119"/>
    </row>
    <row r="457" spans="11:12" s="120" customFormat="1" x14ac:dyDescent="0.2">
      <c r="K457" s="119"/>
      <c r="L457" s="119"/>
    </row>
    <row r="458" spans="11:12" s="120" customFormat="1" x14ac:dyDescent="0.2">
      <c r="K458" s="119"/>
      <c r="L458" s="119"/>
    </row>
    <row r="459" spans="11:12" s="120" customFormat="1" x14ac:dyDescent="0.2">
      <c r="K459" s="119"/>
      <c r="L459" s="119"/>
    </row>
    <row r="460" spans="11:12" s="120" customFormat="1" x14ac:dyDescent="0.2">
      <c r="K460" s="119"/>
      <c r="L460" s="119"/>
    </row>
    <row r="461" spans="11:12" s="120" customFormat="1" x14ac:dyDescent="0.2">
      <c r="K461" s="119"/>
      <c r="L461" s="119"/>
    </row>
    <row r="462" spans="11:12" s="120" customFormat="1" x14ac:dyDescent="0.2">
      <c r="K462" s="119"/>
      <c r="L462" s="119"/>
    </row>
    <row r="463" spans="11:12" s="120" customFormat="1" x14ac:dyDescent="0.2">
      <c r="K463" s="119"/>
      <c r="L463" s="119"/>
    </row>
    <row r="464" spans="11:12" s="120" customFormat="1" x14ac:dyDescent="0.2">
      <c r="K464" s="119"/>
      <c r="L464" s="119"/>
    </row>
    <row r="465" spans="11:12" s="120" customFormat="1" x14ac:dyDescent="0.2">
      <c r="K465" s="119"/>
      <c r="L465" s="119"/>
    </row>
    <row r="466" spans="11:12" s="120" customFormat="1" x14ac:dyDescent="0.2">
      <c r="K466" s="119"/>
      <c r="L466" s="119"/>
    </row>
    <row r="467" spans="11:12" s="120" customFormat="1" x14ac:dyDescent="0.2">
      <c r="K467" s="119"/>
      <c r="L467" s="119"/>
    </row>
    <row r="468" spans="11:12" s="120" customFormat="1" x14ac:dyDescent="0.2">
      <c r="K468" s="119"/>
      <c r="L468" s="119"/>
    </row>
    <row r="469" spans="11:12" s="120" customFormat="1" x14ac:dyDescent="0.2">
      <c r="K469" s="119"/>
      <c r="L469" s="119"/>
    </row>
    <row r="470" spans="11:12" s="120" customFormat="1" x14ac:dyDescent="0.2">
      <c r="K470" s="119"/>
      <c r="L470" s="119"/>
    </row>
    <row r="471" spans="11:12" s="120" customFormat="1" x14ac:dyDescent="0.2">
      <c r="K471" s="119"/>
      <c r="L471" s="119"/>
    </row>
    <row r="472" spans="11:12" s="120" customFormat="1" x14ac:dyDescent="0.2">
      <c r="K472" s="119"/>
      <c r="L472" s="119"/>
    </row>
    <row r="473" spans="11:12" s="120" customFormat="1" x14ac:dyDescent="0.2">
      <c r="K473" s="119"/>
      <c r="L473" s="119"/>
    </row>
    <row r="474" spans="11:12" s="120" customFormat="1" x14ac:dyDescent="0.2">
      <c r="K474" s="119"/>
      <c r="L474" s="119"/>
    </row>
    <row r="475" spans="11:12" s="120" customFormat="1" x14ac:dyDescent="0.2">
      <c r="K475" s="119"/>
      <c r="L475" s="119"/>
    </row>
    <row r="476" spans="11:12" s="120" customFormat="1" x14ac:dyDescent="0.2">
      <c r="K476" s="119"/>
      <c r="L476" s="119"/>
    </row>
    <row r="477" spans="11:12" s="120" customFormat="1" x14ac:dyDescent="0.2">
      <c r="K477" s="119"/>
      <c r="L477" s="119"/>
    </row>
    <row r="478" spans="11:12" s="120" customFormat="1" x14ac:dyDescent="0.2">
      <c r="K478" s="119"/>
      <c r="L478" s="119"/>
    </row>
    <row r="479" spans="11:12" s="120" customFormat="1" x14ac:dyDescent="0.2">
      <c r="K479" s="119"/>
      <c r="L479" s="119"/>
    </row>
    <row r="480" spans="11:12" s="120" customFormat="1" x14ac:dyDescent="0.2">
      <c r="K480" s="119"/>
      <c r="L480" s="119"/>
    </row>
    <row r="481" spans="11:12" s="120" customFormat="1" x14ac:dyDescent="0.2">
      <c r="K481" s="119"/>
      <c r="L481" s="119"/>
    </row>
    <row r="482" spans="11:12" s="120" customFormat="1" x14ac:dyDescent="0.2">
      <c r="K482" s="119"/>
      <c r="L482" s="119"/>
    </row>
    <row r="483" spans="11:12" s="120" customFormat="1" x14ac:dyDescent="0.2">
      <c r="K483" s="119"/>
      <c r="L483" s="119"/>
    </row>
    <row r="484" spans="11:12" s="120" customFormat="1" x14ac:dyDescent="0.2">
      <c r="K484" s="119"/>
      <c r="L484" s="119"/>
    </row>
    <row r="485" spans="11:12" s="120" customFormat="1" x14ac:dyDescent="0.2">
      <c r="K485" s="119"/>
      <c r="L485" s="119"/>
    </row>
    <row r="486" spans="11:12" s="120" customFormat="1" x14ac:dyDescent="0.2">
      <c r="K486" s="119"/>
      <c r="L486" s="119"/>
    </row>
    <row r="487" spans="11:12" s="120" customFormat="1" x14ac:dyDescent="0.2">
      <c r="K487" s="119"/>
      <c r="L487" s="119"/>
    </row>
    <row r="488" spans="11:12" s="120" customFormat="1" x14ac:dyDescent="0.2">
      <c r="K488" s="119"/>
      <c r="L488" s="119"/>
    </row>
    <row r="489" spans="11:12" s="120" customFormat="1" x14ac:dyDescent="0.2">
      <c r="K489" s="119"/>
      <c r="L489" s="119"/>
    </row>
    <row r="490" spans="11:12" s="120" customFormat="1" x14ac:dyDescent="0.2">
      <c r="K490" s="119"/>
      <c r="L490" s="119"/>
    </row>
    <row r="491" spans="11:12" s="120" customFormat="1" x14ac:dyDescent="0.2">
      <c r="K491" s="119"/>
      <c r="L491" s="119"/>
    </row>
    <row r="492" spans="11:12" s="120" customFormat="1" x14ac:dyDescent="0.2">
      <c r="K492" s="119"/>
      <c r="L492" s="119"/>
    </row>
    <row r="493" spans="11:12" s="120" customFormat="1" x14ac:dyDescent="0.2">
      <c r="K493" s="119"/>
      <c r="L493" s="119"/>
    </row>
    <row r="494" spans="11:12" s="120" customFormat="1" x14ac:dyDescent="0.2">
      <c r="K494" s="119"/>
      <c r="L494" s="119"/>
    </row>
    <row r="495" spans="11:12" s="120" customFormat="1" x14ac:dyDescent="0.2">
      <c r="K495" s="119"/>
      <c r="L495" s="119"/>
    </row>
    <row r="496" spans="11:12" s="120" customFormat="1" x14ac:dyDescent="0.2">
      <c r="K496" s="119"/>
      <c r="L496" s="119"/>
    </row>
    <row r="497" spans="11:12" s="120" customFormat="1" x14ac:dyDescent="0.2">
      <c r="K497" s="119"/>
      <c r="L497" s="119"/>
    </row>
    <row r="498" spans="11:12" s="120" customFormat="1" x14ac:dyDescent="0.2">
      <c r="K498" s="119"/>
      <c r="L498" s="119"/>
    </row>
    <row r="499" spans="11:12" s="120" customFormat="1" x14ac:dyDescent="0.2">
      <c r="K499" s="119"/>
      <c r="L499" s="119"/>
    </row>
    <row r="500" spans="11:12" s="120" customFormat="1" x14ac:dyDescent="0.2">
      <c r="K500" s="119"/>
      <c r="L500" s="119"/>
    </row>
    <row r="501" spans="11:12" s="120" customFormat="1" x14ac:dyDescent="0.2">
      <c r="K501" s="119"/>
      <c r="L501" s="119"/>
    </row>
    <row r="502" spans="11:12" s="120" customFormat="1" x14ac:dyDescent="0.2">
      <c r="K502" s="119"/>
      <c r="L502" s="119"/>
    </row>
    <row r="503" spans="11:12" s="120" customFormat="1" x14ac:dyDescent="0.2">
      <c r="K503" s="119"/>
      <c r="L503" s="119"/>
    </row>
    <row r="504" spans="11:12" s="120" customFormat="1" x14ac:dyDescent="0.2">
      <c r="K504" s="119"/>
      <c r="L504" s="119"/>
    </row>
    <row r="505" spans="11:12" s="120" customFormat="1" x14ac:dyDescent="0.2">
      <c r="K505" s="119"/>
      <c r="L505" s="119"/>
    </row>
    <row r="506" spans="11:12" s="120" customFormat="1" x14ac:dyDescent="0.2">
      <c r="K506" s="119"/>
      <c r="L506" s="119"/>
    </row>
    <row r="507" spans="11:12" s="120" customFormat="1" x14ac:dyDescent="0.2">
      <c r="K507" s="119"/>
      <c r="L507" s="119"/>
    </row>
    <row r="508" spans="11:12" s="120" customFormat="1" x14ac:dyDescent="0.2">
      <c r="K508" s="119"/>
      <c r="L508" s="119"/>
    </row>
    <row r="509" spans="11:12" s="120" customFormat="1" x14ac:dyDescent="0.2">
      <c r="K509" s="119"/>
      <c r="L509" s="119"/>
    </row>
    <row r="510" spans="11:12" s="120" customFormat="1" x14ac:dyDescent="0.2">
      <c r="K510" s="119"/>
      <c r="L510" s="119"/>
    </row>
    <row r="511" spans="11:12" s="120" customFormat="1" x14ac:dyDescent="0.2">
      <c r="K511" s="119"/>
      <c r="L511" s="119"/>
    </row>
    <row r="512" spans="11:12" s="120" customFormat="1" x14ac:dyDescent="0.2">
      <c r="K512" s="119"/>
      <c r="L512" s="119"/>
    </row>
    <row r="513" spans="11:12" s="120" customFormat="1" x14ac:dyDescent="0.2">
      <c r="K513" s="119"/>
      <c r="L513" s="119"/>
    </row>
    <row r="514" spans="11:12" s="120" customFormat="1" x14ac:dyDescent="0.2">
      <c r="K514" s="119"/>
      <c r="L514" s="119"/>
    </row>
    <row r="515" spans="11:12" s="120" customFormat="1" x14ac:dyDescent="0.2">
      <c r="K515" s="119"/>
      <c r="L515" s="119"/>
    </row>
    <row r="516" spans="11:12" s="120" customFormat="1" x14ac:dyDescent="0.2">
      <c r="K516" s="119"/>
      <c r="L516" s="119"/>
    </row>
    <row r="517" spans="11:12" s="120" customFormat="1" x14ac:dyDescent="0.2">
      <c r="K517" s="119"/>
      <c r="L517" s="119"/>
    </row>
    <row r="518" spans="11:12" s="120" customFormat="1" x14ac:dyDescent="0.2">
      <c r="K518" s="119"/>
      <c r="L518" s="119"/>
    </row>
    <row r="519" spans="11:12" s="120" customFormat="1" x14ac:dyDescent="0.2">
      <c r="K519" s="119"/>
      <c r="L519" s="119"/>
    </row>
    <row r="520" spans="11:12" s="120" customFormat="1" x14ac:dyDescent="0.2">
      <c r="K520" s="119"/>
      <c r="L520" s="119"/>
    </row>
    <row r="521" spans="11:12" s="120" customFormat="1" x14ac:dyDescent="0.2">
      <c r="K521" s="119"/>
      <c r="L521" s="119"/>
    </row>
    <row r="522" spans="11:12" s="120" customFormat="1" x14ac:dyDescent="0.2">
      <c r="K522" s="119"/>
      <c r="L522" s="119"/>
    </row>
    <row r="523" spans="11:12" s="120" customFormat="1" x14ac:dyDescent="0.2">
      <c r="K523" s="119"/>
      <c r="L523" s="119"/>
    </row>
    <row r="524" spans="11:12" s="120" customFormat="1" x14ac:dyDescent="0.2">
      <c r="K524" s="119"/>
      <c r="L524" s="119"/>
    </row>
    <row r="525" spans="11:12" s="120" customFormat="1" x14ac:dyDescent="0.2">
      <c r="K525" s="119"/>
      <c r="L525" s="119"/>
    </row>
    <row r="526" spans="11:12" s="120" customFormat="1" x14ac:dyDescent="0.2">
      <c r="K526" s="119"/>
      <c r="L526" s="119"/>
    </row>
    <row r="527" spans="11:12" s="120" customFormat="1" x14ac:dyDescent="0.2">
      <c r="K527" s="119"/>
      <c r="L527" s="119"/>
    </row>
    <row r="528" spans="11:12" s="120" customFormat="1" x14ac:dyDescent="0.2">
      <c r="K528" s="119"/>
      <c r="L528" s="119"/>
    </row>
    <row r="529" spans="11:12" s="120" customFormat="1" x14ac:dyDescent="0.2">
      <c r="K529" s="119"/>
      <c r="L529" s="119"/>
    </row>
    <row r="530" spans="11:12" s="120" customFormat="1" x14ac:dyDescent="0.2">
      <c r="K530" s="119"/>
      <c r="L530" s="119"/>
    </row>
    <row r="531" spans="11:12" s="120" customFormat="1" x14ac:dyDescent="0.2">
      <c r="K531" s="119"/>
      <c r="L531" s="119"/>
    </row>
    <row r="532" spans="11:12" s="120" customFormat="1" x14ac:dyDescent="0.2">
      <c r="K532" s="119"/>
      <c r="L532" s="119"/>
    </row>
    <row r="533" spans="11:12" s="120" customFormat="1" x14ac:dyDescent="0.2">
      <c r="K533" s="119"/>
      <c r="L533" s="119"/>
    </row>
    <row r="534" spans="11:12" s="120" customFormat="1" x14ac:dyDescent="0.2">
      <c r="K534" s="119"/>
      <c r="L534" s="119"/>
    </row>
    <row r="535" spans="11:12" s="120" customFormat="1" x14ac:dyDescent="0.2">
      <c r="K535" s="119"/>
      <c r="L535" s="119"/>
    </row>
    <row r="536" spans="11:12" s="120" customFormat="1" x14ac:dyDescent="0.2">
      <c r="K536" s="119"/>
      <c r="L536" s="119"/>
    </row>
    <row r="537" spans="11:12" s="120" customFormat="1" x14ac:dyDescent="0.2">
      <c r="K537" s="119"/>
      <c r="L537" s="119"/>
    </row>
    <row r="538" spans="11:12" s="120" customFormat="1" x14ac:dyDescent="0.2">
      <c r="K538" s="119"/>
      <c r="L538" s="119"/>
    </row>
    <row r="539" spans="11:12" s="120" customFormat="1" x14ac:dyDescent="0.2">
      <c r="K539" s="119"/>
      <c r="L539" s="119"/>
    </row>
    <row r="540" spans="11:12" s="120" customFormat="1" x14ac:dyDescent="0.2">
      <c r="K540" s="119"/>
      <c r="L540" s="119"/>
    </row>
    <row r="541" spans="11:12" s="120" customFormat="1" x14ac:dyDescent="0.2">
      <c r="K541" s="119"/>
      <c r="L541" s="119"/>
    </row>
    <row r="542" spans="11:12" s="120" customFormat="1" x14ac:dyDescent="0.2">
      <c r="K542" s="119"/>
      <c r="L542" s="119"/>
    </row>
    <row r="543" spans="11:12" s="120" customFormat="1" x14ac:dyDescent="0.2">
      <c r="K543" s="119"/>
      <c r="L543" s="119"/>
    </row>
    <row r="544" spans="11:12" s="120" customFormat="1" x14ac:dyDescent="0.2">
      <c r="K544" s="119"/>
      <c r="L544" s="119"/>
    </row>
    <row r="545" spans="11:12" s="120" customFormat="1" x14ac:dyDescent="0.2">
      <c r="K545" s="119"/>
      <c r="L545" s="119"/>
    </row>
    <row r="546" spans="11:12" s="120" customFormat="1" x14ac:dyDescent="0.2">
      <c r="K546" s="119"/>
      <c r="L546" s="119"/>
    </row>
    <row r="547" spans="11:12" s="120" customFormat="1" x14ac:dyDescent="0.2">
      <c r="K547" s="119"/>
      <c r="L547" s="119"/>
    </row>
    <row r="548" spans="11:12" s="120" customFormat="1" x14ac:dyDescent="0.2">
      <c r="K548" s="119"/>
      <c r="L548" s="119"/>
    </row>
    <row r="549" spans="11:12" s="120" customFormat="1" x14ac:dyDescent="0.2">
      <c r="K549" s="119"/>
      <c r="L549" s="119"/>
    </row>
    <row r="550" spans="11:12" s="120" customFormat="1" x14ac:dyDescent="0.2">
      <c r="K550" s="119"/>
      <c r="L550" s="119"/>
    </row>
    <row r="551" spans="11:12" s="120" customFormat="1" x14ac:dyDescent="0.2">
      <c r="K551" s="119"/>
      <c r="L551" s="119"/>
    </row>
    <row r="552" spans="11:12" s="120" customFormat="1" x14ac:dyDescent="0.2">
      <c r="K552" s="119"/>
      <c r="L552" s="119"/>
    </row>
    <row r="553" spans="11:12" s="120" customFormat="1" x14ac:dyDescent="0.2">
      <c r="K553" s="119"/>
      <c r="L553" s="119"/>
    </row>
    <row r="554" spans="11:12" s="120" customFormat="1" x14ac:dyDescent="0.2">
      <c r="K554" s="119"/>
      <c r="L554" s="119"/>
    </row>
    <row r="555" spans="11:12" s="120" customFormat="1" x14ac:dyDescent="0.2">
      <c r="K555" s="119"/>
      <c r="L555" s="119"/>
    </row>
    <row r="556" spans="11:12" s="120" customFormat="1" x14ac:dyDescent="0.2">
      <c r="K556" s="119"/>
      <c r="L556" s="119"/>
    </row>
    <row r="557" spans="11:12" s="120" customFormat="1" x14ac:dyDescent="0.2">
      <c r="K557" s="119"/>
      <c r="L557" s="119"/>
    </row>
    <row r="558" spans="11:12" s="120" customFormat="1" x14ac:dyDescent="0.2">
      <c r="K558" s="119"/>
      <c r="L558" s="119"/>
    </row>
    <row r="559" spans="11:12" s="120" customFormat="1" x14ac:dyDescent="0.2">
      <c r="K559" s="119"/>
      <c r="L559" s="119"/>
    </row>
    <row r="560" spans="11:12" s="120" customFormat="1" x14ac:dyDescent="0.2">
      <c r="K560" s="119"/>
      <c r="L560" s="119"/>
    </row>
    <row r="561" spans="11:12" s="120" customFormat="1" x14ac:dyDescent="0.2">
      <c r="K561" s="119"/>
      <c r="L561" s="119"/>
    </row>
    <row r="562" spans="11:12" s="120" customFormat="1" x14ac:dyDescent="0.2">
      <c r="K562" s="119"/>
      <c r="L562" s="119"/>
    </row>
    <row r="563" spans="11:12" s="120" customFormat="1" x14ac:dyDescent="0.2">
      <c r="K563" s="119"/>
      <c r="L563" s="119"/>
    </row>
    <row r="564" spans="11:12" s="120" customFormat="1" x14ac:dyDescent="0.2">
      <c r="K564" s="119"/>
      <c r="L564" s="119"/>
    </row>
    <row r="565" spans="11:12" s="120" customFormat="1" x14ac:dyDescent="0.2">
      <c r="K565" s="119"/>
      <c r="L565" s="119"/>
    </row>
    <row r="566" spans="11:12" s="120" customFormat="1" x14ac:dyDescent="0.2">
      <c r="K566" s="119"/>
      <c r="L566" s="119"/>
    </row>
    <row r="567" spans="11:12" s="120" customFormat="1" x14ac:dyDescent="0.2">
      <c r="K567" s="119"/>
      <c r="L567" s="119"/>
    </row>
    <row r="568" spans="11:12" s="120" customFormat="1" x14ac:dyDescent="0.2">
      <c r="K568" s="119"/>
      <c r="L568" s="119"/>
    </row>
    <row r="569" spans="11:12" s="120" customFormat="1" x14ac:dyDescent="0.2">
      <c r="K569" s="119"/>
      <c r="L569" s="119"/>
    </row>
    <row r="570" spans="11:12" s="120" customFormat="1" x14ac:dyDescent="0.2">
      <c r="K570" s="119"/>
      <c r="L570" s="119"/>
    </row>
    <row r="571" spans="11:12" s="120" customFormat="1" x14ac:dyDescent="0.2">
      <c r="K571" s="119"/>
      <c r="L571" s="119"/>
    </row>
    <row r="572" spans="11:12" s="120" customFormat="1" x14ac:dyDescent="0.2">
      <c r="K572" s="119"/>
      <c r="L572" s="119"/>
    </row>
    <row r="573" spans="11:12" s="120" customFormat="1" x14ac:dyDescent="0.2">
      <c r="K573" s="119"/>
      <c r="L573" s="119"/>
    </row>
    <row r="574" spans="11:12" s="120" customFormat="1" x14ac:dyDescent="0.2">
      <c r="K574" s="119"/>
      <c r="L574" s="119"/>
    </row>
    <row r="575" spans="11:12" s="120" customFormat="1" x14ac:dyDescent="0.2">
      <c r="K575" s="119"/>
      <c r="L575" s="119"/>
    </row>
    <row r="576" spans="11:12" s="120" customFormat="1" x14ac:dyDescent="0.2">
      <c r="K576" s="119"/>
      <c r="L576" s="119"/>
    </row>
    <row r="577" spans="11:12" s="120" customFormat="1" x14ac:dyDescent="0.2">
      <c r="K577" s="119"/>
      <c r="L577" s="119"/>
    </row>
    <row r="578" spans="11:12" s="120" customFormat="1" x14ac:dyDescent="0.2">
      <c r="K578" s="119"/>
      <c r="L578" s="119"/>
    </row>
    <row r="579" spans="11:12" s="120" customFormat="1" x14ac:dyDescent="0.2">
      <c r="K579" s="119"/>
      <c r="L579" s="119"/>
    </row>
    <row r="580" spans="11:12" s="120" customFormat="1" x14ac:dyDescent="0.2">
      <c r="K580" s="119"/>
      <c r="L580" s="119"/>
    </row>
    <row r="581" spans="11:12" s="120" customFormat="1" x14ac:dyDescent="0.2">
      <c r="K581" s="119"/>
      <c r="L581" s="119"/>
    </row>
    <row r="582" spans="11:12" s="120" customFormat="1" x14ac:dyDescent="0.2">
      <c r="K582" s="119"/>
      <c r="L582" s="119"/>
    </row>
    <row r="583" spans="11:12" s="120" customFormat="1" x14ac:dyDescent="0.2">
      <c r="K583" s="119"/>
      <c r="L583" s="119"/>
    </row>
    <row r="584" spans="11:12" s="120" customFormat="1" x14ac:dyDescent="0.2">
      <c r="K584" s="119"/>
      <c r="L584" s="119"/>
    </row>
    <row r="585" spans="11:12" s="120" customFormat="1" x14ac:dyDescent="0.2">
      <c r="K585" s="119"/>
      <c r="L585" s="119"/>
    </row>
    <row r="586" spans="11:12" s="120" customFormat="1" x14ac:dyDescent="0.2">
      <c r="K586" s="119"/>
      <c r="L586" s="119"/>
    </row>
    <row r="587" spans="11:12" s="120" customFormat="1" x14ac:dyDescent="0.2">
      <c r="K587" s="119"/>
      <c r="L587" s="119"/>
    </row>
    <row r="588" spans="11:12" s="120" customFormat="1" x14ac:dyDescent="0.2">
      <c r="K588" s="119"/>
      <c r="L588" s="119"/>
    </row>
    <row r="589" spans="11:12" s="120" customFormat="1" x14ac:dyDescent="0.2">
      <c r="K589" s="119"/>
      <c r="L589" s="119"/>
    </row>
    <row r="590" spans="11:12" s="120" customFormat="1" x14ac:dyDescent="0.2">
      <c r="K590" s="119"/>
      <c r="L590" s="119"/>
    </row>
    <row r="591" spans="11:12" s="120" customFormat="1" x14ac:dyDescent="0.2">
      <c r="K591" s="119"/>
      <c r="L591" s="119"/>
    </row>
    <row r="592" spans="11:12" s="120" customFormat="1" x14ac:dyDescent="0.2">
      <c r="K592" s="119"/>
      <c r="L592" s="119"/>
    </row>
    <row r="593" spans="11:12" s="120" customFormat="1" x14ac:dyDescent="0.2">
      <c r="K593" s="119"/>
      <c r="L593" s="119"/>
    </row>
    <row r="594" spans="11:12" s="120" customFormat="1" x14ac:dyDescent="0.2">
      <c r="K594" s="119"/>
      <c r="L594" s="119"/>
    </row>
    <row r="595" spans="11:12" s="120" customFormat="1" x14ac:dyDescent="0.2">
      <c r="K595" s="119"/>
      <c r="L595" s="119"/>
    </row>
    <row r="596" spans="11:12" s="120" customFormat="1" x14ac:dyDescent="0.2">
      <c r="K596" s="119"/>
      <c r="L596" s="119"/>
    </row>
    <row r="597" spans="11:12" s="120" customFormat="1" x14ac:dyDescent="0.2">
      <c r="K597" s="119"/>
      <c r="L597" s="119"/>
    </row>
    <row r="598" spans="11:12" s="120" customFormat="1" x14ac:dyDescent="0.2">
      <c r="K598" s="119"/>
      <c r="L598" s="119"/>
    </row>
    <row r="599" spans="11:12" s="120" customFormat="1" x14ac:dyDescent="0.2">
      <c r="K599" s="119"/>
      <c r="L599" s="119"/>
    </row>
    <row r="600" spans="11:12" s="120" customFormat="1" x14ac:dyDescent="0.2">
      <c r="K600" s="119"/>
      <c r="L600" s="119"/>
    </row>
    <row r="601" spans="11:12" s="120" customFormat="1" x14ac:dyDescent="0.2">
      <c r="K601" s="119"/>
      <c r="L601" s="119"/>
    </row>
    <row r="602" spans="11:12" s="120" customFormat="1" x14ac:dyDescent="0.2">
      <c r="K602" s="119"/>
      <c r="L602" s="119"/>
    </row>
    <row r="603" spans="11:12" s="120" customFormat="1" x14ac:dyDescent="0.2">
      <c r="K603" s="119"/>
      <c r="L603" s="119"/>
    </row>
    <row r="604" spans="11:12" s="120" customFormat="1" x14ac:dyDescent="0.2">
      <c r="K604" s="119"/>
      <c r="L604" s="119"/>
    </row>
    <row r="605" spans="11:12" s="120" customFormat="1" x14ac:dyDescent="0.2">
      <c r="K605" s="119"/>
      <c r="L605" s="119"/>
    </row>
    <row r="606" spans="11:12" s="120" customFormat="1" x14ac:dyDescent="0.2">
      <c r="K606" s="119"/>
      <c r="L606" s="119"/>
    </row>
    <row r="607" spans="11:12" s="120" customFormat="1" x14ac:dyDescent="0.2">
      <c r="K607" s="119"/>
      <c r="L607" s="119"/>
    </row>
    <row r="608" spans="11:12" s="120" customFormat="1" x14ac:dyDescent="0.2">
      <c r="K608" s="119"/>
      <c r="L608" s="119"/>
    </row>
    <row r="609" spans="11:12" s="120" customFormat="1" x14ac:dyDescent="0.2">
      <c r="K609" s="119"/>
      <c r="L609" s="119"/>
    </row>
    <row r="610" spans="11:12" s="120" customFormat="1" x14ac:dyDescent="0.2">
      <c r="K610" s="119"/>
      <c r="L610" s="119"/>
    </row>
    <row r="611" spans="11:12" s="120" customFormat="1" x14ac:dyDescent="0.2">
      <c r="K611" s="119"/>
      <c r="L611" s="119"/>
    </row>
    <row r="612" spans="11:12" s="120" customFormat="1" x14ac:dyDescent="0.2">
      <c r="K612" s="119"/>
      <c r="L612" s="119"/>
    </row>
    <row r="613" spans="11:12" s="120" customFormat="1" x14ac:dyDescent="0.2">
      <c r="K613" s="119"/>
      <c r="L613" s="119"/>
    </row>
    <row r="614" spans="11:12" s="120" customFormat="1" x14ac:dyDescent="0.2">
      <c r="K614" s="119"/>
      <c r="L614" s="119"/>
    </row>
    <row r="615" spans="11:12" s="120" customFormat="1" x14ac:dyDescent="0.2">
      <c r="K615" s="119"/>
      <c r="L615" s="119"/>
    </row>
    <row r="616" spans="11:12" s="120" customFormat="1" x14ac:dyDescent="0.2">
      <c r="K616" s="119"/>
      <c r="L616" s="119"/>
    </row>
    <row r="617" spans="11:12" s="120" customFormat="1" x14ac:dyDescent="0.2">
      <c r="K617" s="119"/>
      <c r="L617" s="119"/>
    </row>
    <row r="618" spans="11:12" s="120" customFormat="1" x14ac:dyDescent="0.2">
      <c r="K618" s="119"/>
      <c r="L618" s="119"/>
    </row>
    <row r="619" spans="11:12" s="120" customFormat="1" x14ac:dyDescent="0.2">
      <c r="K619" s="119"/>
      <c r="L619" s="119"/>
    </row>
    <row r="620" spans="11:12" s="120" customFormat="1" x14ac:dyDescent="0.2">
      <c r="K620" s="119"/>
      <c r="L620" s="119"/>
    </row>
    <row r="621" spans="11:12" s="120" customFormat="1" x14ac:dyDescent="0.2">
      <c r="K621" s="119"/>
      <c r="L621" s="119"/>
    </row>
    <row r="622" spans="11:12" s="120" customFormat="1" x14ac:dyDescent="0.2">
      <c r="K622" s="119"/>
      <c r="L622" s="119"/>
    </row>
    <row r="623" spans="11:12" s="120" customFormat="1" x14ac:dyDescent="0.2">
      <c r="K623" s="119"/>
      <c r="L623" s="119"/>
    </row>
    <row r="624" spans="11:12" s="120" customFormat="1" x14ac:dyDescent="0.2">
      <c r="K624" s="119"/>
      <c r="L624" s="119"/>
    </row>
    <row r="625" spans="11:12" s="120" customFormat="1" x14ac:dyDescent="0.2">
      <c r="K625" s="119"/>
      <c r="L625" s="119"/>
    </row>
    <row r="626" spans="11:12" s="120" customFormat="1" x14ac:dyDescent="0.2">
      <c r="K626" s="119"/>
      <c r="L626" s="119"/>
    </row>
    <row r="627" spans="11:12" s="120" customFormat="1" x14ac:dyDescent="0.2">
      <c r="K627" s="119"/>
      <c r="L627" s="119"/>
    </row>
    <row r="628" spans="11:12" s="120" customFormat="1" x14ac:dyDescent="0.2">
      <c r="K628" s="119"/>
      <c r="L628" s="119"/>
    </row>
    <row r="629" spans="11:12" s="120" customFormat="1" x14ac:dyDescent="0.2">
      <c r="K629" s="119"/>
      <c r="L629" s="119"/>
    </row>
    <row r="630" spans="11:12" s="120" customFormat="1" x14ac:dyDescent="0.2">
      <c r="K630" s="119"/>
      <c r="L630" s="119"/>
    </row>
    <row r="631" spans="11:12" s="120" customFormat="1" x14ac:dyDescent="0.2">
      <c r="K631" s="119"/>
      <c r="L631" s="119"/>
    </row>
    <row r="632" spans="11:12" s="120" customFormat="1" x14ac:dyDescent="0.2">
      <c r="K632" s="119"/>
      <c r="L632" s="119"/>
    </row>
    <row r="633" spans="11:12" s="120" customFormat="1" x14ac:dyDescent="0.2">
      <c r="K633" s="119"/>
      <c r="L633" s="119"/>
    </row>
    <row r="634" spans="11:12" s="120" customFormat="1" x14ac:dyDescent="0.2">
      <c r="K634" s="119"/>
      <c r="L634" s="119"/>
    </row>
    <row r="635" spans="11:12" s="120" customFormat="1" x14ac:dyDescent="0.2">
      <c r="K635" s="119"/>
      <c r="L635" s="119"/>
    </row>
    <row r="636" spans="11:12" s="120" customFormat="1" x14ac:dyDescent="0.2">
      <c r="K636" s="119"/>
      <c r="L636" s="119"/>
    </row>
    <row r="637" spans="11:12" s="120" customFormat="1" x14ac:dyDescent="0.2">
      <c r="K637" s="119"/>
      <c r="L637" s="119"/>
    </row>
    <row r="638" spans="11:12" s="120" customFormat="1" x14ac:dyDescent="0.2">
      <c r="K638" s="119"/>
      <c r="L638" s="119"/>
    </row>
    <row r="639" spans="11:12" s="120" customFormat="1" x14ac:dyDescent="0.2">
      <c r="K639" s="119"/>
      <c r="L639" s="119"/>
    </row>
    <row r="640" spans="11:12" s="120" customFormat="1" x14ac:dyDescent="0.2">
      <c r="K640" s="119"/>
      <c r="L640" s="119"/>
    </row>
    <row r="641" spans="11:12" s="120" customFormat="1" x14ac:dyDescent="0.2">
      <c r="K641" s="119"/>
      <c r="L641" s="119"/>
    </row>
    <row r="642" spans="11:12" s="120" customFormat="1" x14ac:dyDescent="0.2">
      <c r="K642" s="119"/>
      <c r="L642" s="119"/>
    </row>
    <row r="643" spans="11:12" s="120" customFormat="1" x14ac:dyDescent="0.2">
      <c r="K643" s="119"/>
      <c r="L643" s="119"/>
    </row>
    <row r="644" spans="11:12" s="120" customFormat="1" x14ac:dyDescent="0.2">
      <c r="K644" s="119"/>
      <c r="L644" s="119"/>
    </row>
    <row r="645" spans="11:12" s="120" customFormat="1" x14ac:dyDescent="0.2">
      <c r="K645" s="119"/>
      <c r="L645" s="119"/>
    </row>
    <row r="646" spans="11:12" s="120" customFormat="1" x14ac:dyDescent="0.2">
      <c r="K646" s="119"/>
      <c r="L646" s="119"/>
    </row>
    <row r="647" spans="11:12" s="120" customFormat="1" x14ac:dyDescent="0.2">
      <c r="K647" s="119"/>
      <c r="L647" s="119"/>
    </row>
    <row r="648" spans="11:12" s="120" customFormat="1" x14ac:dyDescent="0.2">
      <c r="K648" s="119"/>
      <c r="L648" s="119"/>
    </row>
    <row r="649" spans="11:12" s="120" customFormat="1" x14ac:dyDescent="0.2">
      <c r="K649" s="119"/>
      <c r="L649" s="119"/>
    </row>
    <row r="650" spans="11:12" s="120" customFormat="1" x14ac:dyDescent="0.2">
      <c r="K650" s="119"/>
      <c r="L650" s="119"/>
    </row>
    <row r="651" spans="11:12" s="120" customFormat="1" x14ac:dyDescent="0.2">
      <c r="K651" s="119"/>
      <c r="L651" s="119"/>
    </row>
    <row r="652" spans="11:12" s="120" customFormat="1" x14ac:dyDescent="0.2">
      <c r="K652" s="119"/>
      <c r="L652" s="119"/>
    </row>
    <row r="653" spans="11:12" s="120" customFormat="1" x14ac:dyDescent="0.2">
      <c r="K653" s="119"/>
      <c r="L653" s="119"/>
    </row>
    <row r="654" spans="11:12" s="120" customFormat="1" x14ac:dyDescent="0.2">
      <c r="K654" s="119"/>
      <c r="L654" s="119"/>
    </row>
    <row r="655" spans="11:12" s="120" customFormat="1" x14ac:dyDescent="0.2">
      <c r="K655" s="119"/>
      <c r="L655" s="119"/>
    </row>
    <row r="656" spans="11:12" s="120" customFormat="1" x14ac:dyDescent="0.2">
      <c r="K656" s="119"/>
      <c r="L656" s="119"/>
    </row>
    <row r="657" spans="11:12" s="120" customFormat="1" x14ac:dyDescent="0.2">
      <c r="K657" s="119"/>
      <c r="L657" s="119"/>
    </row>
    <row r="658" spans="11:12" s="120" customFormat="1" x14ac:dyDescent="0.2">
      <c r="K658" s="119"/>
      <c r="L658" s="119"/>
    </row>
    <row r="659" spans="11:12" s="120" customFormat="1" x14ac:dyDescent="0.2">
      <c r="K659" s="119"/>
      <c r="L659" s="119"/>
    </row>
    <row r="660" spans="11:12" s="120" customFormat="1" x14ac:dyDescent="0.2">
      <c r="K660" s="119"/>
      <c r="L660" s="119"/>
    </row>
    <row r="661" spans="11:12" s="120" customFormat="1" x14ac:dyDescent="0.2">
      <c r="K661" s="119"/>
      <c r="L661" s="119"/>
    </row>
    <row r="662" spans="11:12" s="120" customFormat="1" x14ac:dyDescent="0.2">
      <c r="K662" s="119"/>
      <c r="L662" s="119"/>
    </row>
    <row r="663" spans="11:12" s="120" customFormat="1" x14ac:dyDescent="0.2">
      <c r="K663" s="119"/>
      <c r="L663" s="119"/>
    </row>
    <row r="664" spans="11:12" s="120" customFormat="1" x14ac:dyDescent="0.2">
      <c r="K664" s="119"/>
      <c r="L664" s="119"/>
    </row>
    <row r="665" spans="11:12" s="120" customFormat="1" x14ac:dyDescent="0.2">
      <c r="K665" s="119"/>
      <c r="L665" s="119"/>
    </row>
    <row r="666" spans="11:12" s="120" customFormat="1" x14ac:dyDescent="0.2">
      <c r="K666" s="119"/>
      <c r="L666" s="119"/>
    </row>
    <row r="667" spans="11:12" s="120" customFormat="1" x14ac:dyDescent="0.2">
      <c r="K667" s="119"/>
      <c r="L667" s="119"/>
    </row>
    <row r="668" spans="11:12" s="120" customFormat="1" x14ac:dyDescent="0.2">
      <c r="K668" s="119"/>
      <c r="L668" s="119"/>
    </row>
    <row r="669" spans="11:12" s="120" customFormat="1" x14ac:dyDescent="0.2">
      <c r="K669" s="119"/>
      <c r="L669" s="119"/>
    </row>
    <row r="670" spans="11:12" s="120" customFormat="1" x14ac:dyDescent="0.2">
      <c r="K670" s="119"/>
      <c r="L670" s="119"/>
    </row>
    <row r="671" spans="11:12" s="120" customFormat="1" x14ac:dyDescent="0.2">
      <c r="K671" s="119"/>
      <c r="L671" s="119"/>
    </row>
    <row r="672" spans="11:12" s="120" customFormat="1" x14ac:dyDescent="0.2">
      <c r="K672" s="119"/>
      <c r="L672" s="119"/>
    </row>
    <row r="673" spans="11:12" s="120" customFormat="1" x14ac:dyDescent="0.2">
      <c r="K673" s="119"/>
      <c r="L673" s="119"/>
    </row>
    <row r="674" spans="11:12" s="120" customFormat="1" x14ac:dyDescent="0.2">
      <c r="K674" s="119"/>
      <c r="L674" s="119"/>
    </row>
    <row r="675" spans="11:12" s="120" customFormat="1" x14ac:dyDescent="0.2">
      <c r="K675" s="119"/>
      <c r="L675" s="119"/>
    </row>
    <row r="676" spans="11:12" s="120" customFormat="1" x14ac:dyDescent="0.2">
      <c r="K676" s="119"/>
      <c r="L676" s="119"/>
    </row>
    <row r="677" spans="11:12" s="120" customFormat="1" x14ac:dyDescent="0.2">
      <c r="K677" s="119"/>
      <c r="L677" s="119"/>
    </row>
    <row r="678" spans="11:12" s="120" customFormat="1" x14ac:dyDescent="0.2">
      <c r="K678" s="119"/>
      <c r="L678" s="119"/>
    </row>
    <row r="679" spans="11:12" s="120" customFormat="1" x14ac:dyDescent="0.2">
      <c r="K679" s="119"/>
      <c r="L679" s="119"/>
    </row>
    <row r="680" spans="11:12" s="120" customFormat="1" x14ac:dyDescent="0.2">
      <c r="K680" s="119"/>
      <c r="L680" s="119"/>
    </row>
    <row r="681" spans="11:12" s="120" customFormat="1" x14ac:dyDescent="0.2">
      <c r="K681" s="119"/>
      <c r="L681" s="119"/>
    </row>
    <row r="682" spans="11:12" s="120" customFormat="1" x14ac:dyDescent="0.2">
      <c r="K682" s="119"/>
      <c r="L682" s="119"/>
    </row>
    <row r="683" spans="11:12" s="120" customFormat="1" x14ac:dyDescent="0.2">
      <c r="K683" s="119"/>
      <c r="L683" s="119"/>
    </row>
    <row r="684" spans="11:12" s="120" customFormat="1" x14ac:dyDescent="0.2">
      <c r="K684" s="119"/>
      <c r="L684" s="119"/>
    </row>
    <row r="685" spans="11:12" s="120" customFormat="1" x14ac:dyDescent="0.2">
      <c r="K685" s="119"/>
      <c r="L685" s="119"/>
    </row>
    <row r="686" spans="11:12" s="120" customFormat="1" x14ac:dyDescent="0.2">
      <c r="K686" s="119"/>
      <c r="L686" s="119"/>
    </row>
    <row r="687" spans="11:12" s="120" customFormat="1" x14ac:dyDescent="0.2">
      <c r="K687" s="119"/>
      <c r="L687" s="119"/>
    </row>
    <row r="688" spans="11:12" s="120" customFormat="1" x14ac:dyDescent="0.2">
      <c r="K688" s="119"/>
      <c r="L688" s="119"/>
    </row>
    <row r="689" spans="11:12" s="120" customFormat="1" x14ac:dyDescent="0.2">
      <c r="K689" s="119"/>
      <c r="L689" s="119"/>
    </row>
    <row r="690" spans="11:12" s="120" customFormat="1" x14ac:dyDescent="0.2">
      <c r="K690" s="119"/>
      <c r="L690" s="119"/>
    </row>
    <row r="691" spans="11:12" s="120" customFormat="1" x14ac:dyDescent="0.2">
      <c r="K691" s="119"/>
      <c r="L691" s="119"/>
    </row>
    <row r="692" spans="11:12" s="120" customFormat="1" x14ac:dyDescent="0.2">
      <c r="K692" s="119"/>
      <c r="L692" s="119"/>
    </row>
    <row r="693" spans="11:12" s="120" customFormat="1" x14ac:dyDescent="0.2">
      <c r="K693" s="119"/>
      <c r="L693" s="119"/>
    </row>
    <row r="694" spans="11:12" s="120" customFormat="1" x14ac:dyDescent="0.2">
      <c r="K694" s="119"/>
      <c r="L694" s="119"/>
    </row>
    <row r="695" spans="11:12" s="120" customFormat="1" x14ac:dyDescent="0.2">
      <c r="K695" s="119"/>
      <c r="L695" s="119"/>
    </row>
    <row r="696" spans="11:12" s="120" customFormat="1" x14ac:dyDescent="0.2">
      <c r="K696" s="119"/>
      <c r="L696" s="119"/>
    </row>
    <row r="697" spans="11:12" s="120" customFormat="1" x14ac:dyDescent="0.2">
      <c r="K697" s="119"/>
      <c r="L697" s="119"/>
    </row>
    <row r="698" spans="11:12" s="120" customFormat="1" x14ac:dyDescent="0.2">
      <c r="K698" s="119"/>
      <c r="L698" s="119"/>
    </row>
    <row r="699" spans="11:12" s="120" customFormat="1" x14ac:dyDescent="0.2">
      <c r="K699" s="119"/>
      <c r="L699" s="119"/>
    </row>
    <row r="700" spans="11:12" s="120" customFormat="1" x14ac:dyDescent="0.2">
      <c r="K700" s="119"/>
      <c r="L700" s="119"/>
    </row>
    <row r="701" spans="11:12" s="120" customFormat="1" x14ac:dyDescent="0.2">
      <c r="K701" s="119"/>
      <c r="L701" s="119"/>
    </row>
    <row r="702" spans="11:12" s="120" customFormat="1" x14ac:dyDescent="0.2">
      <c r="K702" s="119"/>
      <c r="L702" s="119"/>
    </row>
    <row r="703" spans="11:12" s="120" customFormat="1" x14ac:dyDescent="0.2">
      <c r="K703" s="119"/>
      <c r="L703" s="119"/>
    </row>
    <row r="704" spans="11:12" s="120" customFormat="1" x14ac:dyDescent="0.2">
      <c r="K704" s="119"/>
      <c r="L704" s="119"/>
    </row>
    <row r="705" spans="11:12" s="120" customFormat="1" x14ac:dyDescent="0.2">
      <c r="K705" s="119"/>
      <c r="L705" s="119"/>
    </row>
    <row r="706" spans="11:12" s="120" customFormat="1" x14ac:dyDescent="0.2">
      <c r="K706" s="119"/>
      <c r="L706" s="119"/>
    </row>
    <row r="707" spans="11:12" s="120" customFormat="1" x14ac:dyDescent="0.2">
      <c r="K707" s="119"/>
      <c r="L707" s="119"/>
    </row>
    <row r="708" spans="11:12" s="120" customFormat="1" x14ac:dyDescent="0.2">
      <c r="K708" s="119"/>
      <c r="L708" s="119"/>
    </row>
    <row r="709" spans="11:12" s="120" customFormat="1" x14ac:dyDescent="0.2">
      <c r="K709" s="119"/>
      <c r="L709" s="119"/>
    </row>
    <row r="710" spans="11:12" s="120" customFormat="1" x14ac:dyDescent="0.2">
      <c r="K710" s="119"/>
      <c r="L710" s="119"/>
    </row>
    <row r="711" spans="11:12" s="120" customFormat="1" x14ac:dyDescent="0.2">
      <c r="K711" s="119"/>
      <c r="L711" s="119"/>
    </row>
    <row r="712" spans="11:12" s="120" customFormat="1" x14ac:dyDescent="0.2">
      <c r="K712" s="119"/>
      <c r="L712" s="119"/>
    </row>
    <row r="713" spans="11:12" s="120" customFormat="1" x14ac:dyDescent="0.2">
      <c r="K713" s="119"/>
      <c r="L713" s="119"/>
    </row>
    <row r="714" spans="11:12" s="120" customFormat="1" x14ac:dyDescent="0.2">
      <c r="K714" s="119"/>
      <c r="L714" s="119"/>
    </row>
    <row r="715" spans="11:12" s="120" customFormat="1" x14ac:dyDescent="0.2">
      <c r="K715" s="119"/>
      <c r="L715" s="119"/>
    </row>
    <row r="716" spans="11:12" s="120" customFormat="1" x14ac:dyDescent="0.2">
      <c r="K716" s="119"/>
      <c r="L716" s="119"/>
    </row>
    <row r="717" spans="11:12" s="120" customFormat="1" x14ac:dyDescent="0.2">
      <c r="K717" s="119"/>
      <c r="L717" s="119"/>
    </row>
    <row r="718" spans="11:12" s="120" customFormat="1" x14ac:dyDescent="0.2">
      <c r="K718" s="119"/>
      <c r="L718" s="119"/>
    </row>
    <row r="719" spans="11:12" s="120" customFormat="1" x14ac:dyDescent="0.2">
      <c r="K719" s="119"/>
      <c r="L719" s="119"/>
    </row>
    <row r="720" spans="11:12" s="120" customFormat="1" x14ac:dyDescent="0.2">
      <c r="K720" s="119"/>
      <c r="L720" s="119"/>
    </row>
    <row r="721" spans="11:12" s="120" customFormat="1" x14ac:dyDescent="0.2">
      <c r="K721" s="119"/>
      <c r="L721" s="119"/>
    </row>
    <row r="722" spans="11:12" s="120" customFormat="1" x14ac:dyDescent="0.2">
      <c r="K722" s="119"/>
      <c r="L722" s="119"/>
    </row>
    <row r="723" spans="11:12" s="120" customFormat="1" x14ac:dyDescent="0.2">
      <c r="K723" s="119"/>
      <c r="L723" s="119"/>
    </row>
    <row r="724" spans="11:12" s="120" customFormat="1" x14ac:dyDescent="0.2">
      <c r="K724" s="119"/>
      <c r="L724" s="119"/>
    </row>
    <row r="725" spans="11:12" s="120" customFormat="1" x14ac:dyDescent="0.2">
      <c r="K725" s="119"/>
      <c r="L725" s="119"/>
    </row>
    <row r="726" spans="11:12" s="120" customFormat="1" x14ac:dyDescent="0.2">
      <c r="K726" s="119"/>
      <c r="L726" s="119"/>
    </row>
    <row r="727" spans="11:12" s="120" customFormat="1" x14ac:dyDescent="0.2">
      <c r="K727" s="119"/>
      <c r="L727" s="119"/>
    </row>
    <row r="728" spans="11:12" s="120" customFormat="1" x14ac:dyDescent="0.2">
      <c r="K728" s="119"/>
      <c r="L728" s="119"/>
    </row>
    <row r="729" spans="11:12" s="120" customFormat="1" x14ac:dyDescent="0.2">
      <c r="K729" s="119"/>
      <c r="L729" s="119"/>
    </row>
    <row r="730" spans="11:12" s="120" customFormat="1" x14ac:dyDescent="0.2">
      <c r="K730" s="119"/>
      <c r="L730" s="119"/>
    </row>
    <row r="731" spans="11:12" s="120" customFormat="1" x14ac:dyDescent="0.2">
      <c r="K731" s="119"/>
      <c r="L731" s="119"/>
    </row>
    <row r="732" spans="11:12" s="120" customFormat="1" x14ac:dyDescent="0.2">
      <c r="K732" s="119"/>
      <c r="L732" s="119"/>
    </row>
    <row r="733" spans="11:12" s="120" customFormat="1" x14ac:dyDescent="0.2">
      <c r="K733" s="119"/>
      <c r="L733" s="119"/>
    </row>
    <row r="734" spans="11:12" s="120" customFormat="1" x14ac:dyDescent="0.2">
      <c r="K734" s="119"/>
      <c r="L734" s="119"/>
    </row>
    <row r="735" spans="11:12" s="120" customFormat="1" x14ac:dyDescent="0.2">
      <c r="K735" s="119"/>
      <c r="L735" s="119"/>
    </row>
    <row r="736" spans="11:12" s="120" customFormat="1" x14ac:dyDescent="0.2">
      <c r="K736" s="119"/>
      <c r="L736" s="119"/>
    </row>
    <row r="737" spans="11:12" s="120" customFormat="1" x14ac:dyDescent="0.2">
      <c r="K737" s="119"/>
      <c r="L737" s="119"/>
    </row>
    <row r="738" spans="11:12" s="120" customFormat="1" x14ac:dyDescent="0.2">
      <c r="K738" s="119"/>
      <c r="L738" s="119"/>
    </row>
    <row r="739" spans="11:12" s="120" customFormat="1" x14ac:dyDescent="0.2">
      <c r="K739" s="119"/>
      <c r="L739" s="119"/>
    </row>
    <row r="740" spans="11:12" s="120" customFormat="1" x14ac:dyDescent="0.2">
      <c r="K740" s="119"/>
      <c r="L740" s="119"/>
    </row>
    <row r="741" spans="11:12" s="120" customFormat="1" x14ac:dyDescent="0.2">
      <c r="K741" s="119"/>
      <c r="L741" s="119"/>
    </row>
    <row r="742" spans="11:12" s="120" customFormat="1" x14ac:dyDescent="0.2">
      <c r="K742" s="119"/>
      <c r="L742" s="119"/>
    </row>
    <row r="743" spans="11:12" s="120" customFormat="1" x14ac:dyDescent="0.2">
      <c r="K743" s="119"/>
      <c r="L743" s="119"/>
    </row>
    <row r="744" spans="11:12" s="120" customFormat="1" x14ac:dyDescent="0.2">
      <c r="K744" s="119"/>
      <c r="L744" s="119"/>
    </row>
    <row r="745" spans="11:12" s="120" customFormat="1" x14ac:dyDescent="0.2">
      <c r="K745" s="119"/>
      <c r="L745" s="119"/>
    </row>
    <row r="746" spans="11:12" s="120" customFormat="1" x14ac:dyDescent="0.2">
      <c r="K746" s="119"/>
      <c r="L746" s="119"/>
    </row>
    <row r="747" spans="11:12" s="120" customFormat="1" x14ac:dyDescent="0.2">
      <c r="K747" s="119"/>
      <c r="L747" s="119"/>
    </row>
    <row r="748" spans="11:12" s="120" customFormat="1" x14ac:dyDescent="0.2">
      <c r="K748" s="119"/>
      <c r="L748" s="119"/>
    </row>
    <row r="749" spans="11:12" s="120" customFormat="1" x14ac:dyDescent="0.2">
      <c r="K749" s="119"/>
      <c r="L749" s="119"/>
    </row>
    <row r="750" spans="11:12" s="120" customFormat="1" x14ac:dyDescent="0.2">
      <c r="K750" s="119"/>
      <c r="L750" s="119"/>
    </row>
    <row r="751" spans="11:12" s="120" customFormat="1" x14ac:dyDescent="0.2">
      <c r="K751" s="119"/>
      <c r="L751" s="119"/>
    </row>
    <row r="752" spans="11:12" s="120" customFormat="1" x14ac:dyDescent="0.2">
      <c r="K752" s="119"/>
      <c r="L752" s="119"/>
    </row>
    <row r="753" spans="11:12" s="120" customFormat="1" x14ac:dyDescent="0.2">
      <c r="K753" s="119"/>
      <c r="L753" s="119"/>
    </row>
    <row r="754" spans="11:12" s="120" customFormat="1" x14ac:dyDescent="0.2">
      <c r="K754" s="119"/>
      <c r="L754" s="119"/>
    </row>
    <row r="755" spans="11:12" s="120" customFormat="1" x14ac:dyDescent="0.2">
      <c r="K755" s="119"/>
      <c r="L755" s="119"/>
    </row>
    <row r="756" spans="11:12" s="120" customFormat="1" x14ac:dyDescent="0.2">
      <c r="K756" s="119"/>
      <c r="L756" s="119"/>
    </row>
    <row r="757" spans="11:12" s="120" customFormat="1" x14ac:dyDescent="0.2">
      <c r="K757" s="119"/>
      <c r="L757" s="119"/>
    </row>
    <row r="758" spans="11:12" s="120" customFormat="1" x14ac:dyDescent="0.2">
      <c r="K758" s="119"/>
      <c r="L758" s="119"/>
    </row>
    <row r="759" spans="11:12" s="120" customFormat="1" x14ac:dyDescent="0.2">
      <c r="K759" s="119"/>
      <c r="L759" s="119"/>
    </row>
    <row r="760" spans="11:12" s="120" customFormat="1" x14ac:dyDescent="0.2">
      <c r="K760" s="119"/>
      <c r="L760" s="119"/>
    </row>
    <row r="761" spans="11:12" s="120" customFormat="1" x14ac:dyDescent="0.2">
      <c r="K761" s="119"/>
      <c r="L761" s="119"/>
    </row>
    <row r="762" spans="11:12" s="120" customFormat="1" x14ac:dyDescent="0.2">
      <c r="K762" s="119"/>
      <c r="L762" s="119"/>
    </row>
    <row r="763" spans="11:12" s="120" customFormat="1" x14ac:dyDescent="0.2">
      <c r="K763" s="119"/>
      <c r="L763" s="119"/>
    </row>
    <row r="764" spans="11:12" s="120" customFormat="1" x14ac:dyDescent="0.2">
      <c r="K764" s="119"/>
      <c r="L764" s="119"/>
    </row>
    <row r="765" spans="11:12" s="120" customFormat="1" x14ac:dyDescent="0.2">
      <c r="K765" s="119"/>
      <c r="L765" s="119"/>
    </row>
    <row r="766" spans="11:12" s="120" customFormat="1" x14ac:dyDescent="0.2">
      <c r="K766" s="119"/>
      <c r="L766" s="119"/>
    </row>
    <row r="767" spans="11:12" s="120" customFormat="1" x14ac:dyDescent="0.2">
      <c r="K767" s="119"/>
      <c r="L767" s="119"/>
    </row>
    <row r="768" spans="11:12" s="120" customFormat="1" x14ac:dyDescent="0.2">
      <c r="K768" s="119"/>
      <c r="L768" s="119"/>
    </row>
    <row r="769" spans="11:12" s="120" customFormat="1" x14ac:dyDescent="0.2">
      <c r="K769" s="119"/>
      <c r="L769" s="119"/>
    </row>
    <row r="770" spans="11:12" s="120" customFormat="1" x14ac:dyDescent="0.2">
      <c r="K770" s="119"/>
      <c r="L770" s="119"/>
    </row>
    <row r="771" spans="11:12" s="120" customFormat="1" x14ac:dyDescent="0.2">
      <c r="K771" s="119"/>
      <c r="L771" s="119"/>
    </row>
    <row r="772" spans="11:12" s="120" customFormat="1" x14ac:dyDescent="0.2">
      <c r="K772" s="119"/>
      <c r="L772" s="119"/>
    </row>
    <row r="773" spans="11:12" s="120" customFormat="1" x14ac:dyDescent="0.2">
      <c r="K773" s="119"/>
      <c r="L773" s="119"/>
    </row>
    <row r="774" spans="11:12" s="120" customFormat="1" x14ac:dyDescent="0.2">
      <c r="K774" s="119"/>
      <c r="L774" s="119"/>
    </row>
    <row r="775" spans="11:12" s="120" customFormat="1" x14ac:dyDescent="0.2">
      <c r="K775" s="119"/>
      <c r="L775" s="119"/>
    </row>
    <row r="776" spans="11:12" s="120" customFormat="1" x14ac:dyDescent="0.2">
      <c r="K776" s="119"/>
      <c r="L776" s="119"/>
    </row>
    <row r="777" spans="11:12" s="120" customFormat="1" x14ac:dyDescent="0.2">
      <c r="K777" s="119"/>
      <c r="L777" s="119"/>
    </row>
    <row r="778" spans="11:12" s="120" customFormat="1" x14ac:dyDescent="0.2">
      <c r="K778" s="119"/>
      <c r="L778" s="119"/>
    </row>
    <row r="779" spans="11:12" s="120" customFormat="1" x14ac:dyDescent="0.2">
      <c r="K779" s="119"/>
      <c r="L779" s="119"/>
    </row>
    <row r="780" spans="11:12" s="120" customFormat="1" x14ac:dyDescent="0.2">
      <c r="K780" s="119"/>
      <c r="L780" s="119"/>
    </row>
    <row r="781" spans="11:12" s="120" customFormat="1" x14ac:dyDescent="0.2">
      <c r="K781" s="119"/>
      <c r="L781" s="119"/>
    </row>
    <row r="782" spans="11:12" s="120" customFormat="1" x14ac:dyDescent="0.2">
      <c r="K782" s="119"/>
      <c r="L782" s="119"/>
    </row>
    <row r="783" spans="11:12" s="120" customFormat="1" x14ac:dyDescent="0.2">
      <c r="K783" s="119"/>
      <c r="L783" s="119"/>
    </row>
    <row r="784" spans="11:12" s="120" customFormat="1" x14ac:dyDescent="0.2">
      <c r="K784" s="119"/>
      <c r="L784" s="119"/>
    </row>
    <row r="785" spans="11:12" s="120" customFormat="1" x14ac:dyDescent="0.2">
      <c r="K785" s="119"/>
      <c r="L785" s="119"/>
    </row>
    <row r="786" spans="11:12" s="120" customFormat="1" x14ac:dyDescent="0.2">
      <c r="K786" s="119"/>
      <c r="L786" s="119"/>
    </row>
    <row r="787" spans="11:12" s="120" customFormat="1" x14ac:dyDescent="0.2">
      <c r="K787" s="119"/>
      <c r="L787" s="119"/>
    </row>
    <row r="788" spans="11:12" s="120" customFormat="1" x14ac:dyDescent="0.2">
      <c r="K788" s="119"/>
      <c r="L788" s="119"/>
    </row>
    <row r="789" spans="11:12" s="120" customFormat="1" x14ac:dyDescent="0.2">
      <c r="K789" s="119"/>
      <c r="L789" s="119"/>
    </row>
    <row r="790" spans="11:12" s="120" customFormat="1" x14ac:dyDescent="0.2">
      <c r="K790" s="119"/>
      <c r="L790" s="119"/>
    </row>
    <row r="791" spans="11:12" s="120" customFormat="1" x14ac:dyDescent="0.2">
      <c r="K791" s="119"/>
      <c r="L791" s="119"/>
    </row>
    <row r="792" spans="11:12" s="120" customFormat="1" x14ac:dyDescent="0.2">
      <c r="K792" s="119"/>
      <c r="L792" s="119"/>
    </row>
    <row r="793" spans="11:12" s="120" customFormat="1" x14ac:dyDescent="0.2">
      <c r="K793" s="119"/>
      <c r="L793" s="119"/>
    </row>
    <row r="794" spans="11:12" s="120" customFormat="1" x14ac:dyDescent="0.2">
      <c r="K794" s="119"/>
      <c r="L794" s="119"/>
    </row>
    <row r="795" spans="11:12" s="120" customFormat="1" x14ac:dyDescent="0.2">
      <c r="K795" s="119"/>
      <c r="L795" s="119"/>
    </row>
    <row r="796" spans="11:12" s="120" customFormat="1" x14ac:dyDescent="0.2">
      <c r="K796" s="119"/>
      <c r="L796" s="119"/>
    </row>
    <row r="797" spans="11:12" s="120" customFormat="1" x14ac:dyDescent="0.2">
      <c r="K797" s="119"/>
      <c r="L797" s="119"/>
    </row>
    <row r="798" spans="11:12" s="120" customFormat="1" x14ac:dyDescent="0.2">
      <c r="K798" s="119"/>
      <c r="L798" s="119"/>
    </row>
    <row r="799" spans="11:12" s="120" customFormat="1" x14ac:dyDescent="0.2">
      <c r="K799" s="119"/>
      <c r="L799" s="119"/>
    </row>
    <row r="800" spans="11:12" s="120" customFormat="1" x14ac:dyDescent="0.2">
      <c r="K800" s="119"/>
      <c r="L800" s="119"/>
    </row>
    <row r="801" spans="11:12" s="120" customFormat="1" x14ac:dyDescent="0.2">
      <c r="K801" s="119"/>
      <c r="L801" s="119"/>
    </row>
    <row r="802" spans="11:12" s="120" customFormat="1" x14ac:dyDescent="0.2">
      <c r="K802" s="119"/>
      <c r="L802" s="119"/>
    </row>
    <row r="803" spans="11:12" s="120" customFormat="1" x14ac:dyDescent="0.2">
      <c r="K803" s="119"/>
      <c r="L803" s="119"/>
    </row>
    <row r="804" spans="11:12" s="120" customFormat="1" x14ac:dyDescent="0.2">
      <c r="K804" s="119"/>
      <c r="L804" s="119"/>
    </row>
    <row r="805" spans="11:12" s="120" customFormat="1" x14ac:dyDescent="0.2">
      <c r="K805" s="119"/>
      <c r="L805" s="119"/>
    </row>
    <row r="806" spans="11:12" s="120" customFormat="1" x14ac:dyDescent="0.2">
      <c r="K806" s="119"/>
      <c r="L806" s="119"/>
    </row>
    <row r="807" spans="11:12" s="120" customFormat="1" x14ac:dyDescent="0.2">
      <c r="K807" s="119"/>
      <c r="L807" s="119"/>
    </row>
    <row r="808" spans="11:12" s="120" customFormat="1" x14ac:dyDescent="0.2">
      <c r="K808" s="119"/>
      <c r="L808" s="119"/>
    </row>
    <row r="809" spans="11:12" s="120" customFormat="1" x14ac:dyDescent="0.2">
      <c r="K809" s="119"/>
      <c r="L809" s="119"/>
    </row>
    <row r="810" spans="11:12" s="120" customFormat="1" x14ac:dyDescent="0.2">
      <c r="K810" s="119"/>
      <c r="L810" s="119"/>
    </row>
    <row r="811" spans="11:12" s="120" customFormat="1" x14ac:dyDescent="0.2">
      <c r="K811" s="119"/>
      <c r="L811" s="119"/>
    </row>
    <row r="812" spans="11:12" s="120" customFormat="1" x14ac:dyDescent="0.2">
      <c r="K812" s="119"/>
      <c r="L812" s="119"/>
    </row>
    <row r="813" spans="11:12" s="120" customFormat="1" x14ac:dyDescent="0.2">
      <c r="K813" s="119"/>
      <c r="L813" s="119"/>
    </row>
    <row r="814" spans="11:12" s="120" customFormat="1" x14ac:dyDescent="0.2">
      <c r="K814" s="119"/>
      <c r="L814" s="119"/>
    </row>
    <row r="815" spans="11:12" s="120" customFormat="1" x14ac:dyDescent="0.2">
      <c r="K815" s="119"/>
      <c r="L815" s="119"/>
    </row>
    <row r="816" spans="11:12" s="120" customFormat="1" x14ac:dyDescent="0.2">
      <c r="K816" s="119"/>
      <c r="L816" s="119"/>
    </row>
    <row r="817" spans="11:12" s="120" customFormat="1" x14ac:dyDescent="0.2">
      <c r="K817" s="119"/>
      <c r="L817" s="119"/>
    </row>
    <row r="818" spans="11:12" s="120" customFormat="1" x14ac:dyDescent="0.2">
      <c r="K818" s="119"/>
      <c r="L818" s="119"/>
    </row>
    <row r="819" spans="11:12" s="120" customFormat="1" x14ac:dyDescent="0.2">
      <c r="K819" s="119"/>
      <c r="L819" s="119"/>
    </row>
    <row r="820" spans="11:12" s="120" customFormat="1" x14ac:dyDescent="0.2">
      <c r="K820" s="119"/>
      <c r="L820" s="119"/>
    </row>
    <row r="821" spans="11:12" s="120" customFormat="1" x14ac:dyDescent="0.2">
      <c r="K821" s="119"/>
      <c r="L821" s="119"/>
    </row>
    <row r="822" spans="11:12" s="120" customFormat="1" x14ac:dyDescent="0.2">
      <c r="K822" s="119"/>
      <c r="L822" s="119"/>
    </row>
    <row r="823" spans="11:12" s="120" customFormat="1" x14ac:dyDescent="0.2">
      <c r="K823" s="119"/>
      <c r="L823" s="119"/>
    </row>
    <row r="824" spans="11:12" s="120" customFormat="1" x14ac:dyDescent="0.2">
      <c r="K824" s="119"/>
      <c r="L824" s="119"/>
    </row>
    <row r="825" spans="11:12" s="120" customFormat="1" x14ac:dyDescent="0.2">
      <c r="K825" s="119"/>
      <c r="L825" s="119"/>
    </row>
    <row r="826" spans="11:12" s="120" customFormat="1" x14ac:dyDescent="0.2">
      <c r="K826" s="119"/>
      <c r="L826" s="119"/>
    </row>
    <row r="827" spans="11:12" s="120" customFormat="1" x14ac:dyDescent="0.2">
      <c r="K827" s="119"/>
      <c r="L827" s="119"/>
    </row>
    <row r="828" spans="11:12" s="120" customFormat="1" x14ac:dyDescent="0.2">
      <c r="K828" s="119"/>
      <c r="L828" s="119"/>
    </row>
    <row r="829" spans="11:12" s="120" customFormat="1" x14ac:dyDescent="0.2">
      <c r="K829" s="119"/>
      <c r="L829" s="119"/>
    </row>
    <row r="830" spans="11:12" s="120" customFormat="1" x14ac:dyDescent="0.2">
      <c r="K830" s="119"/>
      <c r="L830" s="119"/>
    </row>
    <row r="831" spans="11:12" s="120" customFormat="1" x14ac:dyDescent="0.2">
      <c r="K831" s="119"/>
      <c r="L831" s="119"/>
    </row>
    <row r="832" spans="11:12" s="120" customFormat="1" x14ac:dyDescent="0.2">
      <c r="K832" s="119"/>
      <c r="L832" s="119"/>
    </row>
    <row r="833" spans="11:12" s="120" customFormat="1" x14ac:dyDescent="0.2">
      <c r="K833" s="119"/>
      <c r="L833" s="119"/>
    </row>
    <row r="834" spans="11:12" s="120" customFormat="1" x14ac:dyDescent="0.2">
      <c r="K834" s="119"/>
      <c r="L834" s="119"/>
    </row>
    <row r="835" spans="11:12" s="120" customFormat="1" x14ac:dyDescent="0.2">
      <c r="K835" s="119"/>
      <c r="L835" s="119"/>
    </row>
    <row r="836" spans="11:12" s="120" customFormat="1" x14ac:dyDescent="0.2">
      <c r="K836" s="119"/>
      <c r="L836" s="119"/>
    </row>
    <row r="837" spans="11:12" s="120" customFormat="1" x14ac:dyDescent="0.2">
      <c r="K837" s="119"/>
      <c r="L837" s="119"/>
    </row>
    <row r="838" spans="11:12" s="120" customFormat="1" x14ac:dyDescent="0.2">
      <c r="K838" s="119"/>
      <c r="L838" s="119"/>
    </row>
    <row r="839" spans="11:12" s="120" customFormat="1" x14ac:dyDescent="0.2">
      <c r="K839" s="119"/>
      <c r="L839" s="119"/>
    </row>
    <row r="840" spans="11:12" s="120" customFormat="1" x14ac:dyDescent="0.2">
      <c r="K840" s="119"/>
      <c r="L840" s="119"/>
    </row>
    <row r="841" spans="11:12" s="120" customFormat="1" x14ac:dyDescent="0.2">
      <c r="K841" s="119"/>
      <c r="L841" s="119"/>
    </row>
    <row r="842" spans="11:12" s="120" customFormat="1" x14ac:dyDescent="0.2">
      <c r="K842" s="119"/>
      <c r="L842" s="119"/>
    </row>
    <row r="843" spans="11:12" s="120" customFormat="1" x14ac:dyDescent="0.2">
      <c r="K843" s="119"/>
      <c r="L843" s="119"/>
    </row>
    <row r="844" spans="11:12" s="120" customFormat="1" x14ac:dyDescent="0.2">
      <c r="K844" s="119"/>
      <c r="L844" s="119"/>
    </row>
    <row r="845" spans="11:12" s="120" customFormat="1" x14ac:dyDescent="0.2">
      <c r="K845" s="119"/>
      <c r="L845" s="119"/>
    </row>
    <row r="846" spans="11:12" s="120" customFormat="1" x14ac:dyDescent="0.2">
      <c r="K846" s="119"/>
      <c r="L846" s="119"/>
    </row>
    <row r="847" spans="11:12" s="120" customFormat="1" x14ac:dyDescent="0.2">
      <c r="K847" s="119"/>
      <c r="L847" s="119"/>
    </row>
    <row r="848" spans="11:12" s="120" customFormat="1" x14ac:dyDescent="0.2">
      <c r="K848" s="119"/>
      <c r="L848" s="119"/>
    </row>
    <row r="849" spans="11:12" s="120" customFormat="1" x14ac:dyDescent="0.2">
      <c r="K849" s="119"/>
      <c r="L849" s="119"/>
    </row>
    <row r="850" spans="11:12" s="120" customFormat="1" x14ac:dyDescent="0.2">
      <c r="K850" s="119"/>
      <c r="L850" s="119"/>
    </row>
    <row r="851" spans="11:12" s="120" customFormat="1" x14ac:dyDescent="0.2">
      <c r="K851" s="119"/>
      <c r="L851" s="119"/>
    </row>
    <row r="852" spans="11:12" s="120" customFormat="1" x14ac:dyDescent="0.2">
      <c r="K852" s="119"/>
      <c r="L852" s="119"/>
    </row>
    <row r="853" spans="11:12" s="120" customFormat="1" x14ac:dyDescent="0.2">
      <c r="K853" s="119"/>
      <c r="L853" s="119"/>
    </row>
    <row r="854" spans="11:12" s="120" customFormat="1" x14ac:dyDescent="0.2">
      <c r="K854" s="119"/>
      <c r="L854" s="119"/>
    </row>
    <row r="855" spans="11:12" s="120" customFormat="1" x14ac:dyDescent="0.2">
      <c r="K855" s="119"/>
      <c r="L855" s="119"/>
    </row>
    <row r="856" spans="11:12" s="120" customFormat="1" x14ac:dyDescent="0.2">
      <c r="K856" s="119"/>
      <c r="L856" s="119"/>
    </row>
    <row r="857" spans="11:12" s="120" customFormat="1" x14ac:dyDescent="0.2">
      <c r="K857" s="119"/>
      <c r="L857" s="119"/>
    </row>
    <row r="858" spans="11:12" s="120" customFormat="1" x14ac:dyDescent="0.2">
      <c r="K858" s="119"/>
      <c r="L858" s="119"/>
    </row>
    <row r="859" spans="11:12" s="120" customFormat="1" x14ac:dyDescent="0.2">
      <c r="K859" s="119"/>
      <c r="L859" s="119"/>
    </row>
    <row r="860" spans="11:12" s="120" customFormat="1" x14ac:dyDescent="0.2">
      <c r="K860" s="119"/>
      <c r="L860" s="119"/>
    </row>
    <row r="861" spans="11:12" s="120" customFormat="1" x14ac:dyDescent="0.2">
      <c r="K861" s="119"/>
      <c r="L861" s="119"/>
    </row>
    <row r="862" spans="11:12" s="120" customFormat="1" x14ac:dyDescent="0.2">
      <c r="K862" s="119"/>
      <c r="L862" s="119"/>
    </row>
    <row r="863" spans="11:12" s="120" customFormat="1" x14ac:dyDescent="0.2">
      <c r="K863" s="119"/>
      <c r="L863" s="119"/>
    </row>
    <row r="864" spans="11:12" s="120" customFormat="1" x14ac:dyDescent="0.2">
      <c r="K864" s="119"/>
      <c r="L864" s="119"/>
    </row>
    <row r="865" spans="11:12" s="120" customFormat="1" x14ac:dyDescent="0.2">
      <c r="K865" s="119"/>
      <c r="L865" s="119"/>
    </row>
    <row r="866" spans="11:12" s="120" customFormat="1" x14ac:dyDescent="0.2">
      <c r="K866" s="119"/>
      <c r="L866" s="119"/>
    </row>
    <row r="867" spans="11:12" s="120" customFormat="1" x14ac:dyDescent="0.2">
      <c r="K867" s="119"/>
      <c r="L867" s="119"/>
    </row>
    <row r="868" spans="11:12" s="120" customFormat="1" x14ac:dyDescent="0.2">
      <c r="K868" s="119"/>
      <c r="L868" s="119"/>
    </row>
    <row r="869" spans="11:12" s="120" customFormat="1" x14ac:dyDescent="0.2">
      <c r="K869" s="119"/>
      <c r="L869" s="119"/>
    </row>
    <row r="870" spans="11:12" s="120" customFormat="1" x14ac:dyDescent="0.2">
      <c r="K870" s="119"/>
      <c r="L870" s="119"/>
    </row>
    <row r="871" spans="11:12" s="120" customFormat="1" x14ac:dyDescent="0.2">
      <c r="K871" s="119"/>
      <c r="L871" s="119"/>
    </row>
    <row r="872" spans="11:12" s="120" customFormat="1" x14ac:dyDescent="0.2">
      <c r="K872" s="119"/>
      <c r="L872" s="119"/>
    </row>
    <row r="873" spans="11:12" s="120" customFormat="1" x14ac:dyDescent="0.2">
      <c r="K873" s="119"/>
      <c r="L873" s="119"/>
    </row>
    <row r="874" spans="11:12" s="120" customFormat="1" x14ac:dyDescent="0.2">
      <c r="K874" s="119"/>
      <c r="L874" s="119"/>
    </row>
    <row r="875" spans="11:12" s="120" customFormat="1" x14ac:dyDescent="0.2">
      <c r="K875" s="119"/>
      <c r="L875" s="119"/>
    </row>
    <row r="876" spans="11:12" s="120" customFormat="1" x14ac:dyDescent="0.2">
      <c r="K876" s="119"/>
      <c r="L876" s="119"/>
    </row>
    <row r="877" spans="11:12" s="120" customFormat="1" x14ac:dyDescent="0.2">
      <c r="K877" s="119"/>
      <c r="L877" s="119"/>
    </row>
    <row r="878" spans="11:12" s="120" customFormat="1" x14ac:dyDescent="0.2">
      <c r="K878" s="119"/>
      <c r="L878" s="119"/>
    </row>
    <row r="879" spans="11:12" s="120" customFormat="1" x14ac:dyDescent="0.2">
      <c r="K879" s="119"/>
      <c r="L879" s="119"/>
    </row>
    <row r="880" spans="11:12" s="120" customFormat="1" x14ac:dyDescent="0.2">
      <c r="K880" s="119"/>
      <c r="L880" s="119"/>
    </row>
    <row r="881" spans="11:12" s="120" customFormat="1" x14ac:dyDescent="0.2">
      <c r="K881" s="119"/>
      <c r="L881" s="119"/>
    </row>
    <row r="882" spans="11:12" s="120" customFormat="1" x14ac:dyDescent="0.2">
      <c r="K882" s="119"/>
      <c r="L882" s="119"/>
    </row>
    <row r="883" spans="11:12" s="120" customFormat="1" x14ac:dyDescent="0.2">
      <c r="K883" s="119"/>
      <c r="L883" s="119"/>
    </row>
    <row r="884" spans="11:12" s="120" customFormat="1" x14ac:dyDescent="0.2">
      <c r="K884" s="119"/>
      <c r="L884" s="119"/>
    </row>
    <row r="885" spans="11:12" s="120" customFormat="1" x14ac:dyDescent="0.2">
      <c r="K885" s="119"/>
      <c r="L885" s="119"/>
    </row>
    <row r="886" spans="11:12" s="120" customFormat="1" x14ac:dyDescent="0.2">
      <c r="K886" s="119"/>
      <c r="L886" s="119"/>
    </row>
    <row r="887" spans="11:12" s="120" customFormat="1" x14ac:dyDescent="0.2">
      <c r="K887" s="119"/>
      <c r="L887" s="119"/>
    </row>
    <row r="888" spans="11:12" s="120" customFormat="1" x14ac:dyDescent="0.2">
      <c r="K888" s="119"/>
      <c r="L888" s="119"/>
    </row>
    <row r="889" spans="11:12" s="120" customFormat="1" x14ac:dyDescent="0.2">
      <c r="K889" s="119"/>
      <c r="L889" s="119"/>
    </row>
    <row r="890" spans="11:12" s="120" customFormat="1" x14ac:dyDescent="0.2">
      <c r="K890" s="119"/>
      <c r="L890" s="119"/>
    </row>
    <row r="891" spans="11:12" s="120" customFormat="1" x14ac:dyDescent="0.2">
      <c r="K891" s="119"/>
      <c r="L891" s="119"/>
    </row>
    <row r="892" spans="11:12" s="120" customFormat="1" x14ac:dyDescent="0.2">
      <c r="K892" s="119"/>
      <c r="L892" s="119"/>
    </row>
    <row r="893" spans="11:12" s="120" customFormat="1" x14ac:dyDescent="0.2">
      <c r="K893" s="119"/>
      <c r="L893" s="119"/>
    </row>
    <row r="894" spans="11:12" s="120" customFormat="1" x14ac:dyDescent="0.2">
      <c r="K894" s="119"/>
      <c r="L894" s="119"/>
    </row>
    <row r="895" spans="11:12" s="120" customFormat="1" x14ac:dyDescent="0.2">
      <c r="K895" s="119"/>
      <c r="L895" s="119"/>
    </row>
    <row r="896" spans="11:12" s="120" customFormat="1" x14ac:dyDescent="0.2">
      <c r="K896" s="119"/>
      <c r="L896" s="119"/>
    </row>
    <row r="897" spans="11:12" s="120" customFormat="1" x14ac:dyDescent="0.2">
      <c r="K897" s="119"/>
      <c r="L897" s="119"/>
    </row>
    <row r="898" spans="11:12" s="120" customFormat="1" x14ac:dyDescent="0.2">
      <c r="K898" s="119"/>
      <c r="L898" s="119"/>
    </row>
    <row r="899" spans="11:12" s="120" customFormat="1" x14ac:dyDescent="0.2">
      <c r="K899" s="119"/>
      <c r="L899" s="119"/>
    </row>
    <row r="900" spans="11:12" s="120" customFormat="1" x14ac:dyDescent="0.2">
      <c r="K900" s="119"/>
      <c r="L900" s="119"/>
    </row>
    <row r="901" spans="11:12" s="120" customFormat="1" x14ac:dyDescent="0.2">
      <c r="K901" s="119"/>
      <c r="L901" s="119"/>
    </row>
    <row r="902" spans="11:12" s="120" customFormat="1" x14ac:dyDescent="0.2">
      <c r="K902" s="119"/>
      <c r="L902" s="119"/>
    </row>
    <row r="903" spans="11:12" s="120" customFormat="1" x14ac:dyDescent="0.2">
      <c r="K903" s="119"/>
      <c r="L903" s="119"/>
    </row>
    <row r="904" spans="11:12" s="120" customFormat="1" x14ac:dyDescent="0.2">
      <c r="K904" s="119"/>
      <c r="L904" s="119"/>
    </row>
    <row r="905" spans="11:12" s="120" customFormat="1" x14ac:dyDescent="0.2">
      <c r="K905" s="119"/>
      <c r="L905" s="119"/>
    </row>
    <row r="906" spans="11:12" s="120" customFormat="1" x14ac:dyDescent="0.2">
      <c r="K906" s="119"/>
      <c r="L906" s="119"/>
    </row>
    <row r="907" spans="11:12" s="120" customFormat="1" x14ac:dyDescent="0.2">
      <c r="K907" s="119"/>
      <c r="L907" s="119"/>
    </row>
    <row r="908" spans="11:12" s="120" customFormat="1" x14ac:dyDescent="0.2">
      <c r="K908" s="119"/>
      <c r="L908" s="119"/>
    </row>
    <row r="909" spans="11:12" s="120" customFormat="1" x14ac:dyDescent="0.2">
      <c r="K909" s="119"/>
      <c r="L909" s="119"/>
    </row>
    <row r="910" spans="11:12" s="120" customFormat="1" x14ac:dyDescent="0.2">
      <c r="K910" s="119"/>
      <c r="L910" s="119"/>
    </row>
    <row r="911" spans="11:12" s="120" customFormat="1" x14ac:dyDescent="0.2">
      <c r="K911" s="119"/>
      <c r="L911" s="119"/>
    </row>
    <row r="912" spans="11:12" s="120" customFormat="1" x14ac:dyDescent="0.2">
      <c r="K912" s="119"/>
      <c r="L912" s="119"/>
    </row>
    <row r="913" spans="11:12" s="120" customFormat="1" x14ac:dyDescent="0.2">
      <c r="K913" s="119"/>
      <c r="L913" s="119"/>
    </row>
    <row r="914" spans="11:12" s="120" customFormat="1" x14ac:dyDescent="0.2">
      <c r="K914" s="119"/>
      <c r="L914" s="119"/>
    </row>
    <row r="915" spans="11:12" s="120" customFormat="1" x14ac:dyDescent="0.2">
      <c r="K915" s="119"/>
      <c r="L915" s="119"/>
    </row>
    <row r="916" spans="11:12" s="120" customFormat="1" x14ac:dyDescent="0.2">
      <c r="K916" s="119"/>
      <c r="L916" s="119"/>
    </row>
    <row r="917" spans="11:12" s="120" customFormat="1" x14ac:dyDescent="0.2">
      <c r="K917" s="119"/>
      <c r="L917" s="119"/>
    </row>
    <row r="918" spans="11:12" s="120" customFormat="1" x14ac:dyDescent="0.2">
      <c r="K918" s="119"/>
      <c r="L918" s="119"/>
    </row>
    <row r="919" spans="11:12" s="120" customFormat="1" x14ac:dyDescent="0.2">
      <c r="K919" s="119"/>
      <c r="L919" s="119"/>
    </row>
    <row r="920" spans="11:12" s="120" customFormat="1" x14ac:dyDescent="0.2">
      <c r="K920" s="119"/>
      <c r="L920" s="119"/>
    </row>
    <row r="921" spans="11:12" s="120" customFormat="1" x14ac:dyDescent="0.2">
      <c r="K921" s="119"/>
      <c r="L921" s="119"/>
    </row>
    <row r="922" spans="11:12" s="120" customFormat="1" x14ac:dyDescent="0.2">
      <c r="K922" s="119"/>
      <c r="L922" s="119"/>
    </row>
    <row r="923" spans="11:12" s="120" customFormat="1" x14ac:dyDescent="0.2">
      <c r="K923" s="119"/>
      <c r="L923" s="119"/>
    </row>
    <row r="924" spans="11:12" s="120" customFormat="1" x14ac:dyDescent="0.2">
      <c r="K924" s="119"/>
      <c r="L924" s="119"/>
    </row>
    <row r="925" spans="11:12" s="120" customFormat="1" x14ac:dyDescent="0.2">
      <c r="K925" s="119"/>
      <c r="L925" s="119"/>
    </row>
    <row r="926" spans="11:12" s="120" customFormat="1" x14ac:dyDescent="0.2">
      <c r="K926" s="119"/>
      <c r="L926" s="119"/>
    </row>
    <row r="927" spans="11:12" s="120" customFormat="1" x14ac:dyDescent="0.2">
      <c r="K927" s="119"/>
      <c r="L927" s="119"/>
    </row>
    <row r="928" spans="11:12" s="120" customFormat="1" x14ac:dyDescent="0.2">
      <c r="K928" s="119"/>
      <c r="L928" s="119"/>
    </row>
    <row r="929" spans="11:12" s="120" customFormat="1" x14ac:dyDescent="0.2">
      <c r="K929" s="119"/>
      <c r="L929" s="119"/>
    </row>
    <row r="930" spans="11:12" s="120" customFormat="1" x14ac:dyDescent="0.2">
      <c r="K930" s="119"/>
      <c r="L930" s="119"/>
    </row>
    <row r="931" spans="11:12" s="120" customFormat="1" x14ac:dyDescent="0.2">
      <c r="K931" s="119"/>
      <c r="L931" s="119"/>
    </row>
    <row r="932" spans="11:12" s="120" customFormat="1" x14ac:dyDescent="0.2">
      <c r="K932" s="119"/>
      <c r="L932" s="119"/>
    </row>
    <row r="933" spans="11:12" s="120" customFormat="1" x14ac:dyDescent="0.2">
      <c r="K933" s="119"/>
      <c r="L933" s="119"/>
    </row>
    <row r="934" spans="11:12" s="120" customFormat="1" x14ac:dyDescent="0.2">
      <c r="K934" s="119"/>
      <c r="L934" s="119"/>
    </row>
    <row r="935" spans="11:12" s="120" customFormat="1" x14ac:dyDescent="0.2">
      <c r="K935" s="119"/>
      <c r="L935" s="119"/>
    </row>
    <row r="936" spans="11:12" s="120" customFormat="1" x14ac:dyDescent="0.2">
      <c r="K936" s="119"/>
      <c r="L936" s="119"/>
    </row>
    <row r="937" spans="11:12" s="120" customFormat="1" x14ac:dyDescent="0.2">
      <c r="K937" s="119"/>
      <c r="L937" s="119"/>
    </row>
    <row r="938" spans="11:12" s="120" customFormat="1" x14ac:dyDescent="0.2">
      <c r="K938" s="119"/>
      <c r="L938" s="119"/>
    </row>
    <row r="939" spans="11:12" s="120" customFormat="1" x14ac:dyDescent="0.2">
      <c r="K939" s="119"/>
      <c r="L939" s="119"/>
    </row>
    <row r="940" spans="11:12" s="120" customFormat="1" x14ac:dyDescent="0.2">
      <c r="K940" s="119"/>
      <c r="L940" s="119"/>
    </row>
    <row r="941" spans="11:12" s="120" customFormat="1" x14ac:dyDescent="0.2">
      <c r="K941" s="119"/>
      <c r="L941" s="119"/>
    </row>
    <row r="942" spans="11:12" s="120" customFormat="1" x14ac:dyDescent="0.2">
      <c r="K942" s="119"/>
      <c r="L942" s="119"/>
    </row>
    <row r="943" spans="11:12" s="120" customFormat="1" x14ac:dyDescent="0.2">
      <c r="K943" s="119"/>
      <c r="L943" s="119"/>
    </row>
    <row r="944" spans="11:12" s="120" customFormat="1" x14ac:dyDescent="0.2">
      <c r="K944" s="119"/>
      <c r="L944" s="119"/>
    </row>
    <row r="945" spans="11:12" s="120" customFormat="1" x14ac:dyDescent="0.2">
      <c r="K945" s="119"/>
      <c r="L945" s="119"/>
    </row>
    <row r="946" spans="11:12" s="120" customFormat="1" x14ac:dyDescent="0.2">
      <c r="K946" s="119"/>
      <c r="L946" s="119"/>
    </row>
    <row r="947" spans="11:12" s="120" customFormat="1" x14ac:dyDescent="0.2">
      <c r="K947" s="119"/>
      <c r="L947" s="119"/>
    </row>
    <row r="948" spans="11:12" s="120" customFormat="1" x14ac:dyDescent="0.2">
      <c r="K948" s="119"/>
      <c r="L948" s="119"/>
    </row>
    <row r="949" spans="11:12" s="120" customFormat="1" x14ac:dyDescent="0.2">
      <c r="K949" s="119"/>
      <c r="L949" s="119"/>
    </row>
    <row r="950" spans="11:12" s="120" customFormat="1" x14ac:dyDescent="0.2">
      <c r="K950" s="119"/>
      <c r="L950" s="119"/>
    </row>
    <row r="951" spans="11:12" s="120" customFormat="1" x14ac:dyDescent="0.2">
      <c r="K951" s="119"/>
      <c r="L951" s="119"/>
    </row>
    <row r="952" spans="11:12" s="120" customFormat="1" x14ac:dyDescent="0.2">
      <c r="K952" s="119"/>
      <c r="L952" s="119"/>
    </row>
    <row r="953" spans="11:12" s="120" customFormat="1" x14ac:dyDescent="0.2">
      <c r="K953" s="119"/>
      <c r="L953" s="119"/>
    </row>
    <row r="954" spans="11:12" s="120" customFormat="1" x14ac:dyDescent="0.2">
      <c r="K954" s="119"/>
      <c r="L954" s="119"/>
    </row>
    <row r="955" spans="11:12" s="120" customFormat="1" x14ac:dyDescent="0.2">
      <c r="K955" s="119"/>
      <c r="L955" s="119"/>
    </row>
    <row r="956" spans="11:12" s="120" customFormat="1" x14ac:dyDescent="0.2">
      <c r="K956" s="119"/>
      <c r="L956" s="119"/>
    </row>
    <row r="957" spans="11:12" s="120" customFormat="1" x14ac:dyDescent="0.2">
      <c r="K957" s="119"/>
      <c r="L957" s="119"/>
    </row>
    <row r="958" spans="11:12" s="120" customFormat="1" x14ac:dyDescent="0.2">
      <c r="K958" s="119"/>
      <c r="L958" s="119"/>
    </row>
    <row r="959" spans="11:12" s="120" customFormat="1" x14ac:dyDescent="0.2">
      <c r="K959" s="119"/>
      <c r="L959" s="119"/>
    </row>
    <row r="960" spans="11:12" s="120" customFormat="1" x14ac:dyDescent="0.2">
      <c r="K960" s="119"/>
      <c r="L960" s="119"/>
    </row>
    <row r="961" spans="11:12" s="120" customFormat="1" x14ac:dyDescent="0.2">
      <c r="K961" s="119"/>
      <c r="L961" s="119"/>
    </row>
    <row r="962" spans="11:12" s="120" customFormat="1" x14ac:dyDescent="0.2">
      <c r="K962" s="119"/>
      <c r="L962" s="119"/>
    </row>
    <row r="963" spans="11:12" s="120" customFormat="1" x14ac:dyDescent="0.2">
      <c r="K963" s="119"/>
      <c r="L963" s="119"/>
    </row>
    <row r="964" spans="11:12" s="120" customFormat="1" x14ac:dyDescent="0.2">
      <c r="K964" s="119"/>
      <c r="L964" s="119"/>
    </row>
    <row r="965" spans="11:12" s="120" customFormat="1" x14ac:dyDescent="0.2">
      <c r="K965" s="119"/>
      <c r="L965" s="119"/>
    </row>
    <row r="966" spans="11:12" s="120" customFormat="1" x14ac:dyDescent="0.2">
      <c r="K966" s="119"/>
      <c r="L966" s="119"/>
    </row>
    <row r="967" spans="11:12" s="120" customFormat="1" x14ac:dyDescent="0.2">
      <c r="K967" s="119"/>
      <c r="L967" s="119"/>
    </row>
    <row r="968" spans="11:12" s="120" customFormat="1" x14ac:dyDescent="0.2">
      <c r="K968" s="119"/>
      <c r="L968" s="119"/>
    </row>
    <row r="969" spans="11:12" s="120" customFormat="1" x14ac:dyDescent="0.2">
      <c r="K969" s="119"/>
      <c r="L969" s="119"/>
    </row>
    <row r="970" spans="11:12" s="120" customFormat="1" x14ac:dyDescent="0.2">
      <c r="K970" s="119"/>
      <c r="L970" s="119"/>
    </row>
    <row r="971" spans="11:12" s="120" customFormat="1" x14ac:dyDescent="0.2">
      <c r="K971" s="119"/>
      <c r="L971" s="119"/>
    </row>
    <row r="972" spans="11:12" s="120" customFormat="1" x14ac:dyDescent="0.2">
      <c r="K972" s="119"/>
      <c r="L972" s="119"/>
    </row>
    <row r="973" spans="11:12" s="120" customFormat="1" x14ac:dyDescent="0.2">
      <c r="K973" s="119"/>
      <c r="L973" s="119"/>
    </row>
    <row r="974" spans="11:12" s="120" customFormat="1" x14ac:dyDescent="0.2">
      <c r="K974" s="119"/>
      <c r="L974" s="119"/>
    </row>
    <row r="975" spans="11:12" s="120" customFormat="1" x14ac:dyDescent="0.2">
      <c r="K975" s="119"/>
      <c r="L975" s="119"/>
    </row>
    <row r="976" spans="11:12" s="120" customFormat="1" x14ac:dyDescent="0.2">
      <c r="K976" s="119"/>
      <c r="L976" s="119"/>
    </row>
    <row r="977" spans="11:12" s="120" customFormat="1" x14ac:dyDescent="0.2">
      <c r="K977" s="119"/>
      <c r="L977" s="119"/>
    </row>
    <row r="978" spans="11:12" s="120" customFormat="1" x14ac:dyDescent="0.2">
      <c r="K978" s="119"/>
      <c r="L978" s="119"/>
    </row>
    <row r="979" spans="11:12" s="120" customFormat="1" x14ac:dyDescent="0.2">
      <c r="K979" s="119"/>
      <c r="L979" s="119"/>
    </row>
    <row r="980" spans="11:12" s="120" customFormat="1" x14ac:dyDescent="0.2">
      <c r="K980" s="119"/>
      <c r="L980" s="119"/>
    </row>
    <row r="981" spans="11:12" s="120" customFormat="1" x14ac:dyDescent="0.2">
      <c r="K981" s="119"/>
      <c r="L981" s="119"/>
    </row>
    <row r="982" spans="11:12" s="120" customFormat="1" x14ac:dyDescent="0.2">
      <c r="K982" s="119"/>
      <c r="L982" s="119"/>
    </row>
    <row r="983" spans="11:12" s="120" customFormat="1" x14ac:dyDescent="0.2">
      <c r="K983" s="119"/>
      <c r="L983" s="119"/>
    </row>
    <row r="984" spans="11:12" s="120" customFormat="1" x14ac:dyDescent="0.2">
      <c r="K984" s="119"/>
      <c r="L984" s="119"/>
    </row>
    <row r="985" spans="11:12" s="120" customFormat="1" x14ac:dyDescent="0.2">
      <c r="K985" s="119"/>
      <c r="L985" s="119"/>
    </row>
    <row r="986" spans="11:12" s="120" customFormat="1" x14ac:dyDescent="0.2">
      <c r="K986" s="119"/>
      <c r="L986" s="119"/>
    </row>
    <row r="987" spans="11:12" s="120" customFormat="1" x14ac:dyDescent="0.2">
      <c r="K987" s="119"/>
      <c r="L987" s="119"/>
    </row>
  </sheetData>
  <mergeCells count="11">
    <mergeCell ref="C5:E5"/>
    <mergeCell ref="G5:H5"/>
    <mergeCell ref="C6:E6"/>
    <mergeCell ref="C7:E7"/>
    <mergeCell ref="C8:E8"/>
    <mergeCell ref="B2:E2"/>
    <mergeCell ref="G2:H2"/>
    <mergeCell ref="C3:E3"/>
    <mergeCell ref="G3:H3"/>
    <mergeCell ref="C4:E4"/>
    <mergeCell ref="G4:H4"/>
  </mergeCells>
  <pageMargins left="0.25" right="0.25" top="0.75" bottom="0.75" header="0.3" footer="0.3"/>
  <pageSetup paperSize="9" scale="50" fitToHeight="2" orientation="portrait" r:id="rId1"/>
  <headerFooter>
    <oddFooter>&amp;L&amp;P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77575-B0BA-A845-8BC5-9C1F325CFF01}">
  <sheetPr>
    <tabColor rgb="FF92D050"/>
    <pageSetUpPr fitToPage="1"/>
  </sheetPr>
  <dimension ref="A1:O1007"/>
  <sheetViews>
    <sheetView zoomScale="111" zoomScaleNormal="100" workbookViewId="0">
      <selection activeCell="B95" sqref="B95"/>
    </sheetView>
  </sheetViews>
  <sheetFormatPr baseColWidth="10" defaultColWidth="10.83203125" defaultRowHeight="16" x14ac:dyDescent="0.2"/>
  <cols>
    <col min="1" max="1" width="3.5" style="111" customWidth="1"/>
    <col min="2" max="2" width="46.83203125" style="111" customWidth="1"/>
    <col min="3" max="3" width="15.83203125" style="294" customWidth="1"/>
    <col min="4" max="4" width="9.83203125" style="111" customWidth="1"/>
    <col min="5" max="5" width="11.33203125" style="111" customWidth="1"/>
    <col min="6" max="6" width="14.1640625" style="111" customWidth="1"/>
    <col min="7" max="7" width="12" style="111" customWidth="1"/>
    <col min="8" max="9" width="15.6640625" style="294" customWidth="1"/>
    <col min="10" max="12" width="15.6640625" style="111" customWidth="1"/>
    <col min="13" max="13" width="8.6640625" style="343" hidden="1" customWidth="1"/>
    <col min="14" max="14" width="9.1640625" style="328" hidden="1" customWidth="1"/>
    <col min="15" max="16384" width="10.83203125" style="111"/>
  </cols>
  <sheetData>
    <row r="1" spans="2:15" s="33" customFormat="1" ht="17" thickBot="1" x14ac:dyDescent="0.25">
      <c r="C1" s="270"/>
      <c r="M1" s="301"/>
      <c r="N1" s="39"/>
    </row>
    <row r="2" spans="2:15" s="33" customFormat="1" ht="17" thickBot="1" x14ac:dyDescent="0.25">
      <c r="B2" s="630" t="s">
        <v>345</v>
      </c>
      <c r="C2" s="669"/>
      <c r="D2" s="631"/>
      <c r="E2" s="631"/>
      <c r="F2" s="631"/>
      <c r="G2" s="632"/>
      <c r="I2" s="673" t="s">
        <v>61</v>
      </c>
      <c r="J2" s="672"/>
      <c r="N2" s="301"/>
      <c r="O2" s="39"/>
    </row>
    <row r="3" spans="2:15" s="33" customFormat="1" ht="17" thickBot="1" x14ac:dyDescent="0.25">
      <c r="B3" s="69" t="s">
        <v>62</v>
      </c>
      <c r="C3" s="534"/>
      <c r="D3" s="660"/>
      <c r="E3" s="667"/>
      <c r="F3" s="667"/>
      <c r="G3" s="661"/>
      <c r="I3" s="674" t="str">
        <f>COVER!C9</f>
        <v>ian.shotam@programmed.com.au</v>
      </c>
      <c r="J3" s="675"/>
      <c r="N3" s="301"/>
      <c r="O3" s="39"/>
    </row>
    <row r="4" spans="2:15" s="33" customFormat="1" ht="15.75" customHeight="1" x14ac:dyDescent="0.2">
      <c r="B4" s="69" t="str">
        <f>COVER!B12</f>
        <v>SITE</v>
      </c>
      <c r="C4" s="534"/>
      <c r="D4" s="649" t="str">
        <f>COVER!C12</f>
        <v>GOLDEN GROVE</v>
      </c>
      <c r="E4" s="668"/>
      <c r="F4" s="668"/>
      <c r="G4" s="650"/>
      <c r="H4" s="329"/>
      <c r="I4" s="270"/>
      <c r="M4" s="301"/>
      <c r="N4" s="39"/>
    </row>
    <row r="5" spans="2:15" s="33" customFormat="1" ht="16.5" customHeight="1" x14ac:dyDescent="0.2">
      <c r="B5" s="69" t="str">
        <f>COVER!B13</f>
        <v>MANAGERS NAME</v>
      </c>
      <c r="C5" s="534"/>
      <c r="D5" s="649" t="str">
        <f>COVER!C13</f>
        <v>Ian Shotam</v>
      </c>
      <c r="E5" s="668"/>
      <c r="F5" s="668"/>
      <c r="G5" s="650"/>
      <c r="H5" s="329"/>
      <c r="I5" s="329"/>
      <c r="M5" s="301"/>
      <c r="N5" s="39"/>
    </row>
    <row r="6" spans="2:15" s="33" customFormat="1" x14ac:dyDescent="0.2">
      <c r="B6" s="69" t="str">
        <f>COVER!B14</f>
        <v>DATE - ORDER PLACED</v>
      </c>
      <c r="C6" s="534"/>
      <c r="D6" s="651">
        <f>COVER!C14</f>
        <v>45082</v>
      </c>
      <c r="E6" s="665"/>
      <c r="F6" s="665"/>
      <c r="G6" s="652"/>
      <c r="H6" s="329"/>
      <c r="I6" s="329"/>
      <c r="M6" s="301"/>
      <c r="N6" s="39"/>
    </row>
    <row r="7" spans="2:15" s="33" customFormat="1" ht="34" x14ac:dyDescent="0.2">
      <c r="B7" s="543" t="str">
        <f>COVER!B15</f>
        <v>DATE - DELIVERY PERTH - FREIGHT LINES, 12-26 RIVERSDALE RD, WELSHPOOL WA 6100</v>
      </c>
      <c r="C7" s="534"/>
      <c r="D7" s="651">
        <f>COVER!C15</f>
        <v>45085</v>
      </c>
      <c r="E7" s="665"/>
      <c r="F7" s="665"/>
      <c r="G7" s="652"/>
      <c r="H7" s="329"/>
      <c r="I7" s="329"/>
      <c r="M7" s="301"/>
      <c r="N7" s="39"/>
    </row>
    <row r="8" spans="2:15" s="33" customFormat="1" ht="17" thickBot="1" x14ac:dyDescent="0.25">
      <c r="B8" s="70" t="str">
        <f>COVER!B16</f>
        <v>DATE - ESTIMATED ARRIVAL SITE</v>
      </c>
      <c r="C8" s="535"/>
      <c r="D8" s="653">
        <f>COVER!C16</f>
        <v>45086</v>
      </c>
      <c r="E8" s="666"/>
      <c r="F8" s="666"/>
      <c r="G8" s="654"/>
      <c r="H8" s="329"/>
      <c r="I8" s="329"/>
      <c r="M8" s="301"/>
      <c r="N8" s="39"/>
    </row>
    <row r="9" spans="2:15" s="33" customFormat="1" ht="17" thickBot="1" x14ac:dyDescent="0.25">
      <c r="C9" s="270"/>
      <c r="H9" s="270"/>
      <c r="I9" s="270"/>
      <c r="M9" s="301"/>
      <c r="N9" s="39"/>
    </row>
    <row r="10" spans="2:15" s="33" customFormat="1" ht="30" customHeight="1" thickBot="1" x14ac:dyDescent="0.25">
      <c r="B10" s="655" t="s">
        <v>31</v>
      </c>
      <c r="C10" s="676"/>
      <c r="D10" s="676"/>
      <c r="E10" s="676"/>
      <c r="F10" s="676"/>
      <c r="G10" s="656"/>
      <c r="H10" s="656"/>
      <c r="I10" s="656"/>
      <c r="J10" s="656"/>
      <c r="K10" s="330"/>
      <c r="L10" s="331"/>
      <c r="M10" s="332"/>
      <c r="N10" s="333"/>
    </row>
    <row r="11" spans="2:15" s="81" customFormat="1" ht="35" thickBot="1" x14ac:dyDescent="0.25">
      <c r="B11" s="50" t="s">
        <v>526</v>
      </c>
      <c r="C11" s="519" t="s">
        <v>346</v>
      </c>
      <c r="D11" s="334" t="s">
        <v>65</v>
      </c>
      <c r="E11" s="519" t="s">
        <v>387</v>
      </c>
      <c r="F11" s="520" t="s">
        <v>388</v>
      </c>
      <c r="G11" s="520" t="s">
        <v>527</v>
      </c>
      <c r="H11" s="76" t="s">
        <v>67</v>
      </c>
      <c r="I11" s="76" t="s">
        <v>68</v>
      </c>
      <c r="J11" s="76" t="s">
        <v>69</v>
      </c>
      <c r="K11" s="77" t="s">
        <v>70</v>
      </c>
      <c r="L11" s="78" t="s">
        <v>25</v>
      </c>
      <c r="M11" s="79" t="s">
        <v>466</v>
      </c>
      <c r="N11" s="80" t="s">
        <v>72</v>
      </c>
    </row>
    <row r="12" spans="2:15" s="33" customFormat="1" x14ac:dyDescent="0.2">
      <c r="B12" s="52" t="s">
        <v>528</v>
      </c>
      <c r="C12" s="83" t="s">
        <v>529</v>
      </c>
      <c r="D12" s="252">
        <v>114235</v>
      </c>
      <c r="E12" s="218"/>
      <c r="F12" s="252" t="s">
        <v>77</v>
      </c>
      <c r="G12" s="252" t="s">
        <v>77</v>
      </c>
      <c r="H12" s="8"/>
      <c r="I12" s="3"/>
      <c r="J12" s="17"/>
      <c r="K12" s="84">
        <v>45.89</v>
      </c>
      <c r="L12" s="91">
        <f t="shared" ref="L12:L54" si="0">K12*J12</f>
        <v>0</v>
      </c>
      <c r="M12" s="86">
        <f>K12/4.8</f>
        <v>9.5604166666666668</v>
      </c>
      <c r="N12" s="87"/>
    </row>
    <row r="13" spans="2:15" s="33" customFormat="1" x14ac:dyDescent="0.2">
      <c r="B13" s="53" t="s">
        <v>530</v>
      </c>
      <c r="C13" s="89" t="s">
        <v>531</v>
      </c>
      <c r="D13" s="106">
        <v>126927</v>
      </c>
      <c r="E13" s="106"/>
      <c r="F13" s="107" t="s">
        <v>77</v>
      </c>
      <c r="G13" s="107" t="s">
        <v>77</v>
      </c>
      <c r="H13" s="8"/>
      <c r="I13" s="3"/>
      <c r="J13" s="17"/>
      <c r="K13" s="90">
        <v>24.08</v>
      </c>
      <c r="L13" s="91">
        <f t="shared" si="0"/>
        <v>0</v>
      </c>
      <c r="M13" s="86">
        <f>K13/4.32</f>
        <v>5.5740740740740735</v>
      </c>
      <c r="N13" s="87"/>
    </row>
    <row r="14" spans="2:15" s="33" customFormat="1" x14ac:dyDescent="0.2">
      <c r="B14" s="53" t="s">
        <v>532</v>
      </c>
      <c r="C14" s="89" t="s">
        <v>531</v>
      </c>
      <c r="D14" s="106">
        <v>129867</v>
      </c>
      <c r="E14" s="106"/>
      <c r="F14" s="107" t="s">
        <v>77</v>
      </c>
      <c r="G14" s="107" t="s">
        <v>77</v>
      </c>
      <c r="H14" s="8"/>
      <c r="I14" s="3"/>
      <c r="J14" s="17"/>
      <c r="K14" s="90">
        <v>32.4</v>
      </c>
      <c r="L14" s="91">
        <f t="shared" si="0"/>
        <v>0</v>
      </c>
      <c r="M14" s="86">
        <f>K14/4.725</f>
        <v>6.8571428571428577</v>
      </c>
      <c r="N14" s="87"/>
    </row>
    <row r="15" spans="2:15" s="33" customFormat="1" x14ac:dyDescent="0.2">
      <c r="B15" s="99" t="s">
        <v>533</v>
      </c>
      <c r="C15" s="215" t="s">
        <v>534</v>
      </c>
      <c r="D15" s="106">
        <v>148064</v>
      </c>
      <c r="E15" s="106"/>
      <c r="F15" s="107" t="s">
        <v>77</v>
      </c>
      <c r="G15" s="107" t="s">
        <v>77</v>
      </c>
      <c r="H15" s="8"/>
      <c r="I15" s="3"/>
      <c r="J15" s="17"/>
      <c r="K15" s="90">
        <v>57.94</v>
      </c>
      <c r="L15" s="91">
        <f t="shared" si="0"/>
        <v>0</v>
      </c>
      <c r="M15" s="86">
        <f>K15/12.1</f>
        <v>4.7884297520661159</v>
      </c>
      <c r="N15" s="87"/>
    </row>
    <row r="16" spans="2:15" s="33" customFormat="1" x14ac:dyDescent="0.2">
      <c r="B16" s="53" t="s">
        <v>535</v>
      </c>
      <c r="C16" s="89" t="s">
        <v>534</v>
      </c>
      <c r="D16" s="106">
        <v>35050</v>
      </c>
      <c r="E16" s="106"/>
      <c r="F16" s="107" t="s">
        <v>77</v>
      </c>
      <c r="G16" s="107" t="s">
        <v>77</v>
      </c>
      <c r="H16" s="8"/>
      <c r="I16" s="3"/>
      <c r="J16" s="17"/>
      <c r="K16" s="90">
        <v>47.44</v>
      </c>
      <c r="L16" s="91">
        <f>K16*J16</f>
        <v>0</v>
      </c>
      <c r="M16" s="86">
        <f>K16*1.47</f>
        <v>69.736800000000002</v>
      </c>
      <c r="N16" s="87"/>
    </row>
    <row r="17" spans="2:14" s="33" customFormat="1" x14ac:dyDescent="0.2">
      <c r="B17" s="53" t="s">
        <v>536</v>
      </c>
      <c r="C17" s="89" t="s">
        <v>537</v>
      </c>
      <c r="D17" s="106">
        <v>77205</v>
      </c>
      <c r="E17" s="106"/>
      <c r="F17" s="107" t="s">
        <v>77</v>
      </c>
      <c r="G17" s="107" t="s">
        <v>77</v>
      </c>
      <c r="H17" s="8"/>
      <c r="I17" s="3"/>
      <c r="J17" s="17"/>
      <c r="K17" s="90">
        <v>44.2</v>
      </c>
      <c r="L17" s="91">
        <f t="shared" si="0"/>
        <v>0</v>
      </c>
      <c r="M17" s="86">
        <f>K17*1.6</f>
        <v>70.720000000000013</v>
      </c>
      <c r="N17" s="87"/>
    </row>
    <row r="18" spans="2:14" s="33" customFormat="1" x14ac:dyDescent="0.2">
      <c r="B18" s="53" t="s">
        <v>538</v>
      </c>
      <c r="C18" s="89" t="s">
        <v>539</v>
      </c>
      <c r="D18" s="106">
        <v>192240</v>
      </c>
      <c r="E18" s="106"/>
      <c r="F18" s="107" t="s">
        <v>77</v>
      </c>
      <c r="G18" s="107" t="s">
        <v>77</v>
      </c>
      <c r="H18" s="8"/>
      <c r="I18" s="3"/>
      <c r="J18" s="17"/>
      <c r="K18" s="90">
        <v>40.409999999999997</v>
      </c>
      <c r="L18" s="91">
        <f>K18*J18</f>
        <v>0</v>
      </c>
      <c r="M18" s="86">
        <f>K18/12.1</f>
        <v>3.3396694214876033</v>
      </c>
      <c r="N18" s="87"/>
    </row>
    <row r="19" spans="2:14" s="33" customFormat="1" x14ac:dyDescent="0.2">
      <c r="B19" s="53" t="s">
        <v>540</v>
      </c>
      <c r="C19" s="89" t="s">
        <v>539</v>
      </c>
      <c r="D19" s="106">
        <v>195344</v>
      </c>
      <c r="E19" s="106"/>
      <c r="F19" s="107" t="s">
        <v>77</v>
      </c>
      <c r="G19" s="107" t="s">
        <v>77</v>
      </c>
      <c r="H19" s="8"/>
      <c r="I19" s="3"/>
      <c r="J19" s="17"/>
      <c r="K19" s="90">
        <v>37.86</v>
      </c>
      <c r="L19" s="91">
        <f t="shared" si="0"/>
        <v>0</v>
      </c>
      <c r="M19" s="86">
        <f>K19*2</f>
        <v>75.72</v>
      </c>
      <c r="N19" s="87"/>
    </row>
    <row r="20" spans="2:14" s="33" customFormat="1" x14ac:dyDescent="0.2">
      <c r="B20" s="53" t="s">
        <v>541</v>
      </c>
      <c r="C20" s="89" t="s">
        <v>539</v>
      </c>
      <c r="D20" s="106">
        <v>192230</v>
      </c>
      <c r="E20" s="106"/>
      <c r="F20" s="107" t="s">
        <v>77</v>
      </c>
      <c r="G20" s="107" t="s">
        <v>77</v>
      </c>
      <c r="H20" s="8"/>
      <c r="I20" s="3"/>
      <c r="J20" s="17"/>
      <c r="K20" s="90">
        <v>37.57</v>
      </c>
      <c r="L20" s="91">
        <f t="shared" si="0"/>
        <v>0</v>
      </c>
      <c r="M20" s="86">
        <f>K20/2</f>
        <v>18.785</v>
      </c>
      <c r="N20" s="87">
        <f>K20/96</f>
        <v>0.39135416666666667</v>
      </c>
    </row>
    <row r="21" spans="2:14" s="33" customFormat="1" x14ac:dyDescent="0.2">
      <c r="B21" s="53" t="s">
        <v>542</v>
      </c>
      <c r="C21" s="89" t="s">
        <v>543</v>
      </c>
      <c r="D21" s="106">
        <v>169989</v>
      </c>
      <c r="E21" s="106"/>
      <c r="F21" s="107" t="s">
        <v>77</v>
      </c>
      <c r="G21" s="107" t="s">
        <v>77</v>
      </c>
      <c r="H21" s="8"/>
      <c r="I21" s="3"/>
      <c r="J21" s="17"/>
      <c r="K21" s="90">
        <v>64.44</v>
      </c>
      <c r="L21" s="91">
        <f t="shared" si="0"/>
        <v>0</v>
      </c>
      <c r="M21" s="86">
        <f>K21*1.75</f>
        <v>112.77</v>
      </c>
      <c r="N21" s="87"/>
    </row>
    <row r="22" spans="2:14" s="33" customFormat="1" x14ac:dyDescent="0.2">
      <c r="B22" s="53" t="s">
        <v>544</v>
      </c>
      <c r="C22" s="89" t="s">
        <v>529</v>
      </c>
      <c r="D22" s="106">
        <v>170016</v>
      </c>
      <c r="E22" s="106"/>
      <c r="F22" s="107" t="s">
        <v>77</v>
      </c>
      <c r="G22" s="107" t="s">
        <v>77</v>
      </c>
      <c r="H22" s="8"/>
      <c r="I22" s="3"/>
      <c r="J22" s="17"/>
      <c r="K22" s="90">
        <v>52.19</v>
      </c>
      <c r="L22" s="91">
        <f t="shared" si="0"/>
        <v>0</v>
      </c>
      <c r="M22" s="86">
        <f>K22*1.75</f>
        <v>91.332499999999996</v>
      </c>
      <c r="N22" s="87"/>
    </row>
    <row r="23" spans="2:14" s="33" customFormat="1" x14ac:dyDescent="0.2">
      <c r="B23" s="53" t="s">
        <v>545</v>
      </c>
      <c r="C23" s="89" t="s">
        <v>539</v>
      </c>
      <c r="D23" s="106">
        <v>58817</v>
      </c>
      <c r="E23" s="106"/>
      <c r="F23" s="107" t="s">
        <v>77</v>
      </c>
      <c r="G23" s="107" t="s">
        <v>77</v>
      </c>
      <c r="H23" s="8"/>
      <c r="I23" s="3"/>
      <c r="J23" s="17"/>
      <c r="K23" s="90">
        <v>28.43</v>
      </c>
      <c r="L23" s="91">
        <f t="shared" si="0"/>
        <v>0</v>
      </c>
      <c r="M23" s="86">
        <f>K23*1.53</f>
        <v>43.497900000000001</v>
      </c>
      <c r="N23" s="87"/>
    </row>
    <row r="24" spans="2:14" s="33" customFormat="1" x14ac:dyDescent="0.2">
      <c r="B24" s="53" t="s">
        <v>546</v>
      </c>
      <c r="C24" s="89" t="s">
        <v>537</v>
      </c>
      <c r="D24" s="106">
        <v>183888</v>
      </c>
      <c r="E24" s="106"/>
      <c r="F24" s="107" t="s">
        <v>77</v>
      </c>
      <c r="G24" s="107" t="s">
        <v>77</v>
      </c>
      <c r="H24" s="8"/>
      <c r="I24" s="3"/>
      <c r="J24" s="17"/>
      <c r="K24" s="90">
        <v>50.78</v>
      </c>
      <c r="L24" s="91">
        <f t="shared" si="0"/>
        <v>0</v>
      </c>
      <c r="M24" s="86"/>
      <c r="N24" s="87"/>
    </row>
    <row r="25" spans="2:14" s="33" customFormat="1" x14ac:dyDescent="0.2">
      <c r="B25" s="53" t="s">
        <v>547</v>
      </c>
      <c r="C25" s="89" t="s">
        <v>548</v>
      </c>
      <c r="D25" s="106">
        <v>143253</v>
      </c>
      <c r="E25" s="106"/>
      <c r="F25" s="107" t="s">
        <v>77</v>
      </c>
      <c r="G25" s="107" t="s">
        <v>77</v>
      </c>
      <c r="H25" s="8"/>
      <c r="I25" s="3"/>
      <c r="J25" s="17"/>
      <c r="K25" s="90">
        <v>40.869999999999997</v>
      </c>
      <c r="L25" s="91">
        <f t="shared" si="0"/>
        <v>0</v>
      </c>
      <c r="M25" s="86"/>
      <c r="N25" s="87"/>
    </row>
    <row r="26" spans="2:14" s="33" customFormat="1" x14ac:dyDescent="0.2">
      <c r="B26" s="53" t="s">
        <v>549</v>
      </c>
      <c r="C26" s="89" t="s">
        <v>548</v>
      </c>
      <c r="D26" s="106">
        <v>143252</v>
      </c>
      <c r="E26" s="106"/>
      <c r="F26" s="107" t="s">
        <v>77</v>
      </c>
      <c r="G26" s="107" t="s">
        <v>77</v>
      </c>
      <c r="H26" s="8"/>
      <c r="I26" s="3"/>
      <c r="J26" s="17"/>
      <c r="K26" s="90">
        <v>38.770000000000003</v>
      </c>
      <c r="L26" s="91">
        <f t="shared" si="0"/>
        <v>0</v>
      </c>
      <c r="M26" s="86">
        <f>K26*1.53</f>
        <v>59.318100000000008</v>
      </c>
      <c r="N26" s="87">
        <f>M26/10</f>
        <v>5.9318100000000005</v>
      </c>
    </row>
    <row r="27" spans="2:14" s="33" customFormat="1" x14ac:dyDescent="0.2">
      <c r="B27" s="53" t="s">
        <v>550</v>
      </c>
      <c r="C27" s="89" t="s">
        <v>548</v>
      </c>
      <c r="D27" s="106">
        <v>143250</v>
      </c>
      <c r="E27" s="106"/>
      <c r="F27" s="107" t="s">
        <v>77</v>
      </c>
      <c r="G27" s="107" t="s">
        <v>77</v>
      </c>
      <c r="H27" s="8"/>
      <c r="I27" s="3"/>
      <c r="J27" s="17"/>
      <c r="K27" s="90">
        <v>38.770000000000003</v>
      </c>
      <c r="L27" s="91">
        <f t="shared" si="0"/>
        <v>0</v>
      </c>
      <c r="M27" s="335">
        <f>K27/6</f>
        <v>6.4616666666666669</v>
      </c>
      <c r="N27" s="336">
        <f>M27/7</f>
        <v>0.92309523809523808</v>
      </c>
    </row>
    <row r="28" spans="2:14" s="33" customFormat="1" x14ac:dyDescent="0.2">
      <c r="B28" s="53" t="s">
        <v>551</v>
      </c>
      <c r="C28" s="89" t="s">
        <v>548</v>
      </c>
      <c r="D28" s="106">
        <v>143251</v>
      </c>
      <c r="E28" s="106"/>
      <c r="F28" s="107" t="s">
        <v>77</v>
      </c>
      <c r="G28" s="107" t="s">
        <v>77</v>
      </c>
      <c r="H28" s="8"/>
      <c r="I28" s="3"/>
      <c r="J28" s="17"/>
      <c r="K28" s="90">
        <v>38.770000000000003</v>
      </c>
      <c r="L28" s="91">
        <f t="shared" si="0"/>
        <v>0</v>
      </c>
      <c r="M28" s="335">
        <f>K28/6</f>
        <v>6.4616666666666669</v>
      </c>
      <c r="N28" s="336">
        <f>M28/7</f>
        <v>0.92309523809523808</v>
      </c>
    </row>
    <row r="29" spans="2:14" s="33" customFormat="1" x14ac:dyDescent="0.2">
      <c r="B29" s="53" t="s">
        <v>552</v>
      </c>
      <c r="C29" s="89" t="s">
        <v>553</v>
      </c>
      <c r="D29" s="106">
        <v>164190</v>
      </c>
      <c r="E29" s="106"/>
      <c r="F29" s="107" t="s">
        <v>77</v>
      </c>
      <c r="G29" s="107" t="s">
        <v>77</v>
      </c>
      <c r="H29" s="8"/>
      <c r="I29" s="3"/>
      <c r="J29" s="17"/>
      <c r="K29" s="90">
        <v>82.1</v>
      </c>
      <c r="L29" s="91">
        <f t="shared" si="0"/>
        <v>0</v>
      </c>
      <c r="M29" s="335"/>
      <c r="N29" s="336"/>
    </row>
    <row r="30" spans="2:14" s="33" customFormat="1" x14ac:dyDescent="0.2">
      <c r="B30" s="53" t="s">
        <v>554</v>
      </c>
      <c r="C30" s="89" t="s">
        <v>555</v>
      </c>
      <c r="D30" s="106">
        <v>56935</v>
      </c>
      <c r="E30" s="106"/>
      <c r="F30" s="107" t="s">
        <v>77</v>
      </c>
      <c r="G30" s="107" t="s">
        <v>77</v>
      </c>
      <c r="H30" s="8"/>
      <c r="I30" s="3"/>
      <c r="J30" s="17"/>
      <c r="K30" s="90">
        <v>54.25</v>
      </c>
      <c r="L30" s="91">
        <f t="shared" si="0"/>
        <v>0</v>
      </c>
      <c r="M30" s="86">
        <f>K30</f>
        <v>54.25</v>
      </c>
      <c r="N30" s="87">
        <f>M30/6</f>
        <v>9.0416666666666661</v>
      </c>
    </row>
    <row r="31" spans="2:14" s="33" customFormat="1" x14ac:dyDescent="0.2">
      <c r="B31" s="53" t="s">
        <v>556</v>
      </c>
      <c r="C31" s="89" t="s">
        <v>555</v>
      </c>
      <c r="D31" s="106">
        <v>58366</v>
      </c>
      <c r="E31" s="106"/>
      <c r="F31" s="107" t="s">
        <v>77</v>
      </c>
      <c r="G31" s="107" t="s">
        <v>77</v>
      </c>
      <c r="H31" s="8"/>
      <c r="I31" s="3"/>
      <c r="J31" s="17"/>
      <c r="K31" s="90">
        <v>57.79</v>
      </c>
      <c r="L31" s="91">
        <f t="shared" si="0"/>
        <v>0</v>
      </c>
      <c r="M31" s="86"/>
      <c r="N31" s="87"/>
    </row>
    <row r="32" spans="2:14" s="33" customFormat="1" x14ac:dyDescent="0.2">
      <c r="B32" s="53" t="s">
        <v>557</v>
      </c>
      <c r="C32" s="89" t="s">
        <v>555</v>
      </c>
      <c r="D32" s="106">
        <v>57077</v>
      </c>
      <c r="E32" s="106"/>
      <c r="F32" s="107" t="s">
        <v>77</v>
      </c>
      <c r="G32" s="107" t="s">
        <v>77</v>
      </c>
      <c r="H32" s="8"/>
      <c r="I32" s="3"/>
      <c r="J32" s="17"/>
      <c r="K32" s="90">
        <v>57.23</v>
      </c>
      <c r="L32" s="91">
        <f t="shared" si="0"/>
        <v>0</v>
      </c>
      <c r="M32" s="86"/>
      <c r="N32" s="87"/>
    </row>
    <row r="33" spans="1:14" s="33" customFormat="1" x14ac:dyDescent="0.2">
      <c r="B33" s="53" t="s">
        <v>558</v>
      </c>
      <c r="C33" s="89" t="s">
        <v>559</v>
      </c>
      <c r="D33" s="106">
        <v>198172</v>
      </c>
      <c r="E33" s="106"/>
      <c r="F33" s="107" t="s">
        <v>77</v>
      </c>
      <c r="G33" s="107" t="s">
        <v>77</v>
      </c>
      <c r="H33" s="8"/>
      <c r="I33" s="3"/>
      <c r="J33" s="17"/>
      <c r="K33" s="90">
        <v>62.9</v>
      </c>
      <c r="L33" s="91">
        <f t="shared" si="0"/>
        <v>0</v>
      </c>
      <c r="M33" s="86"/>
      <c r="N33" s="87"/>
    </row>
    <row r="34" spans="1:14" s="33" customFormat="1" x14ac:dyDescent="0.2">
      <c r="B34" s="53" t="s">
        <v>560</v>
      </c>
      <c r="C34" s="89" t="s">
        <v>561</v>
      </c>
      <c r="D34" s="106">
        <v>103269</v>
      </c>
      <c r="E34" s="106"/>
      <c r="F34" s="107" t="s">
        <v>77</v>
      </c>
      <c r="G34" s="107" t="s">
        <v>77</v>
      </c>
      <c r="H34" s="8"/>
      <c r="I34" s="3"/>
      <c r="J34" s="17"/>
      <c r="K34" s="90">
        <v>52.92</v>
      </c>
      <c r="L34" s="91">
        <f t="shared" si="0"/>
        <v>0</v>
      </c>
      <c r="M34" s="86"/>
      <c r="N34" s="87"/>
    </row>
    <row r="35" spans="1:14" s="33" customFormat="1" x14ac:dyDescent="0.2">
      <c r="B35" s="53" t="s">
        <v>562</v>
      </c>
      <c r="C35" s="89" t="s">
        <v>563</v>
      </c>
      <c r="D35" s="106">
        <v>187167</v>
      </c>
      <c r="E35" s="106"/>
      <c r="F35" s="107" t="s">
        <v>77</v>
      </c>
      <c r="G35" s="107" t="s">
        <v>77</v>
      </c>
      <c r="H35" s="8"/>
      <c r="I35" s="3"/>
      <c r="J35" s="17"/>
      <c r="K35" s="90">
        <v>35.450000000000003</v>
      </c>
      <c r="L35" s="91">
        <f t="shared" si="0"/>
        <v>0</v>
      </c>
      <c r="M35" s="86"/>
      <c r="N35" s="87"/>
    </row>
    <row r="36" spans="1:14" s="33" customFormat="1" x14ac:dyDescent="0.2">
      <c r="B36" s="53" t="s">
        <v>564</v>
      </c>
      <c r="C36" s="89" t="s">
        <v>537</v>
      </c>
      <c r="D36" s="106">
        <v>140201</v>
      </c>
      <c r="E36" s="106"/>
      <c r="F36" s="107" t="s">
        <v>77</v>
      </c>
      <c r="G36" s="107" t="s">
        <v>77</v>
      </c>
      <c r="H36" s="8"/>
      <c r="I36" s="3"/>
      <c r="J36" s="17"/>
      <c r="K36" s="90">
        <v>22.43</v>
      </c>
      <c r="L36" s="91">
        <f t="shared" si="0"/>
        <v>0</v>
      </c>
      <c r="M36" s="86"/>
      <c r="N36" s="87"/>
    </row>
    <row r="37" spans="1:14" s="33" customFormat="1" x14ac:dyDescent="0.2">
      <c r="B37" s="53" t="s">
        <v>565</v>
      </c>
      <c r="C37" s="89" t="s">
        <v>559</v>
      </c>
      <c r="D37" s="106">
        <v>208299</v>
      </c>
      <c r="E37" s="106"/>
      <c r="F37" s="107" t="s">
        <v>77</v>
      </c>
      <c r="G37" s="107" t="s">
        <v>77</v>
      </c>
      <c r="H37" s="8"/>
      <c r="I37" s="3"/>
      <c r="J37" s="17"/>
      <c r="K37" s="90">
        <v>83.22</v>
      </c>
      <c r="L37" s="91">
        <f t="shared" si="0"/>
        <v>0</v>
      </c>
      <c r="M37" s="86"/>
      <c r="N37" s="87"/>
    </row>
    <row r="38" spans="1:14" s="33" customFormat="1" x14ac:dyDescent="0.2">
      <c r="B38" s="53" t="s">
        <v>566</v>
      </c>
      <c r="C38" s="89" t="s">
        <v>567</v>
      </c>
      <c r="D38" s="106">
        <v>28173</v>
      </c>
      <c r="E38" s="106"/>
      <c r="F38" s="107" t="s">
        <v>77</v>
      </c>
      <c r="G38" s="107" t="s">
        <v>77</v>
      </c>
      <c r="H38" s="8"/>
      <c r="I38" s="3"/>
      <c r="J38" s="17"/>
      <c r="K38" s="299">
        <v>74.319999999999993</v>
      </c>
      <c r="L38" s="91">
        <f t="shared" si="0"/>
        <v>0</v>
      </c>
      <c r="M38" s="86">
        <f>K38/1.7</f>
        <v>43.717647058823523</v>
      </c>
      <c r="N38" s="87"/>
    </row>
    <row r="39" spans="1:14" s="33" customFormat="1" x14ac:dyDescent="0.2">
      <c r="B39" s="53" t="s">
        <v>568</v>
      </c>
      <c r="C39" s="89" t="s">
        <v>569</v>
      </c>
      <c r="D39" s="106">
        <v>163169</v>
      </c>
      <c r="E39" s="106"/>
      <c r="F39" s="107" t="s">
        <v>77</v>
      </c>
      <c r="G39" s="107" t="s">
        <v>77</v>
      </c>
      <c r="H39" s="8"/>
      <c r="I39" s="3"/>
      <c r="J39" s="17"/>
      <c r="K39" s="299">
        <v>29.88</v>
      </c>
      <c r="L39" s="91">
        <f t="shared" si="0"/>
        <v>0</v>
      </c>
      <c r="M39" s="86">
        <f>K39/1.8</f>
        <v>16.599999999999998</v>
      </c>
      <c r="N39" s="87"/>
    </row>
    <row r="40" spans="1:14" s="33" customFormat="1" x14ac:dyDescent="0.2">
      <c r="B40" s="53" t="s">
        <v>570</v>
      </c>
      <c r="C40" s="89" t="s">
        <v>571</v>
      </c>
      <c r="D40" s="106">
        <v>1015</v>
      </c>
      <c r="E40" s="106"/>
      <c r="F40" s="107" t="s">
        <v>77</v>
      </c>
      <c r="G40" s="107" t="s">
        <v>77</v>
      </c>
      <c r="H40" s="8"/>
      <c r="I40" s="3"/>
      <c r="J40" s="17"/>
      <c r="K40" s="299">
        <v>49</v>
      </c>
      <c r="L40" s="91">
        <f t="shared" si="0"/>
        <v>0</v>
      </c>
      <c r="M40" s="86"/>
      <c r="N40" s="87"/>
    </row>
    <row r="41" spans="1:14" s="33" customFormat="1" x14ac:dyDescent="0.2">
      <c r="B41" s="53" t="s">
        <v>572</v>
      </c>
      <c r="C41" s="89" t="s">
        <v>531</v>
      </c>
      <c r="D41" s="106">
        <v>115752</v>
      </c>
      <c r="E41" s="106"/>
      <c r="F41" s="107" t="s">
        <v>77</v>
      </c>
      <c r="G41" s="107" t="s">
        <v>77</v>
      </c>
      <c r="H41" s="8"/>
      <c r="I41" s="3"/>
      <c r="J41" s="17"/>
      <c r="K41" s="299">
        <v>46.44</v>
      </c>
      <c r="L41" s="91">
        <f t="shared" si="0"/>
        <v>0</v>
      </c>
      <c r="M41" s="86"/>
      <c r="N41" s="87"/>
    </row>
    <row r="42" spans="1:14" s="33" customFormat="1" x14ac:dyDescent="0.2">
      <c r="B42" s="53" t="s">
        <v>573</v>
      </c>
      <c r="C42" s="89" t="s">
        <v>539</v>
      </c>
      <c r="D42" s="106">
        <v>201187</v>
      </c>
      <c r="E42" s="106"/>
      <c r="F42" s="107" t="s">
        <v>77</v>
      </c>
      <c r="G42" s="107" t="s">
        <v>77</v>
      </c>
      <c r="H42" s="8"/>
      <c r="I42" s="3"/>
      <c r="J42" s="17"/>
      <c r="K42" s="299">
        <v>64.16</v>
      </c>
      <c r="L42" s="91">
        <f t="shared" si="0"/>
        <v>0</v>
      </c>
      <c r="M42" s="86"/>
      <c r="N42" s="87"/>
    </row>
    <row r="43" spans="1:14" s="33" customFormat="1" x14ac:dyDescent="0.2">
      <c r="B43" s="53" t="s">
        <v>574</v>
      </c>
      <c r="C43" s="89" t="s">
        <v>571</v>
      </c>
      <c r="D43" s="106">
        <v>22218</v>
      </c>
      <c r="E43" s="106"/>
      <c r="F43" s="107" t="s">
        <v>77</v>
      </c>
      <c r="G43" s="107" t="s">
        <v>77</v>
      </c>
      <c r="H43" s="8"/>
      <c r="I43" s="3"/>
      <c r="J43" s="17"/>
      <c r="K43" s="299">
        <v>68.12</v>
      </c>
      <c r="L43" s="91">
        <f t="shared" si="0"/>
        <v>0</v>
      </c>
      <c r="M43" s="86"/>
      <c r="N43" s="87"/>
    </row>
    <row r="44" spans="1:14" s="33" customFormat="1" x14ac:dyDescent="0.2">
      <c r="B44" s="53" t="s">
        <v>575</v>
      </c>
      <c r="C44" s="89" t="s">
        <v>571</v>
      </c>
      <c r="D44" s="106">
        <v>22209</v>
      </c>
      <c r="E44" s="106"/>
      <c r="F44" s="107" t="s">
        <v>77</v>
      </c>
      <c r="G44" s="107" t="s">
        <v>77</v>
      </c>
      <c r="H44" s="8"/>
      <c r="I44" s="3"/>
      <c r="J44" s="17"/>
      <c r="K44" s="299">
        <v>74.3</v>
      </c>
      <c r="L44" s="91">
        <f t="shared" si="0"/>
        <v>0</v>
      </c>
      <c r="M44" s="86"/>
      <c r="N44" s="87"/>
    </row>
    <row r="45" spans="1:14" s="33" customFormat="1" x14ac:dyDescent="0.2">
      <c r="B45" s="53" t="s">
        <v>576</v>
      </c>
      <c r="C45" s="89" t="s">
        <v>577</v>
      </c>
      <c r="D45" s="106">
        <v>116841</v>
      </c>
      <c r="E45" s="106"/>
      <c r="F45" s="107" t="s">
        <v>77</v>
      </c>
      <c r="G45" s="107" t="s">
        <v>77</v>
      </c>
      <c r="H45" s="8"/>
      <c r="I45" s="3"/>
      <c r="J45" s="17"/>
      <c r="K45" s="299">
        <v>77.86</v>
      </c>
      <c r="L45" s="91">
        <f t="shared" si="0"/>
        <v>0</v>
      </c>
      <c r="M45" s="86"/>
      <c r="N45" s="87"/>
    </row>
    <row r="46" spans="1:14" s="33" customFormat="1" ht="17" thickBot="1" x14ac:dyDescent="0.25">
      <c r="B46" s="53" t="s">
        <v>578</v>
      </c>
      <c r="C46" s="89" t="s">
        <v>351</v>
      </c>
      <c r="D46" s="106">
        <v>156646</v>
      </c>
      <c r="E46" s="106"/>
      <c r="F46" s="107" t="s">
        <v>77</v>
      </c>
      <c r="G46" s="107" t="s">
        <v>77</v>
      </c>
      <c r="H46" s="8"/>
      <c r="I46" s="3"/>
      <c r="J46" s="17"/>
      <c r="K46" s="299">
        <v>42.36</v>
      </c>
      <c r="L46" s="91">
        <f t="shared" si="0"/>
        <v>0</v>
      </c>
      <c r="M46" s="86"/>
      <c r="N46" s="87"/>
    </row>
    <row r="47" spans="1:14" s="33" customFormat="1" ht="22.5" customHeight="1" thickBot="1" x14ac:dyDescent="0.25">
      <c r="B47" s="324" t="s">
        <v>486</v>
      </c>
      <c r="C47" s="519" t="s">
        <v>346</v>
      </c>
      <c r="D47" s="334" t="s">
        <v>65</v>
      </c>
      <c r="E47" s="519" t="s">
        <v>387</v>
      </c>
      <c r="F47" s="519" t="s">
        <v>388</v>
      </c>
      <c r="G47" s="519" t="s">
        <v>527</v>
      </c>
      <c r="H47" s="76" t="s">
        <v>67</v>
      </c>
      <c r="I47" s="76" t="s">
        <v>68</v>
      </c>
      <c r="J47" s="76" t="s">
        <v>69</v>
      </c>
      <c r="K47" s="77" t="s">
        <v>70</v>
      </c>
      <c r="L47" s="78" t="s">
        <v>25</v>
      </c>
      <c r="M47" s="338"/>
      <c r="N47" s="339"/>
    </row>
    <row r="48" spans="1:14" s="33" customFormat="1" ht="15" customHeight="1" x14ac:dyDescent="0.2">
      <c r="A48" s="524"/>
      <c r="B48" s="346" t="s">
        <v>579</v>
      </c>
      <c r="C48" s="106" t="s">
        <v>580</v>
      </c>
      <c r="D48" s="460">
        <v>107453</v>
      </c>
      <c r="E48" s="460" t="s">
        <v>361</v>
      </c>
      <c r="F48" s="460" t="s">
        <v>77</v>
      </c>
      <c r="G48" s="460">
        <v>2</v>
      </c>
      <c r="H48" s="468"/>
      <c r="I48" s="468"/>
      <c r="J48" s="518"/>
      <c r="K48" s="459">
        <v>60.34</v>
      </c>
      <c r="L48" s="91">
        <f t="shared" si="0"/>
        <v>0</v>
      </c>
      <c r="M48" s="338"/>
      <c r="N48" s="339"/>
    </row>
    <row r="49" spans="1:14" s="33" customFormat="1" ht="15" customHeight="1" thickBot="1" x14ac:dyDescent="0.25">
      <c r="A49" s="524"/>
      <c r="B49" s="346" t="s">
        <v>581</v>
      </c>
      <c r="C49" s="106" t="s">
        <v>580</v>
      </c>
      <c r="D49" s="460">
        <v>107452</v>
      </c>
      <c r="E49" s="460" t="s">
        <v>582</v>
      </c>
      <c r="F49" s="460" t="s">
        <v>77</v>
      </c>
      <c r="G49" s="460">
        <v>1</v>
      </c>
      <c r="H49" s="468"/>
      <c r="I49" s="468"/>
      <c r="J49" s="518"/>
      <c r="K49" s="459">
        <v>54.22</v>
      </c>
      <c r="L49" s="91">
        <f t="shared" si="0"/>
        <v>0</v>
      </c>
      <c r="M49" s="338"/>
      <c r="N49" s="339"/>
    </row>
    <row r="50" spans="1:14" s="33" customFormat="1" ht="15" customHeight="1" thickBot="1" x14ac:dyDescent="0.25">
      <c r="B50" s="324" t="s">
        <v>64</v>
      </c>
      <c r="C50" s="519" t="s">
        <v>346</v>
      </c>
      <c r="D50" s="334" t="s">
        <v>65</v>
      </c>
      <c r="E50" s="519" t="s">
        <v>387</v>
      </c>
      <c r="F50" s="519" t="s">
        <v>388</v>
      </c>
      <c r="G50" s="519" t="s">
        <v>527</v>
      </c>
      <c r="H50" s="76" t="s">
        <v>67</v>
      </c>
      <c r="I50" s="76" t="s">
        <v>68</v>
      </c>
      <c r="J50" s="76" t="s">
        <v>69</v>
      </c>
      <c r="K50" s="77" t="s">
        <v>70</v>
      </c>
      <c r="L50" s="78" t="s">
        <v>25</v>
      </c>
      <c r="M50" s="337"/>
      <c r="N50" s="337"/>
    </row>
    <row r="51" spans="1:14" s="33" customFormat="1" ht="15" customHeight="1" x14ac:dyDescent="0.2">
      <c r="A51" s="524"/>
      <c r="B51" s="53" t="s">
        <v>583</v>
      </c>
      <c r="C51" s="89" t="s">
        <v>351</v>
      </c>
      <c r="D51" s="89">
        <v>87136</v>
      </c>
      <c r="E51" s="106" t="s">
        <v>377</v>
      </c>
      <c r="F51" s="106" t="s">
        <v>77</v>
      </c>
      <c r="G51" s="106">
        <v>10</v>
      </c>
      <c r="H51" s="8"/>
      <c r="I51" s="3"/>
      <c r="J51" s="17"/>
      <c r="K51" s="299">
        <v>96.2</v>
      </c>
      <c r="L51" s="91">
        <f t="shared" si="0"/>
        <v>0</v>
      </c>
      <c r="M51" s="86">
        <f>K51</f>
        <v>96.2</v>
      </c>
      <c r="N51" s="87">
        <f>M51/1000*50</f>
        <v>4.8100000000000005</v>
      </c>
    </row>
    <row r="52" spans="1:14" s="33" customFormat="1" ht="15" customHeight="1" x14ac:dyDescent="0.2">
      <c r="A52" s="524"/>
      <c r="B52" s="53" t="s">
        <v>584</v>
      </c>
      <c r="C52" s="89" t="s">
        <v>351</v>
      </c>
      <c r="D52" s="89">
        <v>87419</v>
      </c>
      <c r="E52" s="106" t="s">
        <v>377</v>
      </c>
      <c r="F52" s="106" t="s">
        <v>77</v>
      </c>
      <c r="G52" s="106">
        <v>10</v>
      </c>
      <c r="H52" s="8"/>
      <c r="I52" s="3"/>
      <c r="J52" s="17"/>
      <c r="K52" s="299">
        <v>94.3</v>
      </c>
      <c r="L52" s="91">
        <f t="shared" si="0"/>
        <v>0</v>
      </c>
      <c r="M52" s="86"/>
      <c r="N52" s="87"/>
    </row>
    <row r="53" spans="1:14" s="33" customFormat="1" ht="15" customHeight="1" x14ac:dyDescent="0.2">
      <c r="A53" s="524"/>
      <c r="B53" s="53" t="s">
        <v>585</v>
      </c>
      <c r="C53" s="89" t="s">
        <v>351</v>
      </c>
      <c r="D53" s="89">
        <v>87139</v>
      </c>
      <c r="E53" s="106" t="s">
        <v>377</v>
      </c>
      <c r="F53" s="106" t="s">
        <v>77</v>
      </c>
      <c r="G53" s="106">
        <v>10</v>
      </c>
      <c r="H53" s="8"/>
      <c r="I53" s="3"/>
      <c r="J53" s="17"/>
      <c r="K53" s="299">
        <v>138.80000000000001</v>
      </c>
      <c r="L53" s="91">
        <f t="shared" si="0"/>
        <v>0</v>
      </c>
      <c r="M53" s="86">
        <f>K53</f>
        <v>138.80000000000001</v>
      </c>
      <c r="N53" s="87">
        <f>M53/1000*50</f>
        <v>6.94</v>
      </c>
    </row>
    <row r="54" spans="1:14" s="33" customFormat="1" ht="15" customHeight="1" thickBot="1" x14ac:dyDescent="0.25">
      <c r="A54" s="524"/>
      <c r="B54" s="53" t="s">
        <v>586</v>
      </c>
      <c r="C54" s="89" t="s">
        <v>351</v>
      </c>
      <c r="D54" s="89">
        <v>87140</v>
      </c>
      <c r="E54" s="106" t="s">
        <v>377</v>
      </c>
      <c r="F54" s="106" t="s">
        <v>77</v>
      </c>
      <c r="G54" s="106">
        <v>10</v>
      </c>
      <c r="H54" s="8"/>
      <c r="I54" s="3"/>
      <c r="J54" s="17"/>
      <c r="K54" s="299">
        <v>89.2</v>
      </c>
      <c r="L54" s="91">
        <f t="shared" si="0"/>
        <v>0</v>
      </c>
      <c r="M54" s="86">
        <f>K54</f>
        <v>89.2</v>
      </c>
      <c r="N54" s="87">
        <f>M54/1000*50</f>
        <v>4.46</v>
      </c>
    </row>
    <row r="55" spans="1:14" s="523" customFormat="1" ht="15" customHeight="1" thickBot="1" x14ac:dyDescent="0.25">
      <c r="B55" s="324" t="s">
        <v>587</v>
      </c>
      <c r="C55" s="519" t="s">
        <v>346</v>
      </c>
      <c r="D55" s="519" t="s">
        <v>65</v>
      </c>
      <c r="E55" s="519" t="s">
        <v>388</v>
      </c>
      <c r="F55" s="519" t="s">
        <v>387</v>
      </c>
      <c r="G55" s="519" t="s">
        <v>387</v>
      </c>
      <c r="H55" s="76" t="s">
        <v>67</v>
      </c>
      <c r="I55" s="76" t="s">
        <v>68</v>
      </c>
      <c r="J55" s="76" t="s">
        <v>69</v>
      </c>
      <c r="K55" s="77" t="s">
        <v>70</v>
      </c>
      <c r="L55" s="78" t="s">
        <v>25</v>
      </c>
      <c r="M55" s="521"/>
      <c r="N55" s="522"/>
    </row>
    <row r="56" spans="1:14" s="33" customFormat="1" x14ac:dyDescent="0.2">
      <c r="A56" s="524"/>
      <c r="B56" s="53" t="s">
        <v>588</v>
      </c>
      <c r="C56" s="89" t="s">
        <v>589</v>
      </c>
      <c r="D56" s="106">
        <v>135803</v>
      </c>
      <c r="E56" s="106" t="s">
        <v>590</v>
      </c>
      <c r="F56" s="107" t="s">
        <v>77</v>
      </c>
      <c r="G56" s="107">
        <v>5</v>
      </c>
      <c r="H56" s="8"/>
      <c r="I56" s="3"/>
      <c r="J56" s="17"/>
      <c r="K56" s="299">
        <v>97.9</v>
      </c>
      <c r="L56" s="91">
        <f t="shared" ref="L56:L65" si="1">K56*J56</f>
        <v>0</v>
      </c>
      <c r="M56" s="86">
        <f t="shared" ref="M56:M65" si="2">K56/10</f>
        <v>9.7900000000000009</v>
      </c>
      <c r="N56" s="87">
        <f>M56/1000*150</f>
        <v>1.4684999999999999</v>
      </c>
    </row>
    <row r="57" spans="1:14" s="33" customFormat="1" x14ac:dyDescent="0.2">
      <c r="A57" s="524"/>
      <c r="B57" s="53" t="s">
        <v>591</v>
      </c>
      <c r="C57" s="89" t="s">
        <v>592</v>
      </c>
      <c r="D57" s="106">
        <v>71578</v>
      </c>
      <c r="E57" s="106" t="s">
        <v>377</v>
      </c>
      <c r="F57" s="107" t="s">
        <v>77</v>
      </c>
      <c r="G57" s="107">
        <v>6</v>
      </c>
      <c r="H57" s="8"/>
      <c r="I57" s="3"/>
      <c r="J57" s="17"/>
      <c r="K57" s="299">
        <v>58.56</v>
      </c>
      <c r="L57" s="91">
        <f t="shared" si="1"/>
        <v>0</v>
      </c>
      <c r="M57" s="86">
        <f t="shared" si="2"/>
        <v>5.8559999999999999</v>
      </c>
      <c r="N57" s="87">
        <f t="shared" ref="N57:N65" si="3">M57/1000*150</f>
        <v>0.87840000000000007</v>
      </c>
    </row>
    <row r="58" spans="1:14" s="33" customFormat="1" x14ac:dyDescent="0.2">
      <c r="A58" s="524"/>
      <c r="B58" s="53" t="s">
        <v>593</v>
      </c>
      <c r="C58" s="89" t="s">
        <v>589</v>
      </c>
      <c r="D58" s="106">
        <v>125410</v>
      </c>
      <c r="E58" s="106" t="s">
        <v>594</v>
      </c>
      <c r="F58" s="107" t="s">
        <v>77</v>
      </c>
      <c r="G58" s="107">
        <v>5</v>
      </c>
      <c r="H58" s="8"/>
      <c r="I58" s="3"/>
      <c r="J58" s="17"/>
      <c r="K58" s="299">
        <v>125.05</v>
      </c>
      <c r="L58" s="91">
        <f t="shared" si="1"/>
        <v>0</v>
      </c>
      <c r="M58" s="86">
        <f t="shared" si="2"/>
        <v>12.504999999999999</v>
      </c>
      <c r="N58" s="87">
        <f t="shared" si="3"/>
        <v>1.8757499999999998</v>
      </c>
    </row>
    <row r="59" spans="1:14" s="33" customFormat="1" x14ac:dyDescent="0.2">
      <c r="A59" s="524"/>
      <c r="B59" s="53" t="s">
        <v>595</v>
      </c>
      <c r="C59" s="89" t="s">
        <v>589</v>
      </c>
      <c r="D59" s="106">
        <v>138488</v>
      </c>
      <c r="E59" s="106" t="s">
        <v>594</v>
      </c>
      <c r="F59" s="107" t="s">
        <v>77</v>
      </c>
      <c r="G59" s="107">
        <v>5</v>
      </c>
      <c r="H59" s="8"/>
      <c r="I59" s="3"/>
      <c r="J59" s="17"/>
      <c r="K59" s="299">
        <v>129.15</v>
      </c>
      <c r="L59" s="91">
        <f t="shared" si="1"/>
        <v>0</v>
      </c>
      <c r="M59" s="86">
        <f t="shared" si="2"/>
        <v>12.915000000000001</v>
      </c>
      <c r="N59" s="87">
        <f t="shared" si="3"/>
        <v>1.9372500000000001</v>
      </c>
    </row>
    <row r="60" spans="1:14" s="33" customFormat="1" x14ac:dyDescent="0.2">
      <c r="A60" s="524"/>
      <c r="B60" s="53" t="s">
        <v>596</v>
      </c>
      <c r="C60" s="89" t="s">
        <v>589</v>
      </c>
      <c r="D60" s="106">
        <v>116631</v>
      </c>
      <c r="E60" s="106" t="s">
        <v>594</v>
      </c>
      <c r="F60" s="107" t="s">
        <v>77</v>
      </c>
      <c r="G60" s="107">
        <v>5</v>
      </c>
      <c r="H60" s="8"/>
      <c r="I60" s="3"/>
      <c r="J60" s="17"/>
      <c r="K60" s="299">
        <v>119.65</v>
      </c>
      <c r="L60" s="91">
        <f t="shared" si="1"/>
        <v>0</v>
      </c>
      <c r="M60" s="86">
        <f t="shared" si="2"/>
        <v>11.965</v>
      </c>
      <c r="N60" s="87">
        <f t="shared" si="3"/>
        <v>1.7947500000000001</v>
      </c>
    </row>
    <row r="61" spans="1:14" s="33" customFormat="1" x14ac:dyDescent="0.2">
      <c r="A61" s="524"/>
      <c r="B61" s="53" t="s">
        <v>597</v>
      </c>
      <c r="C61" s="89" t="s">
        <v>592</v>
      </c>
      <c r="D61" s="106">
        <v>115961</v>
      </c>
      <c r="E61" s="106" t="s">
        <v>377</v>
      </c>
      <c r="F61" s="107" t="s">
        <v>77</v>
      </c>
      <c r="G61" s="107">
        <v>6</v>
      </c>
      <c r="H61" s="8"/>
      <c r="I61" s="3"/>
      <c r="J61" s="17"/>
      <c r="K61" s="299">
        <v>67.739999999999995</v>
      </c>
      <c r="L61" s="91">
        <f t="shared" si="1"/>
        <v>0</v>
      </c>
      <c r="M61" s="86">
        <f t="shared" si="2"/>
        <v>6.7739999999999991</v>
      </c>
      <c r="N61" s="87">
        <f t="shared" si="3"/>
        <v>1.0160999999999998</v>
      </c>
    </row>
    <row r="62" spans="1:14" s="33" customFormat="1" x14ac:dyDescent="0.2">
      <c r="A62" s="524"/>
      <c r="B62" s="53" t="s">
        <v>598</v>
      </c>
      <c r="C62" s="89" t="s">
        <v>592</v>
      </c>
      <c r="D62" s="106">
        <v>74956</v>
      </c>
      <c r="E62" s="106" t="s">
        <v>377</v>
      </c>
      <c r="F62" s="107" t="s">
        <v>77</v>
      </c>
      <c r="G62" s="107">
        <v>6</v>
      </c>
      <c r="H62" s="8"/>
      <c r="I62" s="3"/>
      <c r="J62" s="17"/>
      <c r="K62" s="299">
        <v>69.78</v>
      </c>
      <c r="L62" s="91">
        <f t="shared" si="1"/>
        <v>0</v>
      </c>
      <c r="M62" s="86"/>
      <c r="N62" s="87"/>
    </row>
    <row r="63" spans="1:14" s="33" customFormat="1" x14ac:dyDescent="0.2">
      <c r="A63" s="524"/>
      <c r="B63" s="53" t="s">
        <v>599</v>
      </c>
      <c r="C63" s="89" t="s">
        <v>592</v>
      </c>
      <c r="D63" s="106">
        <v>74876</v>
      </c>
      <c r="E63" s="106" t="s">
        <v>377</v>
      </c>
      <c r="F63" s="107" t="s">
        <v>77</v>
      </c>
      <c r="G63" s="107">
        <v>6</v>
      </c>
      <c r="H63" s="8"/>
      <c r="I63" s="3"/>
      <c r="J63" s="17"/>
      <c r="K63" s="299">
        <v>69.78</v>
      </c>
      <c r="L63" s="91">
        <f t="shared" si="1"/>
        <v>0</v>
      </c>
      <c r="M63" s="86">
        <f t="shared" si="2"/>
        <v>6.9779999999999998</v>
      </c>
      <c r="N63" s="87">
        <f t="shared" si="3"/>
        <v>1.0467</v>
      </c>
    </row>
    <row r="64" spans="1:14" s="33" customFormat="1" x14ac:dyDescent="0.2">
      <c r="A64" s="524"/>
      <c r="B64" s="53" t="s">
        <v>600</v>
      </c>
      <c r="C64" s="89" t="s">
        <v>592</v>
      </c>
      <c r="D64" s="106">
        <v>71579</v>
      </c>
      <c r="E64" s="106" t="s">
        <v>377</v>
      </c>
      <c r="F64" s="107" t="s">
        <v>77</v>
      </c>
      <c r="G64" s="107">
        <v>6</v>
      </c>
      <c r="H64" s="8"/>
      <c r="I64" s="3"/>
      <c r="J64" s="17"/>
      <c r="K64" s="299">
        <v>67.739999999999995</v>
      </c>
      <c r="L64" s="91">
        <f t="shared" si="1"/>
        <v>0</v>
      </c>
      <c r="M64" s="86">
        <f t="shared" si="2"/>
        <v>6.7739999999999991</v>
      </c>
      <c r="N64" s="87">
        <f t="shared" si="3"/>
        <v>1.0160999999999998</v>
      </c>
    </row>
    <row r="65" spans="1:14" s="33" customFormat="1" ht="17" thickBot="1" x14ac:dyDescent="0.25">
      <c r="A65" s="524"/>
      <c r="B65" s="53" t="s">
        <v>601</v>
      </c>
      <c r="C65" s="89" t="s">
        <v>592</v>
      </c>
      <c r="D65" s="106">
        <v>71577</v>
      </c>
      <c r="E65" s="106" t="s">
        <v>377</v>
      </c>
      <c r="F65" s="107" t="s">
        <v>77</v>
      </c>
      <c r="G65" s="107">
        <v>6</v>
      </c>
      <c r="H65" s="8"/>
      <c r="I65" s="3"/>
      <c r="J65" s="17"/>
      <c r="K65" s="299">
        <v>67.739999999999995</v>
      </c>
      <c r="L65" s="91">
        <f t="shared" si="1"/>
        <v>0</v>
      </c>
      <c r="M65" s="86">
        <f t="shared" si="2"/>
        <v>6.7739999999999991</v>
      </c>
      <c r="N65" s="87">
        <f t="shared" si="3"/>
        <v>1.0160999999999998</v>
      </c>
    </row>
    <row r="66" spans="1:14" s="33" customFormat="1" ht="17" thickBot="1" x14ac:dyDescent="0.25">
      <c r="B66" s="324" t="s">
        <v>602</v>
      </c>
      <c r="C66" s="519" t="s">
        <v>346</v>
      </c>
      <c r="D66" s="334" t="s">
        <v>65</v>
      </c>
      <c r="E66" s="519" t="s">
        <v>387</v>
      </c>
      <c r="F66" s="519" t="s">
        <v>388</v>
      </c>
      <c r="G66" s="519" t="s">
        <v>527</v>
      </c>
      <c r="H66" s="76" t="s">
        <v>67</v>
      </c>
      <c r="I66" s="76" t="s">
        <v>68</v>
      </c>
      <c r="J66" s="76" t="s">
        <v>69</v>
      </c>
      <c r="K66" s="77" t="s">
        <v>70</v>
      </c>
      <c r="L66" s="78" t="s">
        <v>25</v>
      </c>
      <c r="M66" s="338"/>
      <c r="N66" s="339"/>
    </row>
    <row r="67" spans="1:14" s="33" customFormat="1" x14ac:dyDescent="0.2">
      <c r="A67" s="524"/>
      <c r="B67" s="53" t="s">
        <v>603</v>
      </c>
      <c r="C67" s="89" t="s">
        <v>604</v>
      </c>
      <c r="D67" s="106">
        <v>23701</v>
      </c>
      <c r="E67" s="106" t="s">
        <v>605</v>
      </c>
      <c r="F67" s="107" t="s">
        <v>77</v>
      </c>
      <c r="G67" s="107">
        <v>1</v>
      </c>
      <c r="H67" s="8"/>
      <c r="I67" s="3"/>
      <c r="J67" s="17"/>
      <c r="K67" s="326">
        <v>87.59</v>
      </c>
      <c r="L67" s="91">
        <f>K67*J67</f>
        <v>0</v>
      </c>
      <c r="M67" s="86">
        <f>K67/4.08</f>
        <v>21.468137254901961</v>
      </c>
      <c r="N67" s="87"/>
    </row>
    <row r="68" spans="1:14" s="33" customFormat="1" x14ac:dyDescent="0.2">
      <c r="A68" s="524"/>
      <c r="B68" s="53" t="s">
        <v>606</v>
      </c>
      <c r="C68" s="89" t="s">
        <v>607</v>
      </c>
      <c r="D68" s="106">
        <v>6256</v>
      </c>
      <c r="E68" s="106" t="s">
        <v>608</v>
      </c>
      <c r="F68" s="107" t="s">
        <v>77</v>
      </c>
      <c r="G68" s="107">
        <v>1</v>
      </c>
      <c r="H68" s="8"/>
      <c r="I68" s="3"/>
      <c r="J68" s="17"/>
      <c r="K68" s="326">
        <v>36.880000000000003</v>
      </c>
      <c r="L68" s="91">
        <f>K68*J68</f>
        <v>0</v>
      </c>
      <c r="M68" s="86">
        <f>K68/9.02</f>
        <v>4.0886917960088693</v>
      </c>
      <c r="N68" s="87"/>
    </row>
    <row r="69" spans="1:14" s="33" customFormat="1" x14ac:dyDescent="0.2">
      <c r="A69" s="524"/>
      <c r="B69" s="53" t="s">
        <v>609</v>
      </c>
      <c r="C69" s="89" t="s">
        <v>610</v>
      </c>
      <c r="D69" s="106">
        <v>125715</v>
      </c>
      <c r="E69" s="106" t="s">
        <v>377</v>
      </c>
      <c r="F69" s="107" t="s">
        <v>77</v>
      </c>
      <c r="G69" s="107">
        <v>5</v>
      </c>
      <c r="H69" s="8"/>
      <c r="I69" s="3"/>
      <c r="J69" s="17"/>
      <c r="K69" s="326">
        <v>72.400000000000006</v>
      </c>
      <c r="L69" s="91">
        <f t="shared" ref="L69:L95" si="4">K69*J69</f>
        <v>0</v>
      </c>
      <c r="M69" s="86"/>
      <c r="N69" s="87"/>
    </row>
    <row r="70" spans="1:14" s="33" customFormat="1" x14ac:dyDescent="0.2">
      <c r="A70" s="524"/>
      <c r="B70" s="53" t="s">
        <v>611</v>
      </c>
      <c r="C70" s="89" t="s">
        <v>612</v>
      </c>
      <c r="D70" s="106">
        <v>51865</v>
      </c>
      <c r="E70" s="106" t="s">
        <v>377</v>
      </c>
      <c r="F70" s="107" t="s">
        <v>77</v>
      </c>
      <c r="G70" s="107">
        <v>6</v>
      </c>
      <c r="H70" s="8"/>
      <c r="I70" s="3"/>
      <c r="J70" s="17"/>
      <c r="K70" s="326">
        <v>92.34</v>
      </c>
      <c r="L70" s="91">
        <f t="shared" si="4"/>
        <v>0</v>
      </c>
      <c r="M70" s="86"/>
      <c r="N70" s="87"/>
    </row>
    <row r="71" spans="1:14" s="33" customFormat="1" x14ac:dyDescent="0.2">
      <c r="A71" s="524"/>
      <c r="B71" s="53" t="s">
        <v>613</v>
      </c>
      <c r="C71" s="89" t="s">
        <v>354</v>
      </c>
      <c r="D71" s="106">
        <v>8966</v>
      </c>
      <c r="E71" s="106" t="s">
        <v>377</v>
      </c>
      <c r="F71" s="107" t="s">
        <v>77</v>
      </c>
      <c r="G71" s="107">
        <v>5</v>
      </c>
      <c r="H71" s="8"/>
      <c r="I71" s="3"/>
      <c r="J71" s="17"/>
      <c r="K71" s="326">
        <v>68.05</v>
      </c>
      <c r="L71" s="91">
        <f t="shared" si="4"/>
        <v>0</v>
      </c>
      <c r="M71" s="86"/>
      <c r="N71" s="87"/>
    </row>
    <row r="72" spans="1:14" s="33" customFormat="1" x14ac:dyDescent="0.2">
      <c r="A72" s="524"/>
      <c r="B72" s="53" t="s">
        <v>614</v>
      </c>
      <c r="C72" s="89" t="s">
        <v>485</v>
      </c>
      <c r="D72" s="106">
        <v>188610</v>
      </c>
      <c r="E72" s="106" t="s">
        <v>377</v>
      </c>
      <c r="F72" s="107" t="s">
        <v>77</v>
      </c>
      <c r="G72" s="107">
        <v>8</v>
      </c>
      <c r="H72" s="8"/>
      <c r="I72" s="3"/>
      <c r="J72" s="17"/>
      <c r="K72" s="326">
        <v>84.24</v>
      </c>
      <c r="L72" s="91">
        <f t="shared" si="4"/>
        <v>0</v>
      </c>
      <c r="M72" s="86">
        <f>K72/4</f>
        <v>21.06</v>
      </c>
      <c r="N72" s="87"/>
    </row>
    <row r="73" spans="1:14" s="33" customFormat="1" x14ac:dyDescent="0.2">
      <c r="A73" s="524"/>
      <c r="B73" s="53" t="s">
        <v>615</v>
      </c>
      <c r="C73" s="89" t="s">
        <v>616</v>
      </c>
      <c r="D73" s="106">
        <v>10444</v>
      </c>
      <c r="E73" s="106" t="s">
        <v>358</v>
      </c>
      <c r="F73" s="107" t="s">
        <v>77</v>
      </c>
      <c r="G73" s="107">
        <v>6</v>
      </c>
      <c r="H73" s="8"/>
      <c r="I73" s="3"/>
      <c r="J73" s="17"/>
      <c r="K73" s="326">
        <v>108.48</v>
      </c>
      <c r="L73" s="91">
        <f t="shared" si="4"/>
        <v>0</v>
      </c>
      <c r="M73" s="86"/>
      <c r="N73" s="87"/>
    </row>
    <row r="74" spans="1:14" s="33" customFormat="1" x14ac:dyDescent="0.2">
      <c r="A74" s="524"/>
      <c r="B74" s="53" t="s">
        <v>617</v>
      </c>
      <c r="C74" s="89" t="s">
        <v>553</v>
      </c>
      <c r="D74" s="106">
        <v>12967</v>
      </c>
      <c r="E74" s="106" t="s">
        <v>618</v>
      </c>
      <c r="F74" s="107" t="s">
        <v>77</v>
      </c>
      <c r="G74" s="107">
        <v>1</v>
      </c>
      <c r="H74" s="8"/>
      <c r="I74" s="3"/>
      <c r="J74" s="17"/>
      <c r="K74" s="326">
        <v>47.47</v>
      </c>
      <c r="L74" s="91">
        <f t="shared" si="4"/>
        <v>0</v>
      </c>
      <c r="M74" s="86"/>
      <c r="N74" s="87"/>
    </row>
    <row r="75" spans="1:14" s="33" customFormat="1" x14ac:dyDescent="0.2">
      <c r="A75" s="524"/>
      <c r="B75" s="53" t="s">
        <v>619</v>
      </c>
      <c r="C75" s="89" t="s">
        <v>553</v>
      </c>
      <c r="D75" s="106">
        <v>84821</v>
      </c>
      <c r="E75" s="106" t="s">
        <v>620</v>
      </c>
      <c r="F75" s="107" t="s">
        <v>77</v>
      </c>
      <c r="G75" s="107">
        <v>5</v>
      </c>
      <c r="H75" s="8"/>
      <c r="I75" s="3"/>
      <c r="J75" s="17"/>
      <c r="K75" s="326">
        <v>60.2</v>
      </c>
      <c r="L75" s="91">
        <f t="shared" si="4"/>
        <v>0</v>
      </c>
      <c r="M75" s="86"/>
      <c r="N75" s="87"/>
    </row>
    <row r="76" spans="1:14" s="33" customFormat="1" x14ac:dyDescent="0.2">
      <c r="A76" s="524"/>
      <c r="B76" s="53" t="s">
        <v>621</v>
      </c>
      <c r="C76" s="89" t="s">
        <v>553</v>
      </c>
      <c r="D76" s="106">
        <v>106565</v>
      </c>
      <c r="E76" s="106" t="s">
        <v>620</v>
      </c>
      <c r="F76" s="107" t="s">
        <v>77</v>
      </c>
      <c r="G76" s="107">
        <v>5</v>
      </c>
      <c r="H76" s="8"/>
      <c r="I76" s="3"/>
      <c r="J76" s="17"/>
      <c r="K76" s="326">
        <v>61.3</v>
      </c>
      <c r="L76" s="91">
        <f>K76*J76</f>
        <v>0</v>
      </c>
      <c r="M76" s="86">
        <f>K76/12</f>
        <v>5.1083333333333334</v>
      </c>
      <c r="N76" s="87"/>
    </row>
    <row r="77" spans="1:14" s="33" customFormat="1" x14ac:dyDescent="0.2">
      <c r="A77" s="524"/>
      <c r="B77" s="53" t="s">
        <v>622</v>
      </c>
      <c r="C77" s="89" t="s">
        <v>553</v>
      </c>
      <c r="D77" s="106">
        <v>26470</v>
      </c>
      <c r="E77" s="106" t="s">
        <v>377</v>
      </c>
      <c r="F77" s="107" t="s">
        <v>77</v>
      </c>
      <c r="G77" s="107">
        <v>12</v>
      </c>
      <c r="H77" s="8"/>
      <c r="I77" s="3"/>
      <c r="J77" s="17"/>
      <c r="K77" s="326">
        <v>50.52</v>
      </c>
      <c r="L77" s="91">
        <f>K77*J77</f>
        <v>0</v>
      </c>
      <c r="M77" s="86"/>
      <c r="N77" s="87"/>
    </row>
    <row r="78" spans="1:14" s="33" customFormat="1" x14ac:dyDescent="0.2">
      <c r="A78" s="524"/>
      <c r="B78" s="53" t="s">
        <v>623</v>
      </c>
      <c r="C78" s="89" t="s">
        <v>351</v>
      </c>
      <c r="D78" s="106">
        <v>54541</v>
      </c>
      <c r="E78" s="106" t="s">
        <v>624</v>
      </c>
      <c r="F78" s="107" t="s">
        <v>77</v>
      </c>
      <c r="G78" s="107">
        <v>8</v>
      </c>
      <c r="H78" s="8"/>
      <c r="I78" s="3"/>
      <c r="J78" s="17"/>
      <c r="K78" s="326">
        <v>88.56</v>
      </c>
      <c r="L78" s="91">
        <f>K78*J78</f>
        <v>0</v>
      </c>
      <c r="M78" s="86"/>
      <c r="N78" s="87"/>
    </row>
    <row r="79" spans="1:14" s="33" customFormat="1" ht="17" thickBot="1" x14ac:dyDescent="0.25">
      <c r="A79" s="524"/>
      <c r="B79" s="53" t="s">
        <v>625</v>
      </c>
      <c r="C79" s="89" t="s">
        <v>351</v>
      </c>
      <c r="D79" s="106">
        <v>54540</v>
      </c>
      <c r="E79" s="106" t="s">
        <v>624</v>
      </c>
      <c r="F79" s="107" t="s">
        <v>77</v>
      </c>
      <c r="G79" s="107">
        <v>8</v>
      </c>
      <c r="H79" s="8"/>
      <c r="I79" s="3"/>
      <c r="J79" s="17"/>
      <c r="K79" s="326">
        <v>86.4</v>
      </c>
      <c r="L79" s="91">
        <f>K79*J79</f>
        <v>0</v>
      </c>
      <c r="M79" s="86"/>
      <c r="N79" s="87"/>
    </row>
    <row r="80" spans="1:14" s="33" customFormat="1" ht="35" thickBot="1" x14ac:dyDescent="0.25">
      <c r="B80" s="324" t="s">
        <v>626</v>
      </c>
      <c r="C80" s="519" t="s">
        <v>346</v>
      </c>
      <c r="D80" s="334" t="s">
        <v>65</v>
      </c>
      <c r="E80" s="519" t="s">
        <v>387</v>
      </c>
      <c r="F80" s="520" t="s">
        <v>388</v>
      </c>
      <c r="G80" s="520" t="s">
        <v>527</v>
      </c>
      <c r="H80" s="76" t="s">
        <v>67</v>
      </c>
      <c r="I80" s="76" t="s">
        <v>68</v>
      </c>
      <c r="J80" s="76" t="s">
        <v>69</v>
      </c>
      <c r="K80" s="77" t="s">
        <v>70</v>
      </c>
      <c r="L80" s="78" t="s">
        <v>25</v>
      </c>
      <c r="M80" s="338"/>
      <c r="N80" s="339"/>
    </row>
    <row r="81" spans="1:14" s="33" customFormat="1" x14ac:dyDescent="0.2">
      <c r="A81" s="524"/>
      <c r="B81" s="53" t="s">
        <v>627</v>
      </c>
      <c r="C81" s="89" t="s">
        <v>628</v>
      </c>
      <c r="D81" s="106">
        <v>140596</v>
      </c>
      <c r="E81" s="106" t="s">
        <v>629</v>
      </c>
      <c r="F81" s="107" t="s">
        <v>77</v>
      </c>
      <c r="G81" s="107">
        <v>1</v>
      </c>
      <c r="H81" s="8"/>
      <c r="I81" s="3"/>
      <c r="J81" s="17"/>
      <c r="K81" s="90">
        <v>27.82</v>
      </c>
      <c r="L81" s="91">
        <f t="shared" ref="L81:L84" si="5">K81*J81</f>
        <v>0</v>
      </c>
      <c r="M81" s="86"/>
      <c r="N81" s="87"/>
    </row>
    <row r="82" spans="1:14" s="33" customFormat="1" x14ac:dyDescent="0.2">
      <c r="A82" s="524"/>
      <c r="B82" s="53" t="s">
        <v>630</v>
      </c>
      <c r="C82" s="89" t="s">
        <v>631</v>
      </c>
      <c r="D82" s="106">
        <v>40681</v>
      </c>
      <c r="E82" s="106" t="s">
        <v>629</v>
      </c>
      <c r="F82" s="107" t="s">
        <v>77</v>
      </c>
      <c r="G82" s="107">
        <v>1</v>
      </c>
      <c r="H82" s="8"/>
      <c r="I82" s="3"/>
      <c r="J82" s="17"/>
      <c r="K82" s="90">
        <v>28.58</v>
      </c>
      <c r="L82" s="91">
        <f t="shared" si="5"/>
        <v>0</v>
      </c>
      <c r="M82" s="86">
        <f>K82/3.75</f>
        <v>7.6213333333333333</v>
      </c>
      <c r="N82" s="87"/>
    </row>
    <row r="83" spans="1:14" s="33" customFormat="1" x14ac:dyDescent="0.2">
      <c r="A83" s="524"/>
      <c r="B83" s="53" t="s">
        <v>632</v>
      </c>
      <c r="C83" s="89" t="s">
        <v>633</v>
      </c>
      <c r="D83" s="106">
        <v>197052</v>
      </c>
      <c r="E83" s="106" t="s">
        <v>634</v>
      </c>
      <c r="F83" s="107" t="s">
        <v>77</v>
      </c>
      <c r="G83" s="107">
        <v>1</v>
      </c>
      <c r="H83" s="8"/>
      <c r="I83" s="3"/>
      <c r="J83" s="17"/>
      <c r="K83" s="90">
        <v>33.880000000000003</v>
      </c>
      <c r="L83" s="91">
        <f t="shared" si="5"/>
        <v>0</v>
      </c>
      <c r="M83" s="86"/>
      <c r="N83" s="87"/>
    </row>
    <row r="84" spans="1:14" s="33" customFormat="1" x14ac:dyDescent="0.2">
      <c r="A84" s="524"/>
      <c r="B84" s="53" t="s">
        <v>635</v>
      </c>
      <c r="C84" s="89" t="s">
        <v>631</v>
      </c>
      <c r="D84" s="106">
        <v>43104</v>
      </c>
      <c r="E84" s="106" t="s">
        <v>636</v>
      </c>
      <c r="F84" s="107" t="s">
        <v>77</v>
      </c>
      <c r="G84" s="107">
        <v>1</v>
      </c>
      <c r="H84" s="8"/>
      <c r="I84" s="3"/>
      <c r="J84" s="17"/>
      <c r="K84" s="90">
        <v>51.73</v>
      </c>
      <c r="L84" s="91">
        <f t="shared" si="5"/>
        <v>0</v>
      </c>
      <c r="M84" s="86"/>
      <c r="N84" s="87"/>
    </row>
    <row r="85" spans="1:14" s="33" customFormat="1" x14ac:dyDescent="0.2">
      <c r="A85" s="524"/>
      <c r="B85" s="53" t="s">
        <v>637</v>
      </c>
      <c r="C85" s="89" t="s">
        <v>631</v>
      </c>
      <c r="D85" s="106">
        <v>76375</v>
      </c>
      <c r="E85" s="106" t="s">
        <v>638</v>
      </c>
      <c r="F85" s="107" t="s">
        <v>77</v>
      </c>
      <c r="G85" s="107">
        <v>1</v>
      </c>
      <c r="H85" s="8"/>
      <c r="I85" s="3"/>
      <c r="J85" s="17"/>
      <c r="K85" s="90">
        <v>53.02</v>
      </c>
      <c r="L85" s="91">
        <f t="shared" si="4"/>
        <v>0</v>
      </c>
      <c r="M85" s="86"/>
      <c r="N85" s="87"/>
    </row>
    <row r="86" spans="1:14" s="33" customFormat="1" x14ac:dyDescent="0.2">
      <c r="A86" s="524"/>
      <c r="B86" s="53" t="s">
        <v>639</v>
      </c>
      <c r="C86" s="89" t="s">
        <v>633</v>
      </c>
      <c r="D86" s="106">
        <v>120958</v>
      </c>
      <c r="E86" s="106" t="s">
        <v>629</v>
      </c>
      <c r="F86" s="107" t="s">
        <v>77</v>
      </c>
      <c r="G86" s="107">
        <v>1</v>
      </c>
      <c r="H86" s="8"/>
      <c r="I86" s="3"/>
      <c r="J86" s="17"/>
      <c r="K86" s="90">
        <v>30.72</v>
      </c>
      <c r="L86" s="91">
        <f t="shared" ref="L86" si="6">K86*J86</f>
        <v>0</v>
      </c>
      <c r="M86" s="86"/>
      <c r="N86" s="87"/>
    </row>
    <row r="87" spans="1:14" s="33" customFormat="1" x14ac:dyDescent="0.2">
      <c r="A87" s="524"/>
      <c r="B87" s="53" t="s">
        <v>640</v>
      </c>
      <c r="C87" s="89" t="s">
        <v>631</v>
      </c>
      <c r="D87" s="106">
        <v>196628</v>
      </c>
      <c r="E87" s="106" t="s">
        <v>629</v>
      </c>
      <c r="F87" s="107" t="s">
        <v>77</v>
      </c>
      <c r="G87" s="107">
        <v>1</v>
      </c>
      <c r="H87" s="8"/>
      <c r="I87" s="3"/>
      <c r="J87" s="17"/>
      <c r="K87" s="90">
        <v>31.04</v>
      </c>
      <c r="L87" s="91">
        <f t="shared" ref="L87:L88" si="7">K87*J87</f>
        <v>0</v>
      </c>
      <c r="M87" s="86">
        <f>K87/2</f>
        <v>15.52</v>
      </c>
      <c r="N87" s="87">
        <f>K87/72</f>
        <v>0.43111111111111111</v>
      </c>
    </row>
    <row r="88" spans="1:14" s="33" customFormat="1" x14ac:dyDescent="0.2">
      <c r="A88" s="524"/>
      <c r="B88" s="53" t="s">
        <v>641</v>
      </c>
      <c r="C88" s="89" t="s">
        <v>631</v>
      </c>
      <c r="D88" s="106">
        <v>3018</v>
      </c>
      <c r="E88" s="106" t="s">
        <v>642</v>
      </c>
      <c r="F88" s="107" t="s">
        <v>77</v>
      </c>
      <c r="G88" s="107">
        <v>1</v>
      </c>
      <c r="H88" s="8"/>
      <c r="I88" s="3"/>
      <c r="J88" s="17"/>
      <c r="K88" s="90">
        <v>57.03</v>
      </c>
      <c r="L88" s="91">
        <f t="shared" si="7"/>
        <v>0</v>
      </c>
      <c r="M88" s="86"/>
      <c r="N88" s="87"/>
    </row>
    <row r="89" spans="1:14" s="33" customFormat="1" x14ac:dyDescent="0.2">
      <c r="A89" s="524"/>
      <c r="B89" s="53" t="s">
        <v>643</v>
      </c>
      <c r="C89" s="89" t="s">
        <v>633</v>
      </c>
      <c r="D89" s="106">
        <v>197026</v>
      </c>
      <c r="E89" s="106" t="s">
        <v>629</v>
      </c>
      <c r="F89" s="107" t="s">
        <v>77</v>
      </c>
      <c r="G89" s="107">
        <v>1</v>
      </c>
      <c r="H89" s="8"/>
      <c r="I89" s="3"/>
      <c r="J89" s="17"/>
      <c r="K89" s="90">
        <v>31.69</v>
      </c>
      <c r="L89" s="91">
        <f t="shared" si="4"/>
        <v>0</v>
      </c>
      <c r="M89" s="86"/>
      <c r="N89" s="87"/>
    </row>
    <row r="90" spans="1:14" s="33" customFormat="1" x14ac:dyDescent="0.2">
      <c r="A90" s="524"/>
      <c r="B90" s="53" t="s">
        <v>644</v>
      </c>
      <c r="C90" s="89" t="s">
        <v>633</v>
      </c>
      <c r="D90" s="106">
        <v>197031</v>
      </c>
      <c r="E90" s="106" t="s">
        <v>629</v>
      </c>
      <c r="F90" s="107" t="s">
        <v>77</v>
      </c>
      <c r="G90" s="107">
        <v>1</v>
      </c>
      <c r="H90" s="8"/>
      <c r="I90" s="3"/>
      <c r="J90" s="17"/>
      <c r="K90" s="90">
        <v>31.69</v>
      </c>
      <c r="L90" s="91">
        <f t="shared" si="4"/>
        <v>0</v>
      </c>
      <c r="M90" s="86"/>
      <c r="N90" s="87"/>
    </row>
    <row r="91" spans="1:14" s="33" customFormat="1" x14ac:dyDescent="0.2">
      <c r="A91" s="524"/>
      <c r="B91" s="53" t="s">
        <v>645</v>
      </c>
      <c r="C91" s="89" t="s">
        <v>633</v>
      </c>
      <c r="D91" s="106">
        <v>197033</v>
      </c>
      <c r="E91" s="106" t="s">
        <v>629</v>
      </c>
      <c r="F91" s="107" t="s">
        <v>77</v>
      </c>
      <c r="G91" s="107">
        <v>1</v>
      </c>
      <c r="H91" s="8"/>
      <c r="I91" s="3"/>
      <c r="J91" s="17"/>
      <c r="K91" s="90">
        <v>32.520000000000003</v>
      </c>
      <c r="L91" s="91">
        <f t="shared" ref="L91:L92" si="8">K91*J91</f>
        <v>0</v>
      </c>
      <c r="M91" s="86"/>
      <c r="N91" s="87"/>
    </row>
    <row r="92" spans="1:14" s="33" customFormat="1" x14ac:dyDescent="0.2">
      <c r="A92" s="524"/>
      <c r="B92" s="53" t="s">
        <v>646</v>
      </c>
      <c r="C92" s="89" t="s">
        <v>633</v>
      </c>
      <c r="D92" s="106">
        <v>197034</v>
      </c>
      <c r="E92" s="106" t="s">
        <v>647</v>
      </c>
      <c r="F92" s="107" t="s">
        <v>77</v>
      </c>
      <c r="G92" s="107">
        <v>1</v>
      </c>
      <c r="H92" s="8"/>
      <c r="I92" s="3"/>
      <c r="J92" s="17"/>
      <c r="K92" s="90">
        <v>32.520000000000003</v>
      </c>
      <c r="L92" s="91">
        <f t="shared" si="8"/>
        <v>0</v>
      </c>
      <c r="M92" s="86"/>
      <c r="N92" s="87"/>
    </row>
    <row r="93" spans="1:14" s="33" customFormat="1" x14ac:dyDescent="0.2">
      <c r="A93" s="524"/>
      <c r="B93" s="606"/>
      <c r="C93" s="607"/>
      <c r="D93" s="608"/>
      <c r="E93" s="608"/>
      <c r="F93" s="609"/>
      <c r="G93" s="609"/>
      <c r="H93" s="610"/>
      <c r="I93" s="611"/>
      <c r="J93" s="611"/>
      <c r="K93" s="612"/>
      <c r="L93" s="613"/>
      <c r="M93" s="86"/>
      <c r="N93" s="87"/>
    </row>
    <row r="94" spans="1:14" s="33" customFormat="1" x14ac:dyDescent="0.2">
      <c r="A94" s="524"/>
      <c r="B94" s="53" t="s">
        <v>648</v>
      </c>
      <c r="C94" s="89" t="s">
        <v>649</v>
      </c>
      <c r="D94" s="106">
        <v>5379</v>
      </c>
      <c r="E94" s="106" t="s">
        <v>650</v>
      </c>
      <c r="F94" s="107" t="s">
        <v>77</v>
      </c>
      <c r="G94" s="107">
        <v>1</v>
      </c>
      <c r="H94" s="8"/>
      <c r="I94" s="3"/>
      <c r="J94" s="17"/>
      <c r="K94" s="90">
        <v>38.25</v>
      </c>
      <c r="L94" s="91">
        <f t="shared" si="4"/>
        <v>0</v>
      </c>
      <c r="M94" s="86"/>
      <c r="N94" s="87"/>
    </row>
    <row r="95" spans="1:14" s="33" customFormat="1" ht="17" thickBot="1" x14ac:dyDescent="0.25">
      <c r="A95" s="524"/>
      <c r="B95" s="53" t="s">
        <v>651</v>
      </c>
      <c r="C95" s="89" t="s">
        <v>649</v>
      </c>
      <c r="D95" s="106">
        <v>5381</v>
      </c>
      <c r="E95" s="106" t="s">
        <v>652</v>
      </c>
      <c r="F95" s="107" t="s">
        <v>77</v>
      </c>
      <c r="G95" s="107">
        <v>1</v>
      </c>
      <c r="H95" s="8"/>
      <c r="I95" s="3"/>
      <c r="J95" s="17"/>
      <c r="K95" s="90">
        <v>49.44</v>
      </c>
      <c r="L95" s="91">
        <f t="shared" si="4"/>
        <v>0</v>
      </c>
      <c r="M95" s="86"/>
      <c r="N95" s="87"/>
    </row>
    <row r="96" spans="1:14" s="33" customFormat="1" ht="35" thickBot="1" x14ac:dyDescent="0.25">
      <c r="B96" s="324" t="s">
        <v>128</v>
      </c>
      <c r="C96" s="519" t="s">
        <v>346</v>
      </c>
      <c r="D96" s="334" t="s">
        <v>65</v>
      </c>
      <c r="E96" s="519" t="s">
        <v>387</v>
      </c>
      <c r="F96" s="520" t="s">
        <v>388</v>
      </c>
      <c r="G96" s="520" t="s">
        <v>527</v>
      </c>
      <c r="H96" s="76" t="s">
        <v>67</v>
      </c>
      <c r="I96" s="76" t="s">
        <v>68</v>
      </c>
      <c r="J96" s="76" t="s">
        <v>69</v>
      </c>
      <c r="K96" s="77" t="s">
        <v>70</v>
      </c>
      <c r="L96" s="78" t="s">
        <v>25</v>
      </c>
      <c r="M96" s="338"/>
      <c r="N96" s="339"/>
    </row>
    <row r="97" spans="1:14" s="33" customFormat="1" x14ac:dyDescent="0.2">
      <c r="A97" s="524"/>
      <c r="B97" s="53" t="s">
        <v>653</v>
      </c>
      <c r="C97" s="89" t="s">
        <v>654</v>
      </c>
      <c r="D97" s="106">
        <v>1757</v>
      </c>
      <c r="E97" s="106" t="s">
        <v>361</v>
      </c>
      <c r="F97" s="107" t="s">
        <v>77</v>
      </c>
      <c r="G97" s="107">
        <v>6</v>
      </c>
      <c r="H97" s="8"/>
      <c r="I97" s="3"/>
      <c r="J97" s="17"/>
      <c r="K97" s="299">
        <v>49.56</v>
      </c>
      <c r="L97" s="91">
        <f t="shared" ref="L97:L113" si="9">K97*J97</f>
        <v>0</v>
      </c>
      <c r="M97" s="340"/>
      <c r="N97" s="313"/>
    </row>
    <row r="98" spans="1:14" s="33" customFormat="1" x14ac:dyDescent="0.2">
      <c r="A98" s="524"/>
      <c r="B98" s="53" t="s">
        <v>655</v>
      </c>
      <c r="C98" s="89" t="s">
        <v>654</v>
      </c>
      <c r="D98" s="106">
        <v>158530</v>
      </c>
      <c r="E98" s="106" t="s">
        <v>361</v>
      </c>
      <c r="F98" s="107" t="s">
        <v>77</v>
      </c>
      <c r="G98" s="107">
        <v>6</v>
      </c>
      <c r="H98" s="8"/>
      <c r="I98" s="3"/>
      <c r="J98" s="17"/>
      <c r="K98" s="299">
        <v>51.72</v>
      </c>
      <c r="L98" s="91">
        <f t="shared" ref="L98:L108" si="10">K98*J98</f>
        <v>0</v>
      </c>
      <c r="M98" s="340"/>
      <c r="N98" s="313"/>
    </row>
    <row r="99" spans="1:14" s="33" customFormat="1" x14ac:dyDescent="0.2">
      <c r="A99" s="524"/>
      <c r="B99" s="53" t="s">
        <v>656</v>
      </c>
      <c r="C99" s="89" t="s">
        <v>654</v>
      </c>
      <c r="D99" s="106">
        <v>333</v>
      </c>
      <c r="E99" s="106" t="s">
        <v>361</v>
      </c>
      <c r="F99" s="107" t="s">
        <v>77</v>
      </c>
      <c r="G99" s="107">
        <v>6</v>
      </c>
      <c r="H99" s="8"/>
      <c r="I99" s="3"/>
      <c r="J99" s="17"/>
      <c r="K99" s="299">
        <v>47.82</v>
      </c>
      <c r="L99" s="91">
        <f t="shared" si="10"/>
        <v>0</v>
      </c>
      <c r="M99" s="340"/>
      <c r="N99" s="313"/>
    </row>
    <row r="100" spans="1:14" s="33" customFormat="1" x14ac:dyDescent="0.2">
      <c r="A100" s="524"/>
      <c r="B100" s="53" t="s">
        <v>657</v>
      </c>
      <c r="C100" s="89" t="s">
        <v>654</v>
      </c>
      <c r="D100" s="106">
        <v>2926</v>
      </c>
      <c r="E100" s="106" t="s">
        <v>358</v>
      </c>
      <c r="F100" s="107" t="s">
        <v>77</v>
      </c>
      <c r="G100" s="107">
        <v>6</v>
      </c>
      <c r="H100" s="8"/>
      <c r="I100" s="3"/>
      <c r="J100" s="17"/>
      <c r="K100" s="299">
        <v>70.14</v>
      </c>
      <c r="L100" s="91">
        <f t="shared" si="10"/>
        <v>0</v>
      </c>
      <c r="M100" s="340"/>
      <c r="N100" s="313"/>
    </row>
    <row r="101" spans="1:14" s="33" customFormat="1" x14ac:dyDescent="0.2">
      <c r="A101" s="524"/>
      <c r="B101" s="99" t="s">
        <v>658</v>
      </c>
      <c r="C101" s="89" t="s">
        <v>654</v>
      </c>
      <c r="D101" s="223">
        <v>2939</v>
      </c>
      <c r="E101" s="223" t="s">
        <v>361</v>
      </c>
      <c r="F101" s="107" t="s">
        <v>77</v>
      </c>
      <c r="G101" s="107">
        <v>6</v>
      </c>
      <c r="H101" s="8"/>
      <c r="I101" s="3"/>
      <c r="J101" s="17"/>
      <c r="K101" s="299">
        <v>59.4</v>
      </c>
      <c r="L101" s="91">
        <f t="shared" si="10"/>
        <v>0</v>
      </c>
      <c r="M101" s="340"/>
      <c r="N101" s="313"/>
    </row>
    <row r="102" spans="1:14" s="33" customFormat="1" x14ac:dyDescent="0.2">
      <c r="A102" s="524"/>
      <c r="B102" s="53" t="s">
        <v>659</v>
      </c>
      <c r="C102" s="89" t="s">
        <v>654</v>
      </c>
      <c r="D102" s="106">
        <v>2943</v>
      </c>
      <c r="E102" s="106" t="s">
        <v>361</v>
      </c>
      <c r="F102" s="107" t="s">
        <v>77</v>
      </c>
      <c r="G102" s="107">
        <v>6</v>
      </c>
      <c r="H102" s="8"/>
      <c r="I102" s="3"/>
      <c r="J102" s="17"/>
      <c r="K102" s="299">
        <v>50.04</v>
      </c>
      <c r="L102" s="91">
        <f t="shared" si="10"/>
        <v>0</v>
      </c>
      <c r="M102" s="340"/>
      <c r="N102" s="313"/>
    </row>
    <row r="103" spans="1:14" s="33" customFormat="1" x14ac:dyDescent="0.2">
      <c r="A103" s="524"/>
      <c r="B103" s="53" t="s">
        <v>660</v>
      </c>
      <c r="C103" s="89" t="s">
        <v>654</v>
      </c>
      <c r="D103" s="106">
        <v>73884</v>
      </c>
      <c r="E103" s="106" t="s">
        <v>361</v>
      </c>
      <c r="F103" s="107" t="s">
        <v>77</v>
      </c>
      <c r="G103" s="107">
        <v>6</v>
      </c>
      <c r="H103" s="8"/>
      <c r="I103" s="3"/>
      <c r="J103" s="17"/>
      <c r="K103" s="299">
        <v>42.3</v>
      </c>
      <c r="L103" s="91">
        <f t="shared" si="10"/>
        <v>0</v>
      </c>
      <c r="M103" s="340"/>
      <c r="N103" s="313"/>
    </row>
    <row r="104" spans="1:14" s="33" customFormat="1" x14ac:dyDescent="0.2">
      <c r="A104" s="524"/>
      <c r="B104" s="53" t="s">
        <v>661</v>
      </c>
      <c r="C104" s="89" t="s">
        <v>654</v>
      </c>
      <c r="D104" s="106">
        <v>314</v>
      </c>
      <c r="E104" s="106" t="s">
        <v>361</v>
      </c>
      <c r="F104" s="107" t="s">
        <v>77</v>
      </c>
      <c r="G104" s="107">
        <v>6</v>
      </c>
      <c r="H104" s="8"/>
      <c r="I104" s="3"/>
      <c r="J104" s="17"/>
      <c r="K104" s="299">
        <v>42.3</v>
      </c>
      <c r="L104" s="91">
        <f t="shared" si="10"/>
        <v>0</v>
      </c>
      <c r="M104" s="340"/>
      <c r="N104" s="313"/>
    </row>
    <row r="105" spans="1:14" s="33" customFormat="1" x14ac:dyDescent="0.2">
      <c r="A105" s="524"/>
      <c r="B105" s="53" t="s">
        <v>662</v>
      </c>
      <c r="C105" s="89" t="s">
        <v>654</v>
      </c>
      <c r="D105" s="106">
        <v>2940</v>
      </c>
      <c r="E105" s="106" t="s">
        <v>361</v>
      </c>
      <c r="F105" s="107" t="s">
        <v>77</v>
      </c>
      <c r="G105" s="107">
        <v>6</v>
      </c>
      <c r="H105" s="8"/>
      <c r="I105" s="3"/>
      <c r="J105" s="17"/>
      <c r="K105" s="299">
        <v>42.3</v>
      </c>
      <c r="L105" s="91">
        <f t="shared" si="10"/>
        <v>0</v>
      </c>
      <c r="M105" s="340"/>
      <c r="N105" s="313"/>
    </row>
    <row r="106" spans="1:14" s="33" customFormat="1" x14ac:dyDescent="0.2">
      <c r="A106" s="524"/>
      <c r="B106" s="53" t="s">
        <v>663</v>
      </c>
      <c r="C106" s="89" t="s">
        <v>654</v>
      </c>
      <c r="D106" s="106">
        <v>305</v>
      </c>
      <c r="E106" s="106" t="s">
        <v>361</v>
      </c>
      <c r="F106" s="107" t="s">
        <v>77</v>
      </c>
      <c r="G106" s="107">
        <v>6</v>
      </c>
      <c r="H106" s="8"/>
      <c r="I106" s="3"/>
      <c r="J106" s="17"/>
      <c r="K106" s="299">
        <v>59.94</v>
      </c>
      <c r="L106" s="91">
        <f t="shared" si="10"/>
        <v>0</v>
      </c>
      <c r="M106" s="340"/>
      <c r="N106" s="313"/>
    </row>
    <row r="107" spans="1:14" s="33" customFormat="1" x14ac:dyDescent="0.2">
      <c r="A107" s="524"/>
      <c r="B107" s="53" t="s">
        <v>664</v>
      </c>
      <c r="C107" s="89" t="s">
        <v>654</v>
      </c>
      <c r="D107" s="106">
        <v>84522</v>
      </c>
      <c r="E107" s="106" t="s">
        <v>665</v>
      </c>
      <c r="F107" s="107" t="s">
        <v>77</v>
      </c>
      <c r="G107" s="107">
        <v>1</v>
      </c>
      <c r="H107" s="8"/>
      <c r="I107" s="3"/>
      <c r="J107" s="17"/>
      <c r="K107" s="299">
        <v>34.340000000000003</v>
      </c>
      <c r="L107" s="91">
        <f t="shared" si="10"/>
        <v>0</v>
      </c>
      <c r="M107" s="340"/>
      <c r="N107" s="313"/>
    </row>
    <row r="108" spans="1:14" s="33" customFormat="1" x14ac:dyDescent="0.2">
      <c r="A108" s="524"/>
      <c r="B108" s="53" t="s">
        <v>666</v>
      </c>
      <c r="C108" s="89" t="s">
        <v>654</v>
      </c>
      <c r="D108" s="106">
        <v>310</v>
      </c>
      <c r="E108" s="106" t="s">
        <v>361</v>
      </c>
      <c r="F108" s="107" t="s">
        <v>77</v>
      </c>
      <c r="G108" s="107">
        <v>6</v>
      </c>
      <c r="H108" s="8"/>
      <c r="I108" s="3"/>
      <c r="J108" s="17"/>
      <c r="K108" s="299">
        <v>51.3</v>
      </c>
      <c r="L108" s="91">
        <f t="shared" si="10"/>
        <v>0</v>
      </c>
      <c r="M108" s="340"/>
      <c r="N108" s="313"/>
    </row>
    <row r="109" spans="1:14" s="33" customFormat="1" x14ac:dyDescent="0.2">
      <c r="A109" s="524"/>
      <c r="B109" s="53" t="s">
        <v>667</v>
      </c>
      <c r="C109" s="89" t="s">
        <v>654</v>
      </c>
      <c r="D109" s="106">
        <v>320</v>
      </c>
      <c r="E109" s="106" t="s">
        <v>361</v>
      </c>
      <c r="F109" s="107" t="s">
        <v>77</v>
      </c>
      <c r="G109" s="107">
        <v>6</v>
      </c>
      <c r="H109" s="8"/>
      <c r="I109" s="3"/>
      <c r="J109" s="17"/>
      <c r="K109" s="299">
        <v>43.86</v>
      </c>
      <c r="L109" s="91">
        <f t="shared" si="9"/>
        <v>0</v>
      </c>
      <c r="M109" s="340"/>
      <c r="N109" s="313"/>
    </row>
    <row r="110" spans="1:14" s="33" customFormat="1" x14ac:dyDescent="0.2">
      <c r="A110" s="524"/>
      <c r="B110" s="53" t="s">
        <v>668</v>
      </c>
      <c r="C110" s="89" t="s">
        <v>654</v>
      </c>
      <c r="D110" s="106">
        <v>6145</v>
      </c>
      <c r="E110" s="106" t="s">
        <v>361</v>
      </c>
      <c r="F110" s="107" t="s">
        <v>77</v>
      </c>
      <c r="G110" s="107">
        <v>6</v>
      </c>
      <c r="H110" s="8"/>
      <c r="I110" s="3"/>
      <c r="J110" s="17"/>
      <c r="K110" s="299">
        <v>57.54</v>
      </c>
      <c r="L110" s="91">
        <f t="shared" si="9"/>
        <v>0</v>
      </c>
      <c r="M110" s="340"/>
      <c r="N110" s="313"/>
    </row>
    <row r="111" spans="1:14" s="33" customFormat="1" x14ac:dyDescent="0.2">
      <c r="A111" s="524"/>
      <c r="B111" s="53" t="s">
        <v>669</v>
      </c>
      <c r="C111" s="89" t="s">
        <v>654</v>
      </c>
      <c r="D111" s="106">
        <v>35135</v>
      </c>
      <c r="E111" s="106" t="s">
        <v>358</v>
      </c>
      <c r="F111" s="107" t="s">
        <v>77</v>
      </c>
      <c r="G111" s="107">
        <v>6</v>
      </c>
      <c r="H111" s="8"/>
      <c r="I111" s="3"/>
      <c r="J111" s="17"/>
      <c r="K111" s="299">
        <v>47.1</v>
      </c>
      <c r="L111" s="91">
        <f t="shared" si="9"/>
        <v>0</v>
      </c>
      <c r="M111" s="340"/>
      <c r="N111" s="313"/>
    </row>
    <row r="112" spans="1:14" s="33" customFormat="1" x14ac:dyDescent="0.2">
      <c r="A112" s="524"/>
      <c r="B112" s="53" t="s">
        <v>670</v>
      </c>
      <c r="C112" s="89" t="s">
        <v>654</v>
      </c>
      <c r="D112" s="106">
        <v>319</v>
      </c>
      <c r="E112" s="106" t="s">
        <v>361</v>
      </c>
      <c r="F112" s="107" t="s">
        <v>77</v>
      </c>
      <c r="G112" s="107">
        <v>6</v>
      </c>
      <c r="H112" s="8"/>
      <c r="I112" s="3"/>
      <c r="J112" s="17"/>
      <c r="K112" s="299">
        <v>42.3</v>
      </c>
      <c r="L112" s="91">
        <f t="shared" si="9"/>
        <v>0</v>
      </c>
      <c r="M112" s="340"/>
      <c r="N112" s="313"/>
    </row>
    <row r="113" spans="1:14" s="33" customFormat="1" ht="17" thickBot="1" x14ac:dyDescent="0.25">
      <c r="A113" s="524"/>
      <c r="B113" s="53" t="s">
        <v>671</v>
      </c>
      <c r="C113" s="89" t="s">
        <v>654</v>
      </c>
      <c r="D113" s="106">
        <v>35134</v>
      </c>
      <c r="E113" s="106" t="s">
        <v>358</v>
      </c>
      <c r="F113" s="107" t="s">
        <v>77</v>
      </c>
      <c r="G113" s="107">
        <v>6</v>
      </c>
      <c r="H113" s="8"/>
      <c r="I113" s="3"/>
      <c r="J113" s="17"/>
      <c r="K113" s="299">
        <v>52.5</v>
      </c>
      <c r="L113" s="91">
        <f t="shared" si="9"/>
        <v>0</v>
      </c>
      <c r="M113" s="340"/>
      <c r="N113" s="313"/>
    </row>
    <row r="114" spans="1:14" s="596" customFormat="1" ht="35" thickBot="1" x14ac:dyDescent="0.25">
      <c r="B114" s="597" t="s">
        <v>672</v>
      </c>
      <c r="C114" s="599" t="s">
        <v>346</v>
      </c>
      <c r="D114" s="589" t="s">
        <v>65</v>
      </c>
      <c r="E114" s="589" t="s">
        <v>387</v>
      </c>
      <c r="F114" s="589" t="s">
        <v>388</v>
      </c>
      <c r="G114" s="589" t="s">
        <v>527</v>
      </c>
      <c r="H114" s="588" t="s">
        <v>67</v>
      </c>
      <c r="I114" s="588" t="s">
        <v>68</v>
      </c>
      <c r="J114" s="588" t="s">
        <v>69</v>
      </c>
      <c r="K114" s="594" t="s">
        <v>70</v>
      </c>
      <c r="L114" s="78" t="s">
        <v>25</v>
      </c>
      <c r="M114" s="587"/>
      <c r="N114" s="590"/>
    </row>
    <row r="115" spans="1:14" s="33" customFormat="1" x14ac:dyDescent="0.2">
      <c r="A115" s="524"/>
      <c r="B115" s="53" t="s">
        <v>673</v>
      </c>
      <c r="C115" s="89" t="s">
        <v>674</v>
      </c>
      <c r="D115" s="106">
        <v>102630</v>
      </c>
      <c r="E115" s="106" t="s">
        <v>675</v>
      </c>
      <c r="F115" s="107" t="s">
        <v>466</v>
      </c>
      <c r="G115" s="107">
        <v>1</v>
      </c>
      <c r="H115" s="8"/>
      <c r="I115" s="3"/>
      <c r="J115" s="17"/>
      <c r="K115" s="299">
        <v>27.89</v>
      </c>
      <c r="L115" s="91">
        <f t="shared" ref="L115:L121" si="11">K115*J115</f>
        <v>0</v>
      </c>
      <c r="M115" s="340">
        <f>K115/12</f>
        <v>2.3241666666666667</v>
      </c>
      <c r="N115" s="340">
        <f>M115/10</f>
        <v>0.23241666666666666</v>
      </c>
    </row>
    <row r="116" spans="1:14" s="33" customFormat="1" x14ac:dyDescent="0.2">
      <c r="A116" s="524"/>
      <c r="B116" s="53" t="s">
        <v>676</v>
      </c>
      <c r="C116" s="89" t="s">
        <v>674</v>
      </c>
      <c r="D116" s="106">
        <v>44668</v>
      </c>
      <c r="E116" s="106" t="s">
        <v>675</v>
      </c>
      <c r="F116" s="107" t="s">
        <v>466</v>
      </c>
      <c r="G116" s="107">
        <v>1</v>
      </c>
      <c r="H116" s="8"/>
      <c r="I116" s="3"/>
      <c r="J116" s="17"/>
      <c r="K116" s="299">
        <v>21.41</v>
      </c>
      <c r="L116" s="91">
        <f t="shared" si="11"/>
        <v>0</v>
      </c>
      <c r="M116" s="340">
        <f>K116/12</f>
        <v>1.7841666666666667</v>
      </c>
      <c r="N116" s="340">
        <f>M116/10</f>
        <v>0.17841666666666667</v>
      </c>
    </row>
    <row r="117" spans="1:14" s="33" customFormat="1" x14ac:dyDescent="0.2">
      <c r="A117" s="524"/>
      <c r="B117" s="53" t="s">
        <v>677</v>
      </c>
      <c r="C117" s="89" t="s">
        <v>674</v>
      </c>
      <c r="D117" s="106">
        <v>173857</v>
      </c>
      <c r="E117" s="106" t="s">
        <v>675</v>
      </c>
      <c r="F117" s="107" t="s">
        <v>466</v>
      </c>
      <c r="G117" s="107">
        <v>1</v>
      </c>
      <c r="H117" s="8"/>
      <c r="I117" s="3"/>
      <c r="J117" s="17"/>
      <c r="K117" s="299">
        <v>20.49</v>
      </c>
      <c r="L117" s="91">
        <f t="shared" si="11"/>
        <v>0</v>
      </c>
      <c r="M117" s="86">
        <f>K117/12</f>
        <v>1.7074999999999998</v>
      </c>
      <c r="N117" s="340">
        <f t="shared" ref="N117" si="12">M117/10</f>
        <v>0.17074999999999999</v>
      </c>
    </row>
    <row r="118" spans="1:14" s="33" customFormat="1" x14ac:dyDescent="0.2">
      <c r="A118" s="524"/>
      <c r="B118" s="53" t="s">
        <v>678</v>
      </c>
      <c r="C118" s="89" t="s">
        <v>679</v>
      </c>
      <c r="D118" s="106">
        <v>208794</v>
      </c>
      <c r="E118" s="106" t="s">
        <v>675</v>
      </c>
      <c r="F118" s="107" t="s">
        <v>466</v>
      </c>
      <c r="G118" s="107">
        <v>1</v>
      </c>
      <c r="H118" s="8"/>
      <c r="I118" s="3"/>
      <c r="J118" s="17"/>
      <c r="K118" s="299">
        <v>24.03</v>
      </c>
      <c r="L118" s="91">
        <f t="shared" si="11"/>
        <v>0</v>
      </c>
      <c r="M118" s="86"/>
      <c r="N118" s="340"/>
    </row>
    <row r="119" spans="1:14" s="33" customFormat="1" x14ac:dyDescent="0.2">
      <c r="A119" s="524"/>
      <c r="B119" s="53" t="s">
        <v>680</v>
      </c>
      <c r="C119" s="89" t="s">
        <v>681</v>
      </c>
      <c r="D119" s="106">
        <v>128537</v>
      </c>
      <c r="E119" s="106" t="s">
        <v>675</v>
      </c>
      <c r="F119" s="107" t="s">
        <v>466</v>
      </c>
      <c r="G119" s="107">
        <v>1</v>
      </c>
      <c r="H119" s="8"/>
      <c r="I119" s="3"/>
      <c r="J119" s="17"/>
      <c r="K119" s="299">
        <v>26.73</v>
      </c>
      <c r="L119" s="91">
        <f t="shared" si="11"/>
        <v>0</v>
      </c>
      <c r="M119" s="86"/>
      <c r="N119" s="340"/>
    </row>
    <row r="120" spans="1:14" s="33" customFormat="1" x14ac:dyDescent="0.2">
      <c r="A120" s="524"/>
      <c r="B120" s="282" t="s">
        <v>682</v>
      </c>
      <c r="C120" s="89" t="s">
        <v>681</v>
      </c>
      <c r="D120" s="106">
        <v>131356</v>
      </c>
      <c r="E120" s="106" t="s">
        <v>683</v>
      </c>
      <c r="F120" s="107" t="s">
        <v>466</v>
      </c>
      <c r="G120" s="107">
        <v>1</v>
      </c>
      <c r="H120" s="8"/>
      <c r="I120" s="3"/>
      <c r="J120" s="17"/>
      <c r="K120" s="469">
        <v>26.73</v>
      </c>
      <c r="L120" s="91">
        <f t="shared" si="11"/>
        <v>0</v>
      </c>
      <c r="M120" s="86"/>
      <c r="N120" s="340"/>
    </row>
    <row r="121" spans="1:14" s="33" customFormat="1" x14ac:dyDescent="0.2">
      <c r="B121" s="282"/>
      <c r="C121" s="89"/>
      <c r="D121" s="106"/>
      <c r="E121" s="106"/>
      <c r="F121" s="107"/>
      <c r="G121" s="107"/>
      <c r="H121" s="8"/>
      <c r="I121" s="3"/>
      <c r="J121" s="17"/>
      <c r="K121" s="469"/>
      <c r="L121" s="91">
        <f t="shared" si="11"/>
        <v>0</v>
      </c>
      <c r="M121" s="86"/>
      <c r="N121" s="340"/>
    </row>
    <row r="122" spans="1:14" s="33" customFormat="1" x14ac:dyDescent="0.2">
      <c r="B122" s="282"/>
      <c r="C122" s="107"/>
      <c r="D122" s="106"/>
      <c r="E122" s="106"/>
      <c r="F122" s="107"/>
      <c r="G122" s="107"/>
      <c r="H122" s="8"/>
      <c r="I122" s="3"/>
      <c r="J122" s="17"/>
      <c r="K122" s="469"/>
      <c r="L122" s="91"/>
      <c r="M122" s="86"/>
      <c r="N122" s="340"/>
    </row>
    <row r="123" spans="1:14" s="33" customFormat="1" ht="35" thickBot="1" x14ac:dyDescent="0.25">
      <c r="B123" s="537" t="s">
        <v>684</v>
      </c>
      <c r="C123" s="538" t="s">
        <v>346</v>
      </c>
      <c r="D123" s="539" t="s">
        <v>65</v>
      </c>
      <c r="E123" s="539" t="s">
        <v>387</v>
      </c>
      <c r="F123" s="539" t="s">
        <v>388</v>
      </c>
      <c r="G123" s="539" t="s">
        <v>527</v>
      </c>
      <c r="H123" s="540" t="s">
        <v>67</v>
      </c>
      <c r="I123" s="540" t="s">
        <v>68</v>
      </c>
      <c r="J123" s="540" t="s">
        <v>69</v>
      </c>
      <c r="K123" s="541" t="s">
        <v>70</v>
      </c>
      <c r="L123" s="542" t="s">
        <v>25</v>
      </c>
      <c r="M123" s="338"/>
      <c r="N123" s="339"/>
    </row>
    <row r="124" spans="1:14" s="33" customFormat="1" x14ac:dyDescent="0.2">
      <c r="A124" s="524"/>
      <c r="B124" s="53" t="s">
        <v>685</v>
      </c>
      <c r="C124" s="89" t="s">
        <v>686</v>
      </c>
      <c r="D124" s="106">
        <v>212406</v>
      </c>
      <c r="E124" s="106" t="s">
        <v>687</v>
      </c>
      <c r="F124" s="107" t="s">
        <v>77</v>
      </c>
      <c r="G124" s="107">
        <v>1</v>
      </c>
      <c r="H124" s="8"/>
      <c r="I124" s="3"/>
      <c r="J124" s="17"/>
      <c r="K124" s="299">
        <v>37.26</v>
      </c>
      <c r="L124" s="91">
        <f t="shared" ref="L124:L129" si="13">K124*J124</f>
        <v>0</v>
      </c>
      <c r="M124" s="340">
        <f>K124/12</f>
        <v>3.105</v>
      </c>
      <c r="N124" s="340">
        <f>M124/10</f>
        <v>0.3105</v>
      </c>
    </row>
    <row r="125" spans="1:14" s="33" customFormat="1" x14ac:dyDescent="0.2">
      <c r="A125" s="524"/>
      <c r="B125" s="53" t="s">
        <v>688</v>
      </c>
      <c r="C125" s="89" t="s">
        <v>654</v>
      </c>
      <c r="D125" s="106">
        <v>322</v>
      </c>
      <c r="E125" s="106" t="s">
        <v>361</v>
      </c>
      <c r="F125" s="107" t="s">
        <v>77</v>
      </c>
      <c r="G125" s="107">
        <v>6</v>
      </c>
      <c r="H125" s="8"/>
      <c r="I125" s="3"/>
      <c r="J125" s="17"/>
      <c r="K125" s="299">
        <v>49.68</v>
      </c>
      <c r="L125" s="91">
        <f t="shared" si="13"/>
        <v>0</v>
      </c>
      <c r="M125" s="340">
        <f>K125/12</f>
        <v>4.1399999999999997</v>
      </c>
      <c r="N125" s="340">
        <f>M125/10</f>
        <v>0.41399999999999998</v>
      </c>
    </row>
    <row r="126" spans="1:14" s="33" customFormat="1" x14ac:dyDescent="0.2">
      <c r="A126" s="524"/>
      <c r="B126" s="53" t="s">
        <v>689</v>
      </c>
      <c r="C126" s="89" t="s">
        <v>690</v>
      </c>
      <c r="D126" s="106">
        <v>174543</v>
      </c>
      <c r="E126" s="106" t="s">
        <v>687</v>
      </c>
      <c r="F126" s="107" t="s">
        <v>77</v>
      </c>
      <c r="G126" s="107">
        <v>1</v>
      </c>
      <c r="H126" s="8"/>
      <c r="I126" s="3"/>
      <c r="J126" s="17"/>
      <c r="K126" s="299">
        <v>39.96</v>
      </c>
      <c r="L126" s="91">
        <f t="shared" si="13"/>
        <v>0</v>
      </c>
      <c r="M126" s="86">
        <f>K126/12</f>
        <v>3.33</v>
      </c>
      <c r="N126" s="340">
        <f t="shared" ref="N126:N129" si="14">M126/10</f>
        <v>0.33300000000000002</v>
      </c>
    </row>
    <row r="127" spans="1:14" s="33" customFormat="1" x14ac:dyDescent="0.2">
      <c r="A127" s="524"/>
      <c r="B127" s="53" t="s">
        <v>691</v>
      </c>
      <c r="C127" s="89" t="s">
        <v>690</v>
      </c>
      <c r="D127" s="106">
        <v>168971</v>
      </c>
      <c r="E127" s="106" t="s">
        <v>352</v>
      </c>
      <c r="F127" s="107" t="s">
        <v>77</v>
      </c>
      <c r="G127" s="107">
        <v>4</v>
      </c>
      <c r="H127" s="8"/>
      <c r="I127" s="3"/>
      <c r="J127" s="17"/>
      <c r="K127" s="299">
        <v>40.159999999999997</v>
      </c>
      <c r="L127" s="91">
        <f t="shared" si="13"/>
        <v>0</v>
      </c>
      <c r="M127" s="86"/>
      <c r="N127" s="340"/>
    </row>
    <row r="128" spans="1:14" s="33" customFormat="1" x14ac:dyDescent="0.2">
      <c r="A128" s="524"/>
      <c r="B128" s="53" t="s">
        <v>692</v>
      </c>
      <c r="C128" s="89" t="s">
        <v>690</v>
      </c>
      <c r="D128" s="106">
        <v>174542</v>
      </c>
      <c r="E128" s="106" t="s">
        <v>377</v>
      </c>
      <c r="F128" s="107" t="s">
        <v>77</v>
      </c>
      <c r="G128" s="107">
        <v>10</v>
      </c>
      <c r="H128" s="8"/>
      <c r="I128" s="3"/>
      <c r="J128" s="17"/>
      <c r="K128" s="299">
        <v>45.4</v>
      </c>
      <c r="L128" s="91">
        <f t="shared" si="13"/>
        <v>0</v>
      </c>
      <c r="M128" s="86"/>
      <c r="N128" s="340"/>
    </row>
    <row r="129" spans="1:14" s="33" customFormat="1" ht="17" thickBot="1" x14ac:dyDescent="0.25">
      <c r="A129" s="524"/>
      <c r="B129" s="53" t="s">
        <v>693</v>
      </c>
      <c r="C129" s="89" t="s">
        <v>690</v>
      </c>
      <c r="D129" s="106">
        <v>166870</v>
      </c>
      <c r="E129" s="106" t="s">
        <v>694</v>
      </c>
      <c r="F129" s="107" t="s">
        <v>77</v>
      </c>
      <c r="G129" s="107">
        <v>1</v>
      </c>
      <c r="H129" s="8"/>
      <c r="I129" s="3"/>
      <c r="J129" s="17"/>
      <c r="K129" s="299">
        <v>29.72</v>
      </c>
      <c r="L129" s="91">
        <f t="shared" si="13"/>
        <v>0</v>
      </c>
      <c r="M129" s="86">
        <f>K129/6.78</f>
        <v>4.3834808259587019</v>
      </c>
      <c r="N129" s="86">
        <f t="shared" si="14"/>
        <v>0.43834808259587021</v>
      </c>
    </row>
    <row r="130" spans="1:14" s="33" customFormat="1" ht="17" thickBot="1" x14ac:dyDescent="0.25">
      <c r="B130" s="453"/>
      <c r="C130" s="455"/>
      <c r="D130" s="454"/>
      <c r="E130" s="454"/>
      <c r="F130" s="454"/>
      <c r="G130" s="454"/>
      <c r="H130" s="455"/>
      <c r="I130" s="455"/>
      <c r="J130" s="454"/>
      <c r="K130" s="456"/>
      <c r="L130" s="105">
        <f>SUM(L12:L129)</f>
        <v>0</v>
      </c>
      <c r="M130" s="86"/>
      <c r="N130" s="87"/>
    </row>
    <row r="131" spans="1:14" s="33" customFormat="1" x14ac:dyDescent="0.2">
      <c r="C131" s="270"/>
      <c r="H131" s="270"/>
      <c r="I131" s="270"/>
      <c r="M131" s="301"/>
      <c r="N131" s="39"/>
    </row>
    <row r="132" spans="1:14" s="33" customFormat="1" x14ac:dyDescent="0.2">
      <c r="C132" s="270"/>
      <c r="H132" s="270"/>
      <c r="I132" s="270"/>
      <c r="M132" s="301"/>
      <c r="N132" s="39"/>
    </row>
    <row r="133" spans="1:14" s="33" customFormat="1" x14ac:dyDescent="0.2">
      <c r="C133" s="270"/>
      <c r="H133" s="270"/>
      <c r="I133" s="270"/>
      <c r="M133" s="301"/>
      <c r="N133" s="39"/>
    </row>
    <row r="134" spans="1:14" s="33" customFormat="1" x14ac:dyDescent="0.2">
      <c r="C134" s="270"/>
      <c r="H134" s="270"/>
      <c r="I134" s="270"/>
      <c r="M134" s="301"/>
      <c r="N134" s="39"/>
    </row>
    <row r="135" spans="1:14" s="33" customFormat="1" x14ac:dyDescent="0.2">
      <c r="C135" s="270"/>
      <c r="H135" s="270"/>
      <c r="I135" s="270"/>
      <c r="M135" s="301"/>
      <c r="N135" s="39"/>
    </row>
    <row r="136" spans="1:14" s="33" customFormat="1" x14ac:dyDescent="0.2">
      <c r="C136" s="270"/>
      <c r="H136" s="270"/>
      <c r="I136" s="270"/>
      <c r="M136" s="301"/>
      <c r="N136" s="39"/>
    </row>
    <row r="137" spans="1:14" s="33" customFormat="1" x14ac:dyDescent="0.2">
      <c r="C137" s="270"/>
      <c r="H137" s="270"/>
      <c r="I137" s="270"/>
      <c r="M137" s="301"/>
      <c r="N137" s="39"/>
    </row>
    <row r="138" spans="1:14" s="33" customFormat="1" x14ac:dyDescent="0.2">
      <c r="C138" s="270"/>
      <c r="H138" s="270"/>
      <c r="I138" s="270"/>
      <c r="M138" s="301"/>
      <c r="N138" s="39"/>
    </row>
    <row r="139" spans="1:14" s="33" customFormat="1" x14ac:dyDescent="0.2">
      <c r="C139" s="270"/>
      <c r="H139" s="270"/>
      <c r="I139" s="270"/>
      <c r="M139" s="301"/>
      <c r="N139" s="39"/>
    </row>
    <row r="140" spans="1:14" s="33" customFormat="1" x14ac:dyDescent="0.2">
      <c r="C140" s="270"/>
      <c r="H140" s="270"/>
      <c r="I140" s="270"/>
      <c r="M140" s="301"/>
      <c r="N140" s="39"/>
    </row>
    <row r="141" spans="1:14" s="33" customFormat="1" x14ac:dyDescent="0.2">
      <c r="C141" s="270"/>
      <c r="H141" s="270"/>
      <c r="I141" s="270"/>
      <c r="M141" s="301"/>
      <c r="N141" s="39"/>
    </row>
    <row r="142" spans="1:14" s="33" customFormat="1" x14ac:dyDescent="0.2">
      <c r="C142" s="270"/>
      <c r="H142" s="270"/>
      <c r="I142" s="270"/>
      <c r="M142" s="301"/>
      <c r="N142" s="39"/>
    </row>
    <row r="143" spans="1:14" s="33" customFormat="1" x14ac:dyDescent="0.2">
      <c r="C143" s="270"/>
      <c r="H143" s="270"/>
      <c r="I143" s="270"/>
      <c r="M143" s="301"/>
      <c r="N143" s="39"/>
    </row>
    <row r="144" spans="1:14" s="33" customFormat="1" x14ac:dyDescent="0.2">
      <c r="C144" s="270"/>
      <c r="H144" s="270"/>
      <c r="I144" s="270"/>
      <c r="M144" s="301"/>
      <c r="N144" s="39"/>
    </row>
    <row r="145" spans="3:14" s="33" customFormat="1" x14ac:dyDescent="0.2">
      <c r="C145" s="270"/>
      <c r="H145" s="270"/>
      <c r="I145" s="270"/>
      <c r="M145" s="301"/>
      <c r="N145" s="39"/>
    </row>
    <row r="146" spans="3:14" s="33" customFormat="1" x14ac:dyDescent="0.2">
      <c r="C146" s="270"/>
      <c r="H146" s="270"/>
      <c r="I146" s="270"/>
      <c r="M146" s="301"/>
      <c r="N146" s="39"/>
    </row>
    <row r="147" spans="3:14" s="33" customFormat="1" x14ac:dyDescent="0.2">
      <c r="C147" s="270"/>
      <c r="H147" s="270"/>
      <c r="I147" s="270"/>
      <c r="M147" s="301"/>
      <c r="N147" s="39"/>
    </row>
    <row r="148" spans="3:14" s="33" customFormat="1" x14ac:dyDescent="0.2">
      <c r="C148" s="270"/>
      <c r="H148" s="270"/>
      <c r="I148" s="270"/>
      <c r="M148" s="301"/>
      <c r="N148" s="39"/>
    </row>
    <row r="149" spans="3:14" s="33" customFormat="1" x14ac:dyDescent="0.2">
      <c r="C149" s="270"/>
      <c r="H149" s="270"/>
      <c r="I149" s="270"/>
      <c r="M149" s="301"/>
      <c r="N149" s="39"/>
    </row>
    <row r="150" spans="3:14" s="33" customFormat="1" x14ac:dyDescent="0.2">
      <c r="C150" s="270"/>
      <c r="H150" s="270"/>
      <c r="I150" s="270"/>
      <c r="M150" s="301"/>
      <c r="N150" s="39"/>
    </row>
    <row r="151" spans="3:14" s="33" customFormat="1" x14ac:dyDescent="0.2">
      <c r="C151" s="270"/>
      <c r="H151" s="270"/>
      <c r="I151" s="270"/>
      <c r="M151" s="301"/>
      <c r="N151" s="39"/>
    </row>
    <row r="152" spans="3:14" s="33" customFormat="1" x14ac:dyDescent="0.2">
      <c r="C152" s="270"/>
      <c r="H152" s="270"/>
      <c r="I152" s="270"/>
      <c r="M152" s="301"/>
      <c r="N152" s="39"/>
    </row>
    <row r="153" spans="3:14" s="33" customFormat="1" x14ac:dyDescent="0.2">
      <c r="C153" s="270"/>
      <c r="H153" s="270"/>
      <c r="I153" s="270"/>
      <c r="M153" s="301"/>
      <c r="N153" s="39"/>
    </row>
    <row r="154" spans="3:14" s="33" customFormat="1" x14ac:dyDescent="0.2">
      <c r="C154" s="270"/>
      <c r="H154" s="270"/>
      <c r="I154" s="270"/>
      <c r="M154" s="301"/>
      <c r="N154" s="39"/>
    </row>
    <row r="155" spans="3:14" s="33" customFormat="1" x14ac:dyDescent="0.2">
      <c r="C155" s="270"/>
      <c r="H155" s="270"/>
      <c r="I155" s="270"/>
      <c r="M155" s="301"/>
      <c r="N155" s="39"/>
    </row>
    <row r="156" spans="3:14" s="33" customFormat="1" x14ac:dyDescent="0.2">
      <c r="C156" s="270"/>
      <c r="H156" s="270"/>
      <c r="I156" s="270"/>
      <c r="M156" s="301"/>
      <c r="N156" s="39"/>
    </row>
    <row r="157" spans="3:14" s="33" customFormat="1" x14ac:dyDescent="0.2">
      <c r="C157" s="270"/>
      <c r="H157" s="270"/>
      <c r="I157" s="270"/>
      <c r="M157" s="301"/>
      <c r="N157" s="39"/>
    </row>
    <row r="158" spans="3:14" s="33" customFormat="1" x14ac:dyDescent="0.2">
      <c r="C158" s="270"/>
      <c r="H158" s="270"/>
      <c r="I158" s="270"/>
      <c r="M158" s="301"/>
      <c r="N158" s="39"/>
    </row>
    <row r="159" spans="3:14" s="33" customFormat="1" x14ac:dyDescent="0.2">
      <c r="C159" s="270"/>
      <c r="H159" s="270"/>
      <c r="I159" s="270"/>
      <c r="M159" s="301"/>
      <c r="N159" s="39"/>
    </row>
    <row r="160" spans="3:14" s="33" customFormat="1" x14ac:dyDescent="0.2">
      <c r="C160" s="270"/>
      <c r="H160" s="270"/>
      <c r="I160" s="270"/>
      <c r="M160" s="301"/>
      <c r="N160" s="39"/>
    </row>
    <row r="161" spans="3:14" s="33" customFormat="1" x14ac:dyDescent="0.2">
      <c r="C161" s="270"/>
      <c r="H161" s="270"/>
      <c r="I161" s="270"/>
      <c r="M161" s="301"/>
      <c r="N161" s="39"/>
    </row>
    <row r="162" spans="3:14" s="33" customFormat="1" x14ac:dyDescent="0.2">
      <c r="C162" s="270"/>
      <c r="H162" s="270"/>
      <c r="I162" s="270"/>
      <c r="M162" s="301"/>
      <c r="N162" s="39"/>
    </row>
    <row r="163" spans="3:14" s="33" customFormat="1" x14ac:dyDescent="0.2">
      <c r="C163" s="270"/>
      <c r="H163" s="270"/>
      <c r="I163" s="270"/>
      <c r="M163" s="301"/>
      <c r="N163" s="39"/>
    </row>
    <row r="164" spans="3:14" s="33" customFormat="1" x14ac:dyDescent="0.2">
      <c r="C164" s="270"/>
      <c r="H164" s="270"/>
      <c r="I164" s="270"/>
      <c r="M164" s="301"/>
      <c r="N164" s="39"/>
    </row>
    <row r="165" spans="3:14" s="33" customFormat="1" x14ac:dyDescent="0.2">
      <c r="C165" s="270"/>
      <c r="H165" s="270"/>
      <c r="I165" s="270"/>
      <c r="M165" s="301"/>
      <c r="N165" s="39"/>
    </row>
    <row r="166" spans="3:14" s="33" customFormat="1" x14ac:dyDescent="0.2">
      <c r="C166" s="270"/>
      <c r="H166" s="270"/>
      <c r="I166" s="270"/>
      <c r="M166" s="301"/>
      <c r="N166" s="39"/>
    </row>
    <row r="167" spans="3:14" s="33" customFormat="1" x14ac:dyDescent="0.2">
      <c r="C167" s="270"/>
      <c r="H167" s="270"/>
      <c r="I167" s="270"/>
      <c r="M167" s="301"/>
      <c r="N167" s="39"/>
    </row>
    <row r="168" spans="3:14" s="33" customFormat="1" x14ac:dyDescent="0.2">
      <c r="C168" s="270"/>
      <c r="H168" s="270"/>
      <c r="I168" s="270"/>
      <c r="M168" s="301"/>
      <c r="N168" s="39"/>
    </row>
    <row r="169" spans="3:14" s="33" customFormat="1" x14ac:dyDescent="0.2">
      <c r="C169" s="270"/>
      <c r="H169" s="270"/>
      <c r="I169" s="270"/>
      <c r="M169" s="301"/>
      <c r="N169" s="39"/>
    </row>
    <row r="170" spans="3:14" s="33" customFormat="1" x14ac:dyDescent="0.2">
      <c r="C170" s="270"/>
      <c r="H170" s="270"/>
      <c r="I170" s="270"/>
      <c r="M170" s="301"/>
      <c r="N170" s="39"/>
    </row>
    <row r="171" spans="3:14" s="33" customFormat="1" x14ac:dyDescent="0.2">
      <c r="C171" s="270"/>
      <c r="H171" s="270"/>
      <c r="I171" s="270"/>
      <c r="M171" s="301"/>
      <c r="N171" s="39"/>
    </row>
    <row r="172" spans="3:14" s="33" customFormat="1" x14ac:dyDescent="0.2">
      <c r="C172" s="270"/>
      <c r="H172" s="270"/>
      <c r="I172" s="270"/>
      <c r="M172" s="301"/>
      <c r="N172" s="39"/>
    </row>
    <row r="173" spans="3:14" s="33" customFormat="1" x14ac:dyDescent="0.2">
      <c r="C173" s="270"/>
      <c r="H173" s="270"/>
      <c r="I173" s="270"/>
      <c r="M173" s="301"/>
      <c r="N173" s="39"/>
    </row>
    <row r="174" spans="3:14" s="33" customFormat="1" x14ac:dyDescent="0.2">
      <c r="C174" s="270"/>
      <c r="H174" s="270"/>
      <c r="I174" s="270"/>
      <c r="M174" s="301"/>
      <c r="N174" s="39"/>
    </row>
    <row r="175" spans="3:14" s="33" customFormat="1" x14ac:dyDescent="0.2">
      <c r="C175" s="270"/>
      <c r="H175" s="270"/>
      <c r="I175" s="270"/>
      <c r="M175" s="301"/>
      <c r="N175" s="39"/>
    </row>
    <row r="176" spans="3:14" s="33" customFormat="1" x14ac:dyDescent="0.2">
      <c r="C176" s="270"/>
      <c r="H176" s="270"/>
      <c r="I176" s="270"/>
      <c r="M176" s="301"/>
      <c r="N176" s="39"/>
    </row>
    <row r="177" spans="3:14" s="33" customFormat="1" x14ac:dyDescent="0.2">
      <c r="C177" s="270"/>
      <c r="H177" s="270"/>
      <c r="I177" s="270"/>
      <c r="M177" s="301"/>
      <c r="N177" s="39"/>
    </row>
    <row r="178" spans="3:14" s="33" customFormat="1" x14ac:dyDescent="0.2">
      <c r="C178" s="270"/>
      <c r="H178" s="270"/>
      <c r="I178" s="270"/>
      <c r="M178" s="301"/>
      <c r="N178" s="39"/>
    </row>
    <row r="179" spans="3:14" s="33" customFormat="1" x14ac:dyDescent="0.2">
      <c r="C179" s="270"/>
      <c r="H179" s="270"/>
      <c r="I179" s="270"/>
      <c r="M179" s="301"/>
      <c r="N179" s="39"/>
    </row>
    <row r="180" spans="3:14" s="33" customFormat="1" x14ac:dyDescent="0.2">
      <c r="C180" s="270"/>
      <c r="H180" s="270"/>
      <c r="I180" s="270"/>
      <c r="M180" s="301"/>
      <c r="N180" s="39"/>
    </row>
    <row r="181" spans="3:14" s="33" customFormat="1" x14ac:dyDescent="0.2">
      <c r="C181" s="270"/>
      <c r="H181" s="270"/>
      <c r="I181" s="270"/>
      <c r="M181" s="301"/>
      <c r="N181" s="39"/>
    </row>
    <row r="182" spans="3:14" s="33" customFormat="1" x14ac:dyDescent="0.2">
      <c r="C182" s="270"/>
      <c r="H182" s="270"/>
      <c r="I182" s="270"/>
      <c r="M182" s="301"/>
      <c r="N182" s="39"/>
    </row>
    <row r="183" spans="3:14" s="33" customFormat="1" x14ac:dyDescent="0.2">
      <c r="C183" s="270"/>
      <c r="H183" s="270"/>
      <c r="I183" s="270"/>
      <c r="M183" s="301"/>
      <c r="N183" s="39"/>
    </row>
    <row r="184" spans="3:14" s="33" customFormat="1" x14ac:dyDescent="0.2">
      <c r="C184" s="270"/>
      <c r="H184" s="270"/>
      <c r="I184" s="270"/>
      <c r="M184" s="301"/>
      <c r="N184" s="39"/>
    </row>
    <row r="185" spans="3:14" s="33" customFormat="1" x14ac:dyDescent="0.2">
      <c r="C185" s="270"/>
      <c r="H185" s="270"/>
      <c r="I185" s="270"/>
      <c r="M185" s="301"/>
      <c r="N185" s="39"/>
    </row>
    <row r="186" spans="3:14" s="33" customFormat="1" x14ac:dyDescent="0.2">
      <c r="C186" s="270"/>
      <c r="H186" s="270"/>
      <c r="I186" s="270"/>
      <c r="M186" s="301"/>
      <c r="N186" s="39"/>
    </row>
    <row r="187" spans="3:14" s="33" customFormat="1" x14ac:dyDescent="0.2">
      <c r="C187" s="270"/>
      <c r="H187" s="270"/>
      <c r="I187" s="270"/>
      <c r="M187" s="301"/>
      <c r="N187" s="39"/>
    </row>
    <row r="188" spans="3:14" s="33" customFormat="1" x14ac:dyDescent="0.2">
      <c r="C188" s="270"/>
      <c r="H188" s="270"/>
      <c r="I188" s="270"/>
      <c r="M188" s="301"/>
      <c r="N188" s="39"/>
    </row>
    <row r="189" spans="3:14" s="33" customFormat="1" x14ac:dyDescent="0.2">
      <c r="C189" s="270"/>
      <c r="H189" s="270"/>
      <c r="I189" s="270"/>
      <c r="M189" s="301"/>
      <c r="N189" s="39"/>
    </row>
    <row r="190" spans="3:14" s="33" customFormat="1" x14ac:dyDescent="0.2">
      <c r="C190" s="270"/>
      <c r="H190" s="270"/>
      <c r="I190" s="270"/>
      <c r="M190" s="301"/>
      <c r="N190" s="39"/>
    </row>
    <row r="191" spans="3:14" s="33" customFormat="1" x14ac:dyDescent="0.2">
      <c r="C191" s="270"/>
      <c r="H191" s="270"/>
      <c r="I191" s="270"/>
      <c r="M191" s="301"/>
      <c r="N191" s="39"/>
    </row>
    <row r="192" spans="3:14" s="33" customFormat="1" x14ac:dyDescent="0.2">
      <c r="C192" s="270"/>
      <c r="H192" s="270"/>
      <c r="I192" s="270"/>
      <c r="M192" s="301"/>
      <c r="N192" s="39"/>
    </row>
    <row r="193" spans="3:14" s="33" customFormat="1" x14ac:dyDescent="0.2">
      <c r="C193" s="270"/>
      <c r="H193" s="270"/>
      <c r="I193" s="270"/>
      <c r="M193" s="301"/>
      <c r="N193" s="39"/>
    </row>
    <row r="194" spans="3:14" s="33" customFormat="1" x14ac:dyDescent="0.2">
      <c r="C194" s="270"/>
      <c r="H194" s="270"/>
      <c r="I194" s="270"/>
      <c r="M194" s="301"/>
      <c r="N194" s="39"/>
    </row>
    <row r="195" spans="3:14" s="33" customFormat="1" x14ac:dyDescent="0.2">
      <c r="C195" s="270"/>
      <c r="H195" s="270"/>
      <c r="I195" s="270"/>
      <c r="M195" s="301"/>
      <c r="N195" s="39"/>
    </row>
    <row r="196" spans="3:14" s="33" customFormat="1" x14ac:dyDescent="0.2">
      <c r="C196" s="270"/>
      <c r="H196" s="270"/>
      <c r="I196" s="270"/>
      <c r="M196" s="301"/>
      <c r="N196" s="39"/>
    </row>
    <row r="197" spans="3:14" s="33" customFormat="1" x14ac:dyDescent="0.2">
      <c r="C197" s="270"/>
      <c r="H197" s="270"/>
      <c r="I197" s="270"/>
      <c r="M197" s="301"/>
      <c r="N197" s="39"/>
    </row>
    <row r="198" spans="3:14" s="33" customFormat="1" x14ac:dyDescent="0.2">
      <c r="C198" s="270"/>
      <c r="H198" s="270"/>
      <c r="I198" s="270"/>
      <c r="M198" s="301"/>
      <c r="N198" s="39"/>
    </row>
    <row r="199" spans="3:14" s="33" customFormat="1" x14ac:dyDescent="0.2">
      <c r="C199" s="270"/>
      <c r="H199" s="270"/>
      <c r="I199" s="270"/>
      <c r="M199" s="301"/>
      <c r="N199" s="39"/>
    </row>
    <row r="200" spans="3:14" s="33" customFormat="1" x14ac:dyDescent="0.2">
      <c r="C200" s="270"/>
      <c r="H200" s="270"/>
      <c r="I200" s="270"/>
      <c r="M200" s="301"/>
      <c r="N200" s="39"/>
    </row>
    <row r="201" spans="3:14" s="33" customFormat="1" x14ac:dyDescent="0.2">
      <c r="C201" s="270"/>
      <c r="H201" s="270"/>
      <c r="I201" s="270"/>
      <c r="M201" s="301"/>
      <c r="N201" s="39"/>
    </row>
    <row r="202" spans="3:14" s="33" customFormat="1" x14ac:dyDescent="0.2">
      <c r="C202" s="270"/>
      <c r="H202" s="270"/>
      <c r="I202" s="270"/>
      <c r="M202" s="301"/>
      <c r="N202" s="39"/>
    </row>
    <row r="203" spans="3:14" s="33" customFormat="1" x14ac:dyDescent="0.2">
      <c r="C203" s="270"/>
      <c r="H203" s="270"/>
      <c r="I203" s="270"/>
      <c r="M203" s="301"/>
      <c r="N203" s="39"/>
    </row>
    <row r="204" spans="3:14" s="33" customFormat="1" x14ac:dyDescent="0.2">
      <c r="C204" s="270"/>
      <c r="H204" s="270"/>
      <c r="I204" s="270"/>
      <c r="M204" s="301"/>
      <c r="N204" s="39"/>
    </row>
    <row r="205" spans="3:14" s="33" customFormat="1" x14ac:dyDescent="0.2">
      <c r="C205" s="270"/>
      <c r="H205" s="270"/>
      <c r="I205" s="270"/>
      <c r="M205" s="301"/>
      <c r="N205" s="39"/>
    </row>
    <row r="206" spans="3:14" s="33" customFormat="1" x14ac:dyDescent="0.2">
      <c r="C206" s="270"/>
      <c r="H206" s="270"/>
      <c r="I206" s="270"/>
      <c r="M206" s="301"/>
      <c r="N206" s="39"/>
    </row>
    <row r="207" spans="3:14" s="33" customFormat="1" x14ac:dyDescent="0.2">
      <c r="C207" s="270"/>
      <c r="H207" s="270"/>
      <c r="I207" s="270"/>
      <c r="M207" s="301"/>
      <c r="N207" s="39"/>
    </row>
    <row r="208" spans="3:14" s="33" customFormat="1" x14ac:dyDescent="0.2">
      <c r="C208" s="270"/>
      <c r="H208" s="270"/>
      <c r="I208" s="270"/>
      <c r="M208" s="301"/>
      <c r="N208" s="39"/>
    </row>
    <row r="209" spans="3:14" s="33" customFormat="1" x14ac:dyDescent="0.2">
      <c r="C209" s="270"/>
      <c r="H209" s="270"/>
      <c r="I209" s="270"/>
      <c r="M209" s="301"/>
      <c r="N209" s="39"/>
    </row>
    <row r="210" spans="3:14" s="33" customFormat="1" x14ac:dyDescent="0.2">
      <c r="C210" s="270"/>
      <c r="H210" s="270"/>
      <c r="I210" s="270"/>
      <c r="M210" s="301"/>
      <c r="N210" s="39"/>
    </row>
    <row r="211" spans="3:14" s="33" customFormat="1" x14ac:dyDescent="0.2">
      <c r="C211" s="270"/>
      <c r="H211" s="270"/>
      <c r="I211" s="270"/>
      <c r="M211" s="301"/>
      <c r="N211" s="39"/>
    </row>
    <row r="212" spans="3:14" s="33" customFormat="1" x14ac:dyDescent="0.2">
      <c r="C212" s="270"/>
      <c r="H212" s="270"/>
      <c r="I212" s="270"/>
      <c r="M212" s="301"/>
      <c r="N212" s="39"/>
    </row>
    <row r="213" spans="3:14" s="33" customFormat="1" x14ac:dyDescent="0.2">
      <c r="C213" s="270"/>
      <c r="H213" s="270"/>
      <c r="I213" s="270"/>
      <c r="M213" s="301"/>
      <c r="N213" s="39"/>
    </row>
    <row r="214" spans="3:14" s="33" customFormat="1" x14ac:dyDescent="0.2">
      <c r="C214" s="270"/>
      <c r="H214" s="270"/>
      <c r="I214" s="270"/>
      <c r="M214" s="301"/>
      <c r="N214" s="39"/>
    </row>
    <row r="215" spans="3:14" s="33" customFormat="1" x14ac:dyDescent="0.2">
      <c r="C215" s="270"/>
      <c r="H215" s="270"/>
      <c r="I215" s="270"/>
      <c r="M215" s="301"/>
      <c r="N215" s="39"/>
    </row>
    <row r="216" spans="3:14" s="33" customFormat="1" x14ac:dyDescent="0.2">
      <c r="C216" s="270"/>
      <c r="H216" s="270"/>
      <c r="I216" s="270"/>
      <c r="M216" s="301"/>
      <c r="N216" s="39"/>
    </row>
    <row r="217" spans="3:14" s="33" customFormat="1" x14ac:dyDescent="0.2">
      <c r="C217" s="270"/>
      <c r="H217" s="270"/>
      <c r="I217" s="270"/>
      <c r="M217" s="301"/>
      <c r="N217" s="39"/>
    </row>
    <row r="218" spans="3:14" s="33" customFormat="1" x14ac:dyDescent="0.2">
      <c r="C218" s="270"/>
      <c r="H218" s="270"/>
      <c r="I218" s="270"/>
      <c r="M218" s="301"/>
      <c r="N218" s="39"/>
    </row>
    <row r="219" spans="3:14" s="33" customFormat="1" x14ac:dyDescent="0.2">
      <c r="C219" s="270"/>
      <c r="H219" s="270"/>
      <c r="I219" s="270"/>
      <c r="M219" s="301"/>
      <c r="N219" s="39"/>
    </row>
    <row r="220" spans="3:14" s="33" customFormat="1" x14ac:dyDescent="0.2">
      <c r="C220" s="270"/>
      <c r="H220" s="270"/>
      <c r="I220" s="270"/>
      <c r="M220" s="301"/>
      <c r="N220" s="39"/>
    </row>
    <row r="221" spans="3:14" s="33" customFormat="1" x14ac:dyDescent="0.2">
      <c r="C221" s="270"/>
      <c r="H221" s="270"/>
      <c r="I221" s="270"/>
      <c r="M221" s="301"/>
      <c r="N221" s="39"/>
    </row>
    <row r="222" spans="3:14" s="33" customFormat="1" x14ac:dyDescent="0.2">
      <c r="C222" s="270"/>
      <c r="H222" s="270"/>
      <c r="I222" s="270"/>
      <c r="M222" s="301"/>
      <c r="N222" s="39"/>
    </row>
    <row r="223" spans="3:14" s="33" customFormat="1" x14ac:dyDescent="0.2">
      <c r="C223" s="270"/>
      <c r="H223" s="270"/>
      <c r="I223" s="270"/>
      <c r="M223" s="301"/>
      <c r="N223" s="39"/>
    </row>
    <row r="224" spans="3:14" s="33" customFormat="1" x14ac:dyDescent="0.2">
      <c r="C224" s="270"/>
      <c r="H224" s="270"/>
      <c r="I224" s="270"/>
      <c r="M224" s="301"/>
      <c r="N224" s="39"/>
    </row>
    <row r="225" spans="3:14" s="33" customFormat="1" x14ac:dyDescent="0.2">
      <c r="C225" s="270"/>
      <c r="H225" s="270"/>
      <c r="I225" s="270"/>
      <c r="M225" s="301"/>
      <c r="N225" s="39"/>
    </row>
    <row r="226" spans="3:14" s="33" customFormat="1" x14ac:dyDescent="0.2">
      <c r="C226" s="270"/>
      <c r="H226" s="270"/>
      <c r="I226" s="270"/>
      <c r="M226" s="301"/>
      <c r="N226" s="39"/>
    </row>
    <row r="227" spans="3:14" s="33" customFormat="1" x14ac:dyDescent="0.2">
      <c r="C227" s="270"/>
      <c r="H227" s="270"/>
      <c r="I227" s="270"/>
      <c r="M227" s="301"/>
      <c r="N227" s="39"/>
    </row>
    <row r="228" spans="3:14" s="33" customFormat="1" x14ac:dyDescent="0.2">
      <c r="C228" s="270"/>
      <c r="H228" s="270"/>
      <c r="I228" s="270"/>
      <c r="M228" s="301"/>
      <c r="N228" s="39"/>
    </row>
    <row r="229" spans="3:14" s="33" customFormat="1" x14ac:dyDescent="0.2">
      <c r="C229" s="270"/>
      <c r="H229" s="270"/>
      <c r="I229" s="270"/>
      <c r="M229" s="301"/>
      <c r="N229" s="39"/>
    </row>
    <row r="230" spans="3:14" s="33" customFormat="1" x14ac:dyDescent="0.2">
      <c r="C230" s="270"/>
      <c r="H230" s="270"/>
      <c r="I230" s="270"/>
      <c r="M230" s="301"/>
      <c r="N230" s="39"/>
    </row>
    <row r="231" spans="3:14" s="33" customFormat="1" x14ac:dyDescent="0.2">
      <c r="C231" s="270"/>
      <c r="H231" s="270"/>
      <c r="I231" s="270"/>
      <c r="M231" s="301"/>
      <c r="N231" s="39"/>
    </row>
    <row r="232" spans="3:14" s="33" customFormat="1" x14ac:dyDescent="0.2">
      <c r="C232" s="270"/>
      <c r="H232" s="270"/>
      <c r="I232" s="270"/>
      <c r="M232" s="301"/>
      <c r="N232" s="39"/>
    </row>
    <row r="233" spans="3:14" s="33" customFormat="1" x14ac:dyDescent="0.2">
      <c r="C233" s="270"/>
      <c r="H233" s="270"/>
      <c r="I233" s="270"/>
      <c r="M233" s="301"/>
      <c r="N233" s="39"/>
    </row>
    <row r="234" spans="3:14" s="33" customFormat="1" x14ac:dyDescent="0.2">
      <c r="C234" s="270"/>
      <c r="H234" s="270"/>
      <c r="I234" s="270"/>
      <c r="M234" s="301"/>
      <c r="N234" s="39"/>
    </row>
    <row r="235" spans="3:14" s="33" customFormat="1" x14ac:dyDescent="0.2">
      <c r="C235" s="270"/>
      <c r="H235" s="270"/>
      <c r="I235" s="270"/>
      <c r="M235" s="301"/>
      <c r="N235" s="39"/>
    </row>
    <row r="236" spans="3:14" s="33" customFormat="1" x14ac:dyDescent="0.2">
      <c r="C236" s="270"/>
      <c r="H236" s="270"/>
      <c r="I236" s="270"/>
      <c r="M236" s="301"/>
      <c r="N236" s="39"/>
    </row>
    <row r="237" spans="3:14" s="33" customFormat="1" x14ac:dyDescent="0.2">
      <c r="C237" s="270"/>
      <c r="H237" s="270"/>
      <c r="I237" s="270"/>
      <c r="M237" s="301"/>
      <c r="N237" s="39"/>
    </row>
    <row r="238" spans="3:14" s="33" customFormat="1" x14ac:dyDescent="0.2">
      <c r="C238" s="270"/>
      <c r="H238" s="270"/>
      <c r="I238" s="270"/>
      <c r="M238" s="301"/>
      <c r="N238" s="39"/>
    </row>
    <row r="239" spans="3:14" s="33" customFormat="1" x14ac:dyDescent="0.2">
      <c r="C239" s="270"/>
      <c r="H239" s="270"/>
      <c r="I239" s="270"/>
      <c r="M239" s="301"/>
      <c r="N239" s="39"/>
    </row>
    <row r="240" spans="3:14" s="33" customFormat="1" x14ac:dyDescent="0.2">
      <c r="C240" s="270"/>
      <c r="H240" s="270"/>
      <c r="I240" s="270"/>
      <c r="M240" s="301"/>
      <c r="N240" s="39"/>
    </row>
    <row r="241" spans="3:14" s="33" customFormat="1" x14ac:dyDescent="0.2">
      <c r="C241" s="270"/>
      <c r="H241" s="270"/>
      <c r="I241" s="270"/>
      <c r="M241" s="301"/>
      <c r="N241" s="39"/>
    </row>
    <row r="242" spans="3:14" s="33" customFormat="1" x14ac:dyDescent="0.2">
      <c r="C242" s="270"/>
      <c r="H242" s="270"/>
      <c r="I242" s="270"/>
      <c r="M242" s="301"/>
      <c r="N242" s="39"/>
    </row>
    <row r="243" spans="3:14" s="33" customFormat="1" x14ac:dyDescent="0.2">
      <c r="C243" s="270"/>
      <c r="H243" s="270"/>
      <c r="I243" s="270"/>
      <c r="M243" s="301"/>
      <c r="N243" s="39"/>
    </row>
    <row r="244" spans="3:14" s="33" customFormat="1" x14ac:dyDescent="0.2">
      <c r="C244" s="270"/>
      <c r="H244" s="270"/>
      <c r="I244" s="270"/>
      <c r="M244" s="301"/>
      <c r="N244" s="39"/>
    </row>
    <row r="245" spans="3:14" s="33" customFormat="1" x14ac:dyDescent="0.2">
      <c r="C245" s="270"/>
      <c r="H245" s="270"/>
      <c r="I245" s="270"/>
      <c r="M245" s="301"/>
      <c r="N245" s="39"/>
    </row>
    <row r="246" spans="3:14" s="33" customFormat="1" x14ac:dyDescent="0.2">
      <c r="C246" s="270"/>
      <c r="H246" s="270"/>
      <c r="I246" s="270"/>
      <c r="M246" s="301"/>
      <c r="N246" s="39"/>
    </row>
    <row r="247" spans="3:14" s="33" customFormat="1" x14ac:dyDescent="0.2">
      <c r="C247" s="270"/>
      <c r="H247" s="270"/>
      <c r="I247" s="270"/>
      <c r="M247" s="301"/>
      <c r="N247" s="39"/>
    </row>
    <row r="248" spans="3:14" s="33" customFormat="1" x14ac:dyDescent="0.2">
      <c r="C248" s="270"/>
      <c r="H248" s="270"/>
      <c r="I248" s="270"/>
      <c r="M248" s="301"/>
      <c r="N248" s="39"/>
    </row>
    <row r="249" spans="3:14" s="33" customFormat="1" x14ac:dyDescent="0.2">
      <c r="C249" s="270"/>
      <c r="H249" s="270"/>
      <c r="I249" s="270"/>
      <c r="M249" s="301"/>
      <c r="N249" s="39"/>
    </row>
    <row r="250" spans="3:14" s="33" customFormat="1" x14ac:dyDescent="0.2">
      <c r="C250" s="270"/>
      <c r="H250" s="270"/>
      <c r="I250" s="270"/>
      <c r="M250" s="301"/>
      <c r="N250" s="39"/>
    </row>
    <row r="251" spans="3:14" s="33" customFormat="1" x14ac:dyDescent="0.2">
      <c r="C251" s="270"/>
      <c r="H251" s="270"/>
      <c r="I251" s="270"/>
      <c r="M251" s="301"/>
      <c r="N251" s="39"/>
    </row>
    <row r="252" spans="3:14" s="33" customFormat="1" x14ac:dyDescent="0.2">
      <c r="C252" s="270"/>
      <c r="H252" s="270"/>
      <c r="I252" s="270"/>
      <c r="M252" s="301"/>
      <c r="N252" s="39"/>
    </row>
    <row r="253" spans="3:14" s="33" customFormat="1" x14ac:dyDescent="0.2">
      <c r="C253" s="270"/>
      <c r="H253" s="270"/>
      <c r="I253" s="270"/>
      <c r="M253" s="301"/>
      <c r="N253" s="39"/>
    </row>
    <row r="254" spans="3:14" s="33" customFormat="1" x14ac:dyDescent="0.2">
      <c r="C254" s="270"/>
      <c r="H254" s="270"/>
      <c r="I254" s="270"/>
      <c r="M254" s="301"/>
      <c r="N254" s="39"/>
    </row>
    <row r="255" spans="3:14" s="33" customFormat="1" x14ac:dyDescent="0.2">
      <c r="C255" s="270"/>
      <c r="H255" s="270"/>
      <c r="I255" s="270"/>
      <c r="M255" s="301"/>
      <c r="N255" s="39"/>
    </row>
    <row r="256" spans="3:14" s="33" customFormat="1" x14ac:dyDescent="0.2">
      <c r="C256" s="270"/>
      <c r="H256" s="270"/>
      <c r="I256" s="270"/>
      <c r="M256" s="301"/>
      <c r="N256" s="39"/>
    </row>
    <row r="257" spans="3:14" s="33" customFormat="1" x14ac:dyDescent="0.2">
      <c r="C257" s="270"/>
      <c r="H257" s="270"/>
      <c r="I257" s="270"/>
      <c r="M257" s="301"/>
      <c r="N257" s="39"/>
    </row>
    <row r="258" spans="3:14" s="33" customFormat="1" x14ac:dyDescent="0.2">
      <c r="C258" s="270"/>
      <c r="H258" s="270"/>
      <c r="I258" s="270"/>
      <c r="M258" s="301"/>
      <c r="N258" s="39"/>
    </row>
    <row r="259" spans="3:14" s="33" customFormat="1" x14ac:dyDescent="0.2">
      <c r="C259" s="270"/>
      <c r="H259" s="270"/>
      <c r="I259" s="270"/>
      <c r="M259" s="301"/>
      <c r="N259" s="39"/>
    </row>
    <row r="260" spans="3:14" s="33" customFormat="1" x14ac:dyDescent="0.2">
      <c r="C260" s="270"/>
      <c r="H260" s="270"/>
      <c r="I260" s="270"/>
      <c r="M260" s="301"/>
      <c r="N260" s="39"/>
    </row>
    <row r="261" spans="3:14" s="33" customFormat="1" x14ac:dyDescent="0.2">
      <c r="C261" s="270"/>
      <c r="H261" s="270"/>
      <c r="I261" s="270"/>
      <c r="M261" s="301"/>
      <c r="N261" s="39"/>
    </row>
    <row r="262" spans="3:14" s="33" customFormat="1" x14ac:dyDescent="0.2">
      <c r="C262" s="270"/>
      <c r="H262" s="270"/>
      <c r="I262" s="270"/>
      <c r="M262" s="301"/>
      <c r="N262" s="39"/>
    </row>
    <row r="263" spans="3:14" s="33" customFormat="1" x14ac:dyDescent="0.2">
      <c r="C263" s="270"/>
      <c r="H263" s="270"/>
      <c r="I263" s="270"/>
      <c r="M263" s="301"/>
      <c r="N263" s="39"/>
    </row>
    <row r="264" spans="3:14" s="33" customFormat="1" x14ac:dyDescent="0.2">
      <c r="C264" s="270"/>
      <c r="H264" s="270"/>
      <c r="I264" s="270"/>
      <c r="M264" s="301"/>
      <c r="N264" s="39"/>
    </row>
    <row r="265" spans="3:14" s="33" customFormat="1" x14ac:dyDescent="0.2">
      <c r="C265" s="270"/>
      <c r="H265" s="270"/>
      <c r="I265" s="270"/>
      <c r="M265" s="301"/>
      <c r="N265" s="39"/>
    </row>
    <row r="266" spans="3:14" s="33" customFormat="1" x14ac:dyDescent="0.2">
      <c r="C266" s="270"/>
      <c r="H266" s="270"/>
      <c r="I266" s="270"/>
      <c r="M266" s="301"/>
      <c r="N266" s="39"/>
    </row>
    <row r="267" spans="3:14" s="33" customFormat="1" x14ac:dyDescent="0.2">
      <c r="C267" s="270"/>
      <c r="H267" s="270"/>
      <c r="I267" s="270"/>
      <c r="M267" s="301"/>
      <c r="N267" s="39"/>
    </row>
    <row r="268" spans="3:14" s="33" customFormat="1" x14ac:dyDescent="0.2">
      <c r="C268" s="270"/>
      <c r="H268" s="270"/>
      <c r="I268" s="270"/>
      <c r="M268" s="301"/>
      <c r="N268" s="39"/>
    </row>
    <row r="269" spans="3:14" s="33" customFormat="1" x14ac:dyDescent="0.2">
      <c r="C269" s="270"/>
      <c r="H269" s="270"/>
      <c r="I269" s="270"/>
      <c r="M269" s="301"/>
      <c r="N269" s="39"/>
    </row>
    <row r="270" spans="3:14" s="33" customFormat="1" x14ac:dyDescent="0.2">
      <c r="C270" s="270"/>
      <c r="H270" s="270"/>
      <c r="I270" s="270"/>
      <c r="M270" s="301"/>
      <c r="N270" s="39"/>
    </row>
    <row r="271" spans="3:14" s="33" customFormat="1" x14ac:dyDescent="0.2">
      <c r="C271" s="270"/>
      <c r="H271" s="270"/>
      <c r="I271" s="270"/>
      <c r="M271" s="301"/>
      <c r="N271" s="39"/>
    </row>
    <row r="272" spans="3:14" s="33" customFormat="1" x14ac:dyDescent="0.2">
      <c r="C272" s="270"/>
      <c r="H272" s="270"/>
      <c r="I272" s="270"/>
      <c r="M272" s="301"/>
      <c r="N272" s="39"/>
    </row>
    <row r="273" spans="3:14" s="33" customFormat="1" x14ac:dyDescent="0.2">
      <c r="C273" s="270"/>
      <c r="H273" s="270"/>
      <c r="I273" s="270"/>
      <c r="M273" s="301"/>
      <c r="N273" s="39"/>
    </row>
    <row r="274" spans="3:14" s="33" customFormat="1" x14ac:dyDescent="0.2">
      <c r="C274" s="270"/>
      <c r="H274" s="270"/>
      <c r="I274" s="270"/>
      <c r="M274" s="301"/>
      <c r="N274" s="39"/>
    </row>
    <row r="275" spans="3:14" s="33" customFormat="1" x14ac:dyDescent="0.2">
      <c r="C275" s="270"/>
      <c r="H275" s="270"/>
      <c r="I275" s="270"/>
      <c r="M275" s="301"/>
      <c r="N275" s="39"/>
    </row>
    <row r="276" spans="3:14" s="33" customFormat="1" x14ac:dyDescent="0.2">
      <c r="C276" s="270"/>
      <c r="H276" s="270"/>
      <c r="I276" s="270"/>
      <c r="M276" s="301"/>
      <c r="N276" s="39"/>
    </row>
    <row r="277" spans="3:14" s="33" customFormat="1" x14ac:dyDescent="0.2">
      <c r="C277" s="270"/>
      <c r="H277" s="270"/>
      <c r="I277" s="270"/>
      <c r="M277" s="301"/>
      <c r="N277" s="39"/>
    </row>
    <row r="278" spans="3:14" s="33" customFormat="1" x14ac:dyDescent="0.2">
      <c r="C278" s="270"/>
      <c r="H278" s="270"/>
      <c r="I278" s="270"/>
      <c r="M278" s="301"/>
      <c r="N278" s="39"/>
    </row>
    <row r="279" spans="3:14" s="33" customFormat="1" x14ac:dyDescent="0.2">
      <c r="C279" s="270"/>
      <c r="H279" s="270"/>
      <c r="I279" s="270"/>
      <c r="M279" s="301"/>
      <c r="N279" s="39"/>
    </row>
    <row r="280" spans="3:14" s="33" customFormat="1" x14ac:dyDescent="0.2">
      <c r="C280" s="270"/>
      <c r="H280" s="270"/>
      <c r="I280" s="270"/>
      <c r="M280" s="301"/>
      <c r="N280" s="39"/>
    </row>
    <row r="281" spans="3:14" s="33" customFormat="1" x14ac:dyDescent="0.2">
      <c r="C281" s="270"/>
      <c r="H281" s="270"/>
      <c r="I281" s="270"/>
      <c r="M281" s="301"/>
      <c r="N281" s="39"/>
    </row>
    <row r="282" spans="3:14" s="33" customFormat="1" x14ac:dyDescent="0.2">
      <c r="C282" s="270"/>
      <c r="H282" s="270"/>
      <c r="I282" s="270"/>
      <c r="M282" s="301"/>
      <c r="N282" s="39"/>
    </row>
    <row r="283" spans="3:14" s="33" customFormat="1" x14ac:dyDescent="0.2">
      <c r="C283" s="270"/>
      <c r="H283" s="270"/>
      <c r="I283" s="270"/>
      <c r="M283" s="301"/>
      <c r="N283" s="39"/>
    </row>
    <row r="284" spans="3:14" s="33" customFormat="1" x14ac:dyDescent="0.2">
      <c r="C284" s="270"/>
      <c r="H284" s="270"/>
      <c r="I284" s="270"/>
      <c r="M284" s="301"/>
      <c r="N284" s="39"/>
    </row>
    <row r="285" spans="3:14" s="33" customFormat="1" x14ac:dyDescent="0.2">
      <c r="C285" s="270"/>
      <c r="H285" s="270"/>
      <c r="I285" s="270"/>
      <c r="M285" s="301"/>
      <c r="N285" s="39"/>
    </row>
    <row r="286" spans="3:14" s="33" customFormat="1" x14ac:dyDescent="0.2">
      <c r="C286" s="270"/>
      <c r="H286" s="270"/>
      <c r="I286" s="270"/>
      <c r="M286" s="301"/>
      <c r="N286" s="39"/>
    </row>
    <row r="287" spans="3:14" s="33" customFormat="1" x14ac:dyDescent="0.2">
      <c r="C287" s="270"/>
      <c r="H287" s="270"/>
      <c r="I287" s="270"/>
      <c r="M287" s="301"/>
      <c r="N287" s="39"/>
    </row>
    <row r="288" spans="3:14" s="33" customFormat="1" x14ac:dyDescent="0.2">
      <c r="C288" s="270"/>
      <c r="H288" s="270"/>
      <c r="I288" s="270"/>
      <c r="M288" s="301"/>
      <c r="N288" s="39"/>
    </row>
    <row r="289" spans="3:14" s="33" customFormat="1" x14ac:dyDescent="0.2">
      <c r="C289" s="270"/>
      <c r="H289" s="270"/>
      <c r="I289" s="270"/>
      <c r="M289" s="301"/>
      <c r="N289" s="39"/>
    </row>
    <row r="290" spans="3:14" s="33" customFormat="1" x14ac:dyDescent="0.2">
      <c r="C290" s="270"/>
      <c r="H290" s="270"/>
      <c r="I290" s="270"/>
      <c r="M290" s="301"/>
      <c r="N290" s="39"/>
    </row>
    <row r="291" spans="3:14" s="33" customFormat="1" x14ac:dyDescent="0.2">
      <c r="C291" s="270"/>
      <c r="H291" s="270"/>
      <c r="I291" s="270"/>
      <c r="M291" s="301"/>
      <c r="N291" s="39"/>
    </row>
    <row r="292" spans="3:14" s="33" customFormat="1" x14ac:dyDescent="0.2">
      <c r="C292" s="270"/>
      <c r="H292" s="270"/>
      <c r="I292" s="270"/>
      <c r="M292" s="301"/>
      <c r="N292" s="39"/>
    </row>
    <row r="293" spans="3:14" s="33" customFormat="1" x14ac:dyDescent="0.2">
      <c r="C293" s="270"/>
      <c r="H293" s="270"/>
      <c r="I293" s="270"/>
      <c r="M293" s="301"/>
      <c r="N293" s="39"/>
    </row>
    <row r="294" spans="3:14" s="33" customFormat="1" x14ac:dyDescent="0.2">
      <c r="C294" s="270"/>
      <c r="H294" s="270"/>
      <c r="I294" s="270"/>
      <c r="M294" s="301"/>
      <c r="N294" s="39"/>
    </row>
    <row r="295" spans="3:14" s="33" customFormat="1" x14ac:dyDescent="0.2">
      <c r="C295" s="270"/>
      <c r="H295" s="270"/>
      <c r="I295" s="270"/>
      <c r="M295" s="301"/>
      <c r="N295" s="39"/>
    </row>
    <row r="296" spans="3:14" s="33" customFormat="1" x14ac:dyDescent="0.2">
      <c r="C296" s="270"/>
      <c r="H296" s="270"/>
      <c r="I296" s="270"/>
      <c r="M296" s="301"/>
      <c r="N296" s="39"/>
    </row>
    <row r="297" spans="3:14" s="33" customFormat="1" x14ac:dyDescent="0.2">
      <c r="C297" s="270"/>
      <c r="H297" s="270"/>
      <c r="I297" s="270"/>
      <c r="M297" s="301"/>
      <c r="N297" s="39"/>
    </row>
    <row r="298" spans="3:14" s="33" customFormat="1" x14ac:dyDescent="0.2">
      <c r="C298" s="270"/>
      <c r="H298" s="270"/>
      <c r="I298" s="270"/>
      <c r="M298" s="301"/>
      <c r="N298" s="39"/>
    </row>
    <row r="299" spans="3:14" s="33" customFormat="1" x14ac:dyDescent="0.2">
      <c r="C299" s="270"/>
      <c r="H299" s="270"/>
      <c r="I299" s="270"/>
      <c r="M299" s="301"/>
      <c r="N299" s="39"/>
    </row>
    <row r="300" spans="3:14" s="33" customFormat="1" x14ac:dyDescent="0.2">
      <c r="C300" s="270"/>
      <c r="H300" s="270"/>
      <c r="I300" s="270"/>
      <c r="M300" s="301"/>
      <c r="N300" s="39"/>
    </row>
    <row r="301" spans="3:14" s="33" customFormat="1" x14ac:dyDescent="0.2">
      <c r="C301" s="270"/>
      <c r="H301" s="270"/>
      <c r="I301" s="270"/>
      <c r="M301" s="301"/>
      <c r="N301" s="39"/>
    </row>
    <row r="302" spans="3:14" s="33" customFormat="1" x14ac:dyDescent="0.2">
      <c r="C302" s="270"/>
      <c r="H302" s="270"/>
      <c r="I302" s="270"/>
      <c r="M302" s="301"/>
      <c r="N302" s="39"/>
    </row>
    <row r="303" spans="3:14" s="33" customFormat="1" x14ac:dyDescent="0.2">
      <c r="C303" s="270"/>
      <c r="H303" s="270"/>
      <c r="I303" s="270"/>
      <c r="M303" s="301"/>
      <c r="N303" s="39"/>
    </row>
    <row r="304" spans="3:14" s="33" customFormat="1" x14ac:dyDescent="0.2">
      <c r="C304" s="270"/>
      <c r="H304" s="270"/>
      <c r="I304" s="270"/>
      <c r="M304" s="301"/>
      <c r="N304" s="39"/>
    </row>
    <row r="305" spans="3:14" s="33" customFormat="1" x14ac:dyDescent="0.2">
      <c r="C305" s="270"/>
      <c r="H305" s="270"/>
      <c r="I305" s="270"/>
      <c r="M305" s="301"/>
      <c r="N305" s="39"/>
    </row>
    <row r="306" spans="3:14" s="33" customFormat="1" x14ac:dyDescent="0.2">
      <c r="C306" s="270"/>
      <c r="H306" s="270"/>
      <c r="I306" s="270"/>
      <c r="M306" s="301"/>
      <c r="N306" s="39"/>
    </row>
    <row r="307" spans="3:14" s="33" customFormat="1" x14ac:dyDescent="0.2">
      <c r="C307" s="270"/>
      <c r="H307" s="270"/>
      <c r="I307" s="270"/>
      <c r="M307" s="301"/>
      <c r="N307" s="39"/>
    </row>
    <row r="308" spans="3:14" s="33" customFormat="1" x14ac:dyDescent="0.2">
      <c r="C308" s="270"/>
      <c r="H308" s="270"/>
      <c r="I308" s="270"/>
      <c r="M308" s="301"/>
      <c r="N308" s="39"/>
    </row>
    <row r="309" spans="3:14" s="33" customFormat="1" x14ac:dyDescent="0.2">
      <c r="C309" s="270"/>
      <c r="H309" s="270"/>
      <c r="I309" s="270"/>
      <c r="M309" s="301"/>
      <c r="N309" s="39"/>
    </row>
    <row r="310" spans="3:14" s="33" customFormat="1" x14ac:dyDescent="0.2">
      <c r="C310" s="270"/>
      <c r="H310" s="270"/>
      <c r="I310" s="270"/>
      <c r="M310" s="301"/>
      <c r="N310" s="39"/>
    </row>
    <row r="311" spans="3:14" s="33" customFormat="1" x14ac:dyDescent="0.2">
      <c r="C311" s="270"/>
      <c r="H311" s="270"/>
      <c r="I311" s="270"/>
      <c r="M311" s="301"/>
      <c r="N311" s="39"/>
    </row>
    <row r="312" spans="3:14" s="33" customFormat="1" x14ac:dyDescent="0.2">
      <c r="C312" s="270"/>
      <c r="H312" s="270"/>
      <c r="I312" s="270"/>
      <c r="M312" s="301"/>
      <c r="N312" s="39"/>
    </row>
    <row r="313" spans="3:14" s="33" customFormat="1" x14ac:dyDescent="0.2">
      <c r="C313" s="270"/>
      <c r="H313" s="270"/>
      <c r="I313" s="270"/>
      <c r="M313" s="301"/>
      <c r="N313" s="39"/>
    </row>
    <row r="314" spans="3:14" s="33" customFormat="1" x14ac:dyDescent="0.2">
      <c r="C314" s="270"/>
      <c r="H314" s="270"/>
      <c r="I314" s="270"/>
      <c r="M314" s="301"/>
      <c r="N314" s="39"/>
    </row>
    <row r="315" spans="3:14" s="33" customFormat="1" x14ac:dyDescent="0.2">
      <c r="C315" s="270"/>
      <c r="H315" s="270"/>
      <c r="I315" s="270"/>
      <c r="M315" s="301"/>
      <c r="N315" s="39"/>
    </row>
    <row r="316" spans="3:14" s="33" customFormat="1" x14ac:dyDescent="0.2">
      <c r="C316" s="270"/>
      <c r="H316" s="270"/>
      <c r="I316" s="270"/>
      <c r="M316" s="301"/>
      <c r="N316" s="39"/>
    </row>
    <row r="317" spans="3:14" s="33" customFormat="1" x14ac:dyDescent="0.2">
      <c r="C317" s="270"/>
      <c r="H317" s="270"/>
      <c r="I317" s="270"/>
      <c r="M317" s="301"/>
      <c r="N317" s="39"/>
    </row>
    <row r="318" spans="3:14" s="33" customFormat="1" x14ac:dyDescent="0.2">
      <c r="C318" s="270"/>
      <c r="H318" s="270"/>
      <c r="I318" s="270"/>
      <c r="M318" s="301"/>
      <c r="N318" s="39"/>
    </row>
    <row r="319" spans="3:14" s="33" customFormat="1" x14ac:dyDescent="0.2">
      <c r="C319" s="270"/>
      <c r="H319" s="270"/>
      <c r="I319" s="270"/>
      <c r="M319" s="301"/>
      <c r="N319" s="39"/>
    </row>
    <row r="320" spans="3:14" s="33" customFormat="1" x14ac:dyDescent="0.2">
      <c r="C320" s="270"/>
      <c r="H320" s="270"/>
      <c r="I320" s="270"/>
      <c r="M320" s="301"/>
      <c r="N320" s="39"/>
    </row>
    <row r="321" spans="3:14" s="33" customFormat="1" x14ac:dyDescent="0.2">
      <c r="C321" s="270"/>
      <c r="H321" s="270"/>
      <c r="I321" s="270"/>
      <c r="M321" s="301"/>
      <c r="N321" s="39"/>
    </row>
    <row r="322" spans="3:14" s="33" customFormat="1" x14ac:dyDescent="0.2">
      <c r="C322" s="270"/>
      <c r="H322" s="270"/>
      <c r="I322" s="270"/>
      <c r="M322" s="301"/>
      <c r="N322" s="39"/>
    </row>
    <row r="323" spans="3:14" s="33" customFormat="1" x14ac:dyDescent="0.2">
      <c r="C323" s="270"/>
      <c r="H323" s="270"/>
      <c r="I323" s="270"/>
      <c r="M323" s="301"/>
      <c r="N323" s="39"/>
    </row>
    <row r="324" spans="3:14" s="33" customFormat="1" x14ac:dyDescent="0.2">
      <c r="C324" s="270"/>
      <c r="H324" s="270"/>
      <c r="I324" s="270"/>
      <c r="M324" s="301"/>
      <c r="N324" s="39"/>
    </row>
    <row r="325" spans="3:14" s="33" customFormat="1" x14ac:dyDescent="0.2">
      <c r="C325" s="270"/>
      <c r="H325" s="270"/>
      <c r="I325" s="270"/>
      <c r="M325" s="301"/>
      <c r="N325" s="39"/>
    </row>
    <row r="326" spans="3:14" s="33" customFormat="1" x14ac:dyDescent="0.2">
      <c r="C326" s="270"/>
      <c r="H326" s="270"/>
      <c r="I326" s="270"/>
      <c r="M326" s="301"/>
      <c r="N326" s="39"/>
    </row>
    <row r="327" spans="3:14" s="33" customFormat="1" x14ac:dyDescent="0.2">
      <c r="C327" s="270"/>
      <c r="H327" s="270"/>
      <c r="I327" s="270"/>
      <c r="M327" s="301"/>
      <c r="N327" s="39"/>
    </row>
    <row r="328" spans="3:14" s="33" customFormat="1" x14ac:dyDescent="0.2">
      <c r="C328" s="270"/>
      <c r="H328" s="270"/>
      <c r="I328" s="270"/>
      <c r="M328" s="301"/>
      <c r="N328" s="39"/>
    </row>
    <row r="329" spans="3:14" s="33" customFormat="1" x14ac:dyDescent="0.2">
      <c r="C329" s="270"/>
      <c r="H329" s="270"/>
      <c r="I329" s="270"/>
      <c r="M329" s="301"/>
      <c r="N329" s="39"/>
    </row>
    <row r="330" spans="3:14" s="33" customFormat="1" x14ac:dyDescent="0.2">
      <c r="C330" s="270"/>
      <c r="H330" s="270"/>
      <c r="I330" s="270"/>
      <c r="M330" s="301"/>
      <c r="N330" s="39"/>
    </row>
    <row r="331" spans="3:14" s="33" customFormat="1" x14ac:dyDescent="0.2">
      <c r="C331" s="270"/>
      <c r="H331" s="270"/>
      <c r="I331" s="270"/>
      <c r="M331" s="301"/>
      <c r="N331" s="39"/>
    </row>
    <row r="332" spans="3:14" s="33" customFormat="1" x14ac:dyDescent="0.2">
      <c r="C332" s="270"/>
      <c r="H332" s="270"/>
      <c r="I332" s="270"/>
      <c r="M332" s="301"/>
      <c r="N332" s="39"/>
    </row>
    <row r="333" spans="3:14" s="33" customFormat="1" x14ac:dyDescent="0.2">
      <c r="C333" s="270"/>
      <c r="H333" s="270"/>
      <c r="I333" s="270"/>
      <c r="M333" s="301"/>
      <c r="N333" s="39"/>
    </row>
    <row r="334" spans="3:14" s="33" customFormat="1" x14ac:dyDescent="0.2">
      <c r="C334" s="270"/>
      <c r="H334" s="270"/>
      <c r="I334" s="270"/>
      <c r="M334" s="301"/>
      <c r="N334" s="39"/>
    </row>
    <row r="335" spans="3:14" s="33" customFormat="1" x14ac:dyDescent="0.2">
      <c r="C335" s="270"/>
      <c r="H335" s="270"/>
      <c r="I335" s="270"/>
      <c r="M335" s="301"/>
      <c r="N335" s="39"/>
    </row>
    <row r="336" spans="3:14" s="33" customFormat="1" x14ac:dyDescent="0.2">
      <c r="C336" s="270"/>
      <c r="H336" s="270"/>
      <c r="I336" s="270"/>
      <c r="M336" s="301"/>
      <c r="N336" s="39"/>
    </row>
    <row r="337" spans="3:14" s="33" customFormat="1" x14ac:dyDescent="0.2">
      <c r="C337" s="270"/>
      <c r="H337" s="270"/>
      <c r="I337" s="270"/>
      <c r="M337" s="301"/>
      <c r="N337" s="39"/>
    </row>
    <row r="338" spans="3:14" s="33" customFormat="1" x14ac:dyDescent="0.2">
      <c r="C338" s="270"/>
      <c r="H338" s="270"/>
      <c r="I338" s="270"/>
      <c r="M338" s="301"/>
      <c r="N338" s="39"/>
    </row>
    <row r="339" spans="3:14" s="33" customFormat="1" x14ac:dyDescent="0.2">
      <c r="C339" s="270"/>
      <c r="H339" s="270"/>
      <c r="I339" s="270"/>
      <c r="M339" s="301"/>
      <c r="N339" s="39"/>
    </row>
    <row r="340" spans="3:14" s="33" customFormat="1" x14ac:dyDescent="0.2">
      <c r="C340" s="270"/>
      <c r="H340" s="270"/>
      <c r="I340" s="270"/>
      <c r="M340" s="301"/>
      <c r="N340" s="39"/>
    </row>
    <row r="341" spans="3:14" s="33" customFormat="1" x14ac:dyDescent="0.2">
      <c r="C341" s="270"/>
      <c r="H341" s="270"/>
      <c r="I341" s="270"/>
      <c r="M341" s="301"/>
      <c r="N341" s="39"/>
    </row>
    <row r="342" spans="3:14" s="33" customFormat="1" x14ac:dyDescent="0.2">
      <c r="C342" s="270"/>
      <c r="H342" s="270"/>
      <c r="I342" s="270"/>
      <c r="M342" s="301"/>
      <c r="N342" s="39"/>
    </row>
    <row r="343" spans="3:14" s="33" customFormat="1" x14ac:dyDescent="0.2">
      <c r="C343" s="270"/>
      <c r="H343" s="270"/>
      <c r="I343" s="270"/>
      <c r="M343" s="301"/>
      <c r="N343" s="39"/>
    </row>
    <row r="344" spans="3:14" s="33" customFormat="1" x14ac:dyDescent="0.2">
      <c r="C344" s="270"/>
      <c r="H344" s="270"/>
      <c r="I344" s="270"/>
      <c r="M344" s="301"/>
      <c r="N344" s="39"/>
    </row>
    <row r="345" spans="3:14" s="33" customFormat="1" x14ac:dyDescent="0.2">
      <c r="C345" s="270"/>
      <c r="H345" s="270"/>
      <c r="I345" s="270"/>
      <c r="M345" s="301"/>
      <c r="N345" s="39"/>
    </row>
    <row r="346" spans="3:14" s="120" customFormat="1" x14ac:dyDescent="0.2">
      <c r="C346" s="129"/>
      <c r="H346" s="129"/>
      <c r="I346" s="129"/>
      <c r="M346" s="341"/>
      <c r="N346" s="342"/>
    </row>
    <row r="347" spans="3:14" s="120" customFormat="1" x14ac:dyDescent="0.2">
      <c r="C347" s="129"/>
      <c r="H347" s="129"/>
      <c r="I347" s="129"/>
      <c r="M347" s="341"/>
      <c r="N347" s="342"/>
    </row>
    <row r="348" spans="3:14" s="120" customFormat="1" x14ac:dyDescent="0.2">
      <c r="C348" s="129"/>
      <c r="H348" s="129"/>
      <c r="I348" s="129"/>
      <c r="M348" s="341"/>
      <c r="N348" s="342"/>
    </row>
    <row r="349" spans="3:14" s="120" customFormat="1" x14ac:dyDescent="0.2">
      <c r="C349" s="129"/>
      <c r="H349" s="129"/>
      <c r="I349" s="129"/>
      <c r="M349" s="341"/>
      <c r="N349" s="342"/>
    </row>
    <row r="350" spans="3:14" s="120" customFormat="1" x14ac:dyDescent="0.2">
      <c r="C350" s="129"/>
      <c r="H350" s="129"/>
      <c r="I350" s="129"/>
      <c r="M350" s="341"/>
      <c r="N350" s="342"/>
    </row>
    <row r="351" spans="3:14" s="120" customFormat="1" x14ac:dyDescent="0.2">
      <c r="C351" s="129"/>
      <c r="H351" s="129"/>
      <c r="I351" s="129"/>
      <c r="M351" s="341"/>
      <c r="N351" s="342"/>
    </row>
    <row r="352" spans="3:14" s="120" customFormat="1" x14ac:dyDescent="0.2">
      <c r="C352" s="129"/>
      <c r="H352" s="129"/>
      <c r="I352" s="129"/>
      <c r="M352" s="341"/>
      <c r="N352" s="342"/>
    </row>
    <row r="353" spans="3:14" s="120" customFormat="1" x14ac:dyDescent="0.2">
      <c r="C353" s="129"/>
      <c r="H353" s="129"/>
      <c r="I353" s="129"/>
      <c r="M353" s="341"/>
      <c r="N353" s="342"/>
    </row>
    <row r="354" spans="3:14" s="120" customFormat="1" x14ac:dyDescent="0.2">
      <c r="C354" s="129"/>
      <c r="H354" s="129"/>
      <c r="I354" s="129"/>
      <c r="M354" s="341"/>
      <c r="N354" s="342"/>
    </row>
    <row r="355" spans="3:14" s="120" customFormat="1" x14ac:dyDescent="0.2">
      <c r="C355" s="129"/>
      <c r="H355" s="129"/>
      <c r="I355" s="129"/>
      <c r="M355" s="341"/>
      <c r="N355" s="342"/>
    </row>
    <row r="356" spans="3:14" s="120" customFormat="1" x14ac:dyDescent="0.2">
      <c r="C356" s="129"/>
      <c r="H356" s="129"/>
      <c r="I356" s="129"/>
      <c r="M356" s="341"/>
      <c r="N356" s="342"/>
    </row>
    <row r="357" spans="3:14" s="120" customFormat="1" x14ac:dyDescent="0.2">
      <c r="C357" s="129"/>
      <c r="H357" s="129"/>
      <c r="I357" s="129"/>
      <c r="M357" s="341"/>
      <c r="N357" s="342"/>
    </row>
    <row r="358" spans="3:14" s="120" customFormat="1" x14ac:dyDescent="0.2">
      <c r="C358" s="129"/>
      <c r="H358" s="129"/>
      <c r="I358" s="129"/>
      <c r="M358" s="341"/>
      <c r="N358" s="342"/>
    </row>
    <row r="359" spans="3:14" s="120" customFormat="1" x14ac:dyDescent="0.2">
      <c r="C359" s="129"/>
      <c r="H359" s="129"/>
      <c r="I359" s="129"/>
      <c r="M359" s="341"/>
      <c r="N359" s="342"/>
    </row>
    <row r="360" spans="3:14" s="120" customFormat="1" x14ac:dyDescent="0.2">
      <c r="C360" s="129"/>
      <c r="H360" s="129"/>
      <c r="I360" s="129"/>
      <c r="M360" s="341"/>
      <c r="N360" s="342"/>
    </row>
    <row r="361" spans="3:14" s="120" customFormat="1" x14ac:dyDescent="0.2">
      <c r="C361" s="129"/>
      <c r="H361" s="129"/>
      <c r="I361" s="129"/>
      <c r="M361" s="341"/>
      <c r="N361" s="342"/>
    </row>
    <row r="362" spans="3:14" s="120" customFormat="1" x14ac:dyDescent="0.2">
      <c r="C362" s="129"/>
      <c r="H362" s="129"/>
      <c r="I362" s="129"/>
      <c r="M362" s="341"/>
      <c r="N362" s="342"/>
    </row>
    <row r="363" spans="3:14" s="120" customFormat="1" x14ac:dyDescent="0.2">
      <c r="C363" s="129"/>
      <c r="H363" s="129"/>
      <c r="I363" s="129"/>
      <c r="M363" s="341"/>
      <c r="N363" s="342"/>
    </row>
    <row r="364" spans="3:14" s="120" customFormat="1" x14ac:dyDescent="0.2">
      <c r="C364" s="129"/>
      <c r="H364" s="129"/>
      <c r="I364" s="129"/>
      <c r="M364" s="341"/>
      <c r="N364" s="342"/>
    </row>
    <row r="365" spans="3:14" s="120" customFormat="1" x14ac:dyDescent="0.2">
      <c r="C365" s="129"/>
      <c r="H365" s="129"/>
      <c r="I365" s="129"/>
      <c r="M365" s="341"/>
      <c r="N365" s="342"/>
    </row>
    <row r="366" spans="3:14" s="120" customFormat="1" x14ac:dyDescent="0.2">
      <c r="C366" s="129"/>
      <c r="H366" s="129"/>
      <c r="I366" s="129"/>
      <c r="M366" s="341"/>
      <c r="N366" s="342"/>
    </row>
    <row r="367" spans="3:14" s="120" customFormat="1" x14ac:dyDescent="0.2">
      <c r="C367" s="129"/>
      <c r="H367" s="129"/>
      <c r="I367" s="129"/>
      <c r="M367" s="341"/>
      <c r="N367" s="342"/>
    </row>
    <row r="368" spans="3:14" s="120" customFormat="1" x14ac:dyDescent="0.2">
      <c r="C368" s="129"/>
      <c r="H368" s="129"/>
      <c r="I368" s="129"/>
      <c r="M368" s="341"/>
      <c r="N368" s="342"/>
    </row>
    <row r="369" spans="3:14" s="120" customFormat="1" x14ac:dyDescent="0.2">
      <c r="C369" s="129"/>
      <c r="H369" s="129"/>
      <c r="I369" s="129"/>
      <c r="M369" s="341"/>
      <c r="N369" s="342"/>
    </row>
    <row r="370" spans="3:14" s="120" customFormat="1" x14ac:dyDescent="0.2">
      <c r="C370" s="129"/>
      <c r="H370" s="129"/>
      <c r="I370" s="129"/>
      <c r="M370" s="341"/>
      <c r="N370" s="342"/>
    </row>
    <row r="371" spans="3:14" s="120" customFormat="1" x14ac:dyDescent="0.2">
      <c r="C371" s="129"/>
      <c r="H371" s="129"/>
      <c r="I371" s="129"/>
      <c r="M371" s="341"/>
      <c r="N371" s="342"/>
    </row>
    <row r="372" spans="3:14" s="120" customFormat="1" x14ac:dyDescent="0.2">
      <c r="C372" s="129"/>
      <c r="H372" s="129"/>
      <c r="I372" s="129"/>
      <c r="M372" s="341"/>
      <c r="N372" s="342"/>
    </row>
    <row r="373" spans="3:14" s="120" customFormat="1" x14ac:dyDescent="0.2">
      <c r="C373" s="129"/>
      <c r="H373" s="129"/>
      <c r="I373" s="129"/>
      <c r="M373" s="341"/>
      <c r="N373" s="342"/>
    </row>
    <row r="374" spans="3:14" s="120" customFormat="1" x14ac:dyDescent="0.2">
      <c r="C374" s="129"/>
      <c r="H374" s="129"/>
      <c r="I374" s="129"/>
      <c r="M374" s="341"/>
      <c r="N374" s="342"/>
    </row>
    <row r="375" spans="3:14" s="120" customFormat="1" x14ac:dyDescent="0.2">
      <c r="C375" s="129"/>
      <c r="H375" s="129"/>
      <c r="I375" s="129"/>
      <c r="M375" s="341"/>
      <c r="N375" s="342"/>
    </row>
    <row r="376" spans="3:14" s="120" customFormat="1" x14ac:dyDescent="0.2">
      <c r="C376" s="129"/>
      <c r="H376" s="129"/>
      <c r="I376" s="129"/>
      <c r="M376" s="341"/>
      <c r="N376" s="342"/>
    </row>
    <row r="377" spans="3:14" s="120" customFormat="1" x14ac:dyDescent="0.2">
      <c r="C377" s="129"/>
      <c r="H377" s="129"/>
      <c r="I377" s="129"/>
      <c r="M377" s="341"/>
      <c r="N377" s="342"/>
    </row>
    <row r="378" spans="3:14" s="120" customFormat="1" x14ac:dyDescent="0.2">
      <c r="C378" s="129"/>
      <c r="H378" s="129"/>
      <c r="I378" s="129"/>
      <c r="M378" s="341"/>
      <c r="N378" s="342"/>
    </row>
    <row r="379" spans="3:14" s="120" customFormat="1" x14ac:dyDescent="0.2">
      <c r="C379" s="129"/>
      <c r="H379" s="129"/>
      <c r="I379" s="129"/>
      <c r="M379" s="341"/>
      <c r="N379" s="342"/>
    </row>
    <row r="380" spans="3:14" s="120" customFormat="1" x14ac:dyDescent="0.2">
      <c r="C380" s="129"/>
      <c r="H380" s="129"/>
      <c r="I380" s="129"/>
      <c r="M380" s="341"/>
      <c r="N380" s="342"/>
    </row>
    <row r="381" spans="3:14" s="120" customFormat="1" x14ac:dyDescent="0.2">
      <c r="C381" s="129"/>
      <c r="H381" s="129"/>
      <c r="I381" s="129"/>
      <c r="M381" s="341"/>
      <c r="N381" s="342"/>
    </row>
    <row r="382" spans="3:14" s="120" customFormat="1" x14ac:dyDescent="0.2">
      <c r="C382" s="129"/>
      <c r="H382" s="129"/>
      <c r="I382" s="129"/>
      <c r="M382" s="341"/>
      <c r="N382" s="342"/>
    </row>
    <row r="383" spans="3:14" s="120" customFormat="1" x14ac:dyDescent="0.2">
      <c r="C383" s="129"/>
      <c r="H383" s="129"/>
      <c r="I383" s="129"/>
      <c r="M383" s="341"/>
      <c r="N383" s="342"/>
    </row>
    <row r="384" spans="3:14" s="120" customFormat="1" x14ac:dyDescent="0.2">
      <c r="C384" s="129"/>
      <c r="H384" s="129"/>
      <c r="I384" s="129"/>
      <c r="M384" s="341"/>
      <c r="N384" s="342"/>
    </row>
    <row r="385" spans="3:14" s="120" customFormat="1" x14ac:dyDescent="0.2">
      <c r="C385" s="129"/>
      <c r="H385" s="129"/>
      <c r="I385" s="129"/>
      <c r="M385" s="341"/>
      <c r="N385" s="342"/>
    </row>
    <row r="386" spans="3:14" s="120" customFormat="1" x14ac:dyDescent="0.2">
      <c r="C386" s="129"/>
      <c r="H386" s="129"/>
      <c r="I386" s="129"/>
      <c r="M386" s="341"/>
      <c r="N386" s="342"/>
    </row>
    <row r="387" spans="3:14" s="120" customFormat="1" x14ac:dyDescent="0.2">
      <c r="C387" s="129"/>
      <c r="H387" s="129"/>
      <c r="I387" s="129"/>
      <c r="M387" s="341"/>
      <c r="N387" s="342"/>
    </row>
    <row r="388" spans="3:14" s="120" customFormat="1" x14ac:dyDescent="0.2">
      <c r="C388" s="129"/>
      <c r="H388" s="129"/>
      <c r="I388" s="129"/>
      <c r="M388" s="341"/>
      <c r="N388" s="342"/>
    </row>
    <row r="389" spans="3:14" s="120" customFormat="1" x14ac:dyDescent="0.2">
      <c r="C389" s="129"/>
      <c r="H389" s="129"/>
      <c r="I389" s="129"/>
      <c r="M389" s="341"/>
      <c r="N389" s="342"/>
    </row>
    <row r="390" spans="3:14" s="120" customFormat="1" x14ac:dyDescent="0.2">
      <c r="C390" s="129"/>
      <c r="H390" s="129"/>
      <c r="I390" s="129"/>
      <c r="M390" s="341"/>
      <c r="N390" s="342"/>
    </row>
    <row r="391" spans="3:14" s="120" customFormat="1" x14ac:dyDescent="0.2">
      <c r="C391" s="129"/>
      <c r="H391" s="129"/>
      <c r="I391" s="129"/>
      <c r="M391" s="341"/>
      <c r="N391" s="342"/>
    </row>
    <row r="392" spans="3:14" s="120" customFormat="1" x14ac:dyDescent="0.2">
      <c r="C392" s="129"/>
      <c r="H392" s="129"/>
      <c r="I392" s="129"/>
      <c r="M392" s="341"/>
      <c r="N392" s="342"/>
    </row>
    <row r="393" spans="3:14" s="120" customFormat="1" x14ac:dyDescent="0.2">
      <c r="C393" s="129"/>
      <c r="H393" s="129"/>
      <c r="I393" s="129"/>
      <c r="M393" s="341"/>
      <c r="N393" s="342"/>
    </row>
    <row r="394" spans="3:14" s="120" customFormat="1" x14ac:dyDescent="0.2">
      <c r="C394" s="129"/>
      <c r="H394" s="129"/>
      <c r="I394" s="129"/>
      <c r="M394" s="341"/>
      <c r="N394" s="342"/>
    </row>
    <row r="395" spans="3:14" s="120" customFormat="1" x14ac:dyDescent="0.2">
      <c r="C395" s="129"/>
      <c r="H395" s="129"/>
      <c r="I395" s="129"/>
      <c r="M395" s="341"/>
      <c r="N395" s="342"/>
    </row>
    <row r="396" spans="3:14" s="120" customFormat="1" x14ac:dyDescent="0.2">
      <c r="C396" s="129"/>
      <c r="H396" s="129"/>
      <c r="I396" s="129"/>
      <c r="M396" s="341"/>
      <c r="N396" s="342"/>
    </row>
    <row r="397" spans="3:14" s="120" customFormat="1" x14ac:dyDescent="0.2">
      <c r="C397" s="129"/>
      <c r="H397" s="129"/>
      <c r="I397" s="129"/>
      <c r="M397" s="341"/>
      <c r="N397" s="342"/>
    </row>
    <row r="398" spans="3:14" s="120" customFormat="1" x14ac:dyDescent="0.2">
      <c r="C398" s="129"/>
      <c r="H398" s="129"/>
      <c r="I398" s="129"/>
      <c r="M398" s="341"/>
      <c r="N398" s="342"/>
    </row>
    <row r="399" spans="3:14" s="120" customFormat="1" x14ac:dyDescent="0.2">
      <c r="C399" s="129"/>
      <c r="H399" s="129"/>
      <c r="I399" s="129"/>
      <c r="M399" s="341"/>
      <c r="N399" s="342"/>
    </row>
    <row r="400" spans="3:14" s="120" customFormat="1" x14ac:dyDescent="0.2">
      <c r="C400" s="129"/>
      <c r="H400" s="129"/>
      <c r="I400" s="129"/>
      <c r="M400" s="341"/>
      <c r="N400" s="342"/>
    </row>
    <row r="401" spans="3:14" s="120" customFormat="1" x14ac:dyDescent="0.2">
      <c r="C401" s="129"/>
      <c r="H401" s="129"/>
      <c r="I401" s="129"/>
      <c r="M401" s="341"/>
      <c r="N401" s="342"/>
    </row>
    <row r="402" spans="3:14" s="120" customFormat="1" x14ac:dyDescent="0.2">
      <c r="C402" s="129"/>
      <c r="H402" s="129"/>
      <c r="I402" s="129"/>
      <c r="M402" s="341"/>
      <c r="N402" s="342"/>
    </row>
    <row r="403" spans="3:14" s="120" customFormat="1" x14ac:dyDescent="0.2">
      <c r="C403" s="129"/>
      <c r="H403" s="129"/>
      <c r="I403" s="129"/>
      <c r="M403" s="341"/>
      <c r="N403" s="342"/>
    </row>
    <row r="404" spans="3:14" s="120" customFormat="1" x14ac:dyDescent="0.2">
      <c r="C404" s="129"/>
      <c r="H404" s="129"/>
      <c r="I404" s="129"/>
      <c r="M404" s="341"/>
      <c r="N404" s="342"/>
    </row>
    <row r="405" spans="3:14" s="120" customFormat="1" x14ac:dyDescent="0.2">
      <c r="C405" s="129"/>
      <c r="H405" s="129"/>
      <c r="I405" s="129"/>
      <c r="M405" s="341"/>
      <c r="N405" s="342"/>
    </row>
    <row r="406" spans="3:14" s="120" customFormat="1" x14ac:dyDescent="0.2">
      <c r="C406" s="129"/>
      <c r="H406" s="129"/>
      <c r="I406" s="129"/>
      <c r="M406" s="341"/>
      <c r="N406" s="342"/>
    </row>
    <row r="407" spans="3:14" s="120" customFormat="1" x14ac:dyDescent="0.2">
      <c r="C407" s="129"/>
      <c r="H407" s="129"/>
      <c r="I407" s="129"/>
      <c r="M407" s="341"/>
      <c r="N407" s="342"/>
    </row>
    <row r="408" spans="3:14" s="120" customFormat="1" x14ac:dyDescent="0.2">
      <c r="C408" s="129"/>
      <c r="H408" s="129"/>
      <c r="I408" s="129"/>
      <c r="M408" s="341"/>
      <c r="N408" s="342"/>
    </row>
    <row r="409" spans="3:14" s="120" customFormat="1" x14ac:dyDescent="0.2">
      <c r="C409" s="129"/>
      <c r="H409" s="129"/>
      <c r="I409" s="129"/>
      <c r="M409" s="341"/>
      <c r="N409" s="342"/>
    </row>
    <row r="410" spans="3:14" s="120" customFormat="1" x14ac:dyDescent="0.2">
      <c r="C410" s="129"/>
      <c r="H410" s="129"/>
      <c r="I410" s="129"/>
      <c r="M410" s="341"/>
      <c r="N410" s="342"/>
    </row>
    <row r="411" spans="3:14" s="120" customFormat="1" x14ac:dyDescent="0.2">
      <c r="C411" s="129"/>
      <c r="H411" s="129"/>
      <c r="I411" s="129"/>
      <c r="M411" s="341"/>
      <c r="N411" s="342"/>
    </row>
    <row r="412" spans="3:14" s="120" customFormat="1" x14ac:dyDescent="0.2">
      <c r="C412" s="129"/>
      <c r="H412" s="129"/>
      <c r="I412" s="129"/>
      <c r="M412" s="341"/>
      <c r="N412" s="342"/>
    </row>
    <row r="413" spans="3:14" s="120" customFormat="1" x14ac:dyDescent="0.2">
      <c r="C413" s="129"/>
      <c r="H413" s="129"/>
      <c r="I413" s="129"/>
      <c r="M413" s="341"/>
      <c r="N413" s="342"/>
    </row>
    <row r="414" spans="3:14" s="120" customFormat="1" x14ac:dyDescent="0.2">
      <c r="C414" s="129"/>
      <c r="H414" s="129"/>
      <c r="I414" s="129"/>
      <c r="M414" s="341"/>
      <c r="N414" s="342"/>
    </row>
    <row r="415" spans="3:14" s="120" customFormat="1" x14ac:dyDescent="0.2">
      <c r="C415" s="129"/>
      <c r="H415" s="129"/>
      <c r="I415" s="129"/>
      <c r="M415" s="341"/>
      <c r="N415" s="342"/>
    </row>
    <row r="416" spans="3:14" s="120" customFormat="1" x14ac:dyDescent="0.2">
      <c r="C416" s="129"/>
      <c r="H416" s="129"/>
      <c r="I416" s="129"/>
      <c r="M416" s="341"/>
      <c r="N416" s="342"/>
    </row>
    <row r="417" spans="3:14" s="120" customFormat="1" x14ac:dyDescent="0.2">
      <c r="C417" s="129"/>
      <c r="H417" s="129"/>
      <c r="I417" s="129"/>
      <c r="M417" s="341"/>
      <c r="N417" s="342"/>
    </row>
    <row r="418" spans="3:14" s="120" customFormat="1" x14ac:dyDescent="0.2">
      <c r="C418" s="129"/>
      <c r="H418" s="129"/>
      <c r="I418" s="129"/>
      <c r="M418" s="341"/>
      <c r="N418" s="342"/>
    </row>
    <row r="419" spans="3:14" s="120" customFormat="1" x14ac:dyDescent="0.2">
      <c r="C419" s="129"/>
      <c r="H419" s="129"/>
      <c r="I419" s="129"/>
      <c r="M419" s="341"/>
      <c r="N419" s="342"/>
    </row>
    <row r="420" spans="3:14" s="120" customFormat="1" x14ac:dyDescent="0.2">
      <c r="C420" s="129"/>
      <c r="H420" s="129"/>
      <c r="I420" s="129"/>
      <c r="M420" s="341"/>
      <c r="N420" s="342"/>
    </row>
    <row r="421" spans="3:14" s="120" customFormat="1" x14ac:dyDescent="0.2">
      <c r="C421" s="129"/>
      <c r="H421" s="129"/>
      <c r="I421" s="129"/>
      <c r="M421" s="341"/>
      <c r="N421" s="342"/>
    </row>
    <row r="422" spans="3:14" s="120" customFormat="1" x14ac:dyDescent="0.2">
      <c r="C422" s="129"/>
      <c r="H422" s="129"/>
      <c r="I422" s="129"/>
      <c r="M422" s="341"/>
      <c r="N422" s="342"/>
    </row>
    <row r="423" spans="3:14" s="120" customFormat="1" x14ac:dyDescent="0.2">
      <c r="C423" s="129"/>
      <c r="H423" s="129"/>
      <c r="I423" s="129"/>
      <c r="M423" s="341"/>
      <c r="N423" s="342"/>
    </row>
    <row r="424" spans="3:14" s="120" customFormat="1" x14ac:dyDescent="0.2">
      <c r="C424" s="129"/>
      <c r="H424" s="129"/>
      <c r="I424" s="129"/>
      <c r="M424" s="341"/>
      <c r="N424" s="342"/>
    </row>
    <row r="425" spans="3:14" s="120" customFormat="1" x14ac:dyDescent="0.2">
      <c r="C425" s="129"/>
      <c r="H425" s="129"/>
      <c r="I425" s="129"/>
      <c r="M425" s="341"/>
      <c r="N425" s="342"/>
    </row>
    <row r="426" spans="3:14" s="120" customFormat="1" x14ac:dyDescent="0.2">
      <c r="C426" s="129"/>
      <c r="H426" s="129"/>
      <c r="I426" s="129"/>
      <c r="M426" s="341"/>
      <c r="N426" s="342"/>
    </row>
    <row r="427" spans="3:14" s="120" customFormat="1" x14ac:dyDescent="0.2">
      <c r="C427" s="129"/>
      <c r="H427" s="129"/>
      <c r="I427" s="129"/>
      <c r="M427" s="341"/>
      <c r="N427" s="342"/>
    </row>
    <row r="428" spans="3:14" s="120" customFormat="1" x14ac:dyDescent="0.2">
      <c r="C428" s="129"/>
      <c r="H428" s="129"/>
      <c r="I428" s="129"/>
      <c r="M428" s="341"/>
      <c r="N428" s="342"/>
    </row>
    <row r="429" spans="3:14" s="120" customFormat="1" x14ac:dyDescent="0.2">
      <c r="C429" s="129"/>
      <c r="H429" s="129"/>
      <c r="I429" s="129"/>
      <c r="M429" s="341"/>
      <c r="N429" s="342"/>
    </row>
    <row r="430" spans="3:14" s="120" customFormat="1" x14ac:dyDescent="0.2">
      <c r="C430" s="129"/>
      <c r="H430" s="129"/>
      <c r="I430" s="129"/>
      <c r="M430" s="341"/>
      <c r="N430" s="342"/>
    </row>
    <row r="431" spans="3:14" s="120" customFormat="1" x14ac:dyDescent="0.2">
      <c r="C431" s="129"/>
      <c r="H431" s="129"/>
      <c r="I431" s="129"/>
      <c r="M431" s="341"/>
      <c r="N431" s="342"/>
    </row>
    <row r="432" spans="3:14" s="120" customFormat="1" x14ac:dyDescent="0.2">
      <c r="C432" s="129"/>
      <c r="H432" s="129"/>
      <c r="I432" s="129"/>
      <c r="M432" s="341"/>
      <c r="N432" s="342"/>
    </row>
    <row r="433" spans="3:14" s="120" customFormat="1" x14ac:dyDescent="0.2">
      <c r="C433" s="129"/>
      <c r="H433" s="129"/>
      <c r="I433" s="129"/>
      <c r="M433" s="341"/>
      <c r="N433" s="342"/>
    </row>
    <row r="434" spans="3:14" s="120" customFormat="1" x14ac:dyDescent="0.2">
      <c r="C434" s="129"/>
      <c r="H434" s="129"/>
      <c r="I434" s="129"/>
      <c r="M434" s="341"/>
      <c r="N434" s="342"/>
    </row>
    <row r="435" spans="3:14" s="120" customFormat="1" x14ac:dyDescent="0.2">
      <c r="C435" s="129"/>
      <c r="H435" s="129"/>
      <c r="I435" s="129"/>
      <c r="M435" s="341"/>
      <c r="N435" s="342"/>
    </row>
    <row r="436" spans="3:14" s="120" customFormat="1" x14ac:dyDescent="0.2">
      <c r="C436" s="129"/>
      <c r="H436" s="129"/>
      <c r="I436" s="129"/>
      <c r="M436" s="341"/>
      <c r="N436" s="342"/>
    </row>
    <row r="437" spans="3:14" s="120" customFormat="1" x14ac:dyDescent="0.2">
      <c r="C437" s="129"/>
      <c r="H437" s="129"/>
      <c r="I437" s="129"/>
      <c r="M437" s="341"/>
      <c r="N437" s="342"/>
    </row>
    <row r="438" spans="3:14" s="120" customFormat="1" x14ac:dyDescent="0.2">
      <c r="C438" s="129"/>
      <c r="H438" s="129"/>
      <c r="I438" s="129"/>
      <c r="M438" s="341"/>
      <c r="N438" s="342"/>
    </row>
    <row r="439" spans="3:14" s="120" customFormat="1" x14ac:dyDescent="0.2">
      <c r="C439" s="129"/>
      <c r="H439" s="129"/>
      <c r="I439" s="129"/>
      <c r="M439" s="341"/>
      <c r="N439" s="342"/>
    </row>
    <row r="440" spans="3:14" s="120" customFormat="1" x14ac:dyDescent="0.2">
      <c r="C440" s="129"/>
      <c r="H440" s="129"/>
      <c r="I440" s="129"/>
      <c r="M440" s="341"/>
      <c r="N440" s="342"/>
    </row>
    <row r="441" spans="3:14" s="120" customFormat="1" x14ac:dyDescent="0.2">
      <c r="C441" s="129"/>
      <c r="H441" s="129"/>
      <c r="I441" s="129"/>
      <c r="M441" s="341"/>
      <c r="N441" s="342"/>
    </row>
    <row r="442" spans="3:14" s="120" customFormat="1" x14ac:dyDescent="0.2">
      <c r="C442" s="129"/>
      <c r="H442" s="129"/>
      <c r="I442" s="129"/>
      <c r="M442" s="341"/>
      <c r="N442" s="342"/>
    </row>
    <row r="443" spans="3:14" s="120" customFormat="1" x14ac:dyDescent="0.2">
      <c r="C443" s="129"/>
      <c r="H443" s="129"/>
      <c r="I443" s="129"/>
      <c r="M443" s="341"/>
      <c r="N443" s="342"/>
    </row>
    <row r="444" spans="3:14" s="120" customFormat="1" x14ac:dyDescent="0.2">
      <c r="C444" s="129"/>
      <c r="H444" s="129"/>
      <c r="I444" s="129"/>
      <c r="M444" s="341"/>
      <c r="N444" s="342"/>
    </row>
    <row r="445" spans="3:14" s="120" customFormat="1" x14ac:dyDescent="0.2">
      <c r="C445" s="129"/>
      <c r="H445" s="129"/>
      <c r="I445" s="129"/>
      <c r="M445" s="341"/>
      <c r="N445" s="342"/>
    </row>
    <row r="446" spans="3:14" s="120" customFormat="1" x14ac:dyDescent="0.2">
      <c r="C446" s="129"/>
      <c r="H446" s="129"/>
      <c r="I446" s="129"/>
      <c r="M446" s="341"/>
      <c r="N446" s="342"/>
    </row>
    <row r="447" spans="3:14" s="120" customFormat="1" x14ac:dyDescent="0.2">
      <c r="C447" s="129"/>
      <c r="H447" s="129"/>
      <c r="I447" s="129"/>
      <c r="M447" s="341"/>
      <c r="N447" s="342"/>
    </row>
    <row r="448" spans="3:14" s="120" customFormat="1" x14ac:dyDescent="0.2">
      <c r="C448" s="129"/>
      <c r="H448" s="129"/>
      <c r="I448" s="129"/>
      <c r="M448" s="341"/>
      <c r="N448" s="342"/>
    </row>
    <row r="449" spans="3:14" s="120" customFormat="1" x14ac:dyDescent="0.2">
      <c r="C449" s="129"/>
      <c r="H449" s="129"/>
      <c r="I449" s="129"/>
      <c r="M449" s="341"/>
      <c r="N449" s="342"/>
    </row>
    <row r="450" spans="3:14" s="120" customFormat="1" x14ac:dyDescent="0.2">
      <c r="C450" s="129"/>
      <c r="H450" s="129"/>
      <c r="I450" s="129"/>
      <c r="M450" s="341"/>
      <c r="N450" s="342"/>
    </row>
    <row r="451" spans="3:14" s="120" customFormat="1" x14ac:dyDescent="0.2">
      <c r="C451" s="129"/>
      <c r="H451" s="129"/>
      <c r="I451" s="129"/>
      <c r="M451" s="341"/>
      <c r="N451" s="342"/>
    </row>
    <row r="452" spans="3:14" s="120" customFormat="1" x14ac:dyDescent="0.2">
      <c r="C452" s="129"/>
      <c r="H452" s="129"/>
      <c r="I452" s="129"/>
      <c r="M452" s="341"/>
      <c r="N452" s="342"/>
    </row>
    <row r="453" spans="3:14" s="120" customFormat="1" x14ac:dyDescent="0.2">
      <c r="C453" s="129"/>
      <c r="H453" s="129"/>
      <c r="I453" s="129"/>
      <c r="M453" s="341"/>
      <c r="N453" s="342"/>
    </row>
    <row r="454" spans="3:14" s="120" customFormat="1" x14ac:dyDescent="0.2">
      <c r="C454" s="129"/>
      <c r="H454" s="129"/>
      <c r="I454" s="129"/>
      <c r="M454" s="341"/>
      <c r="N454" s="342"/>
    </row>
    <row r="455" spans="3:14" s="120" customFormat="1" x14ac:dyDescent="0.2">
      <c r="C455" s="129"/>
      <c r="H455" s="129"/>
      <c r="I455" s="129"/>
      <c r="M455" s="341"/>
      <c r="N455" s="342"/>
    </row>
    <row r="456" spans="3:14" s="120" customFormat="1" x14ac:dyDescent="0.2">
      <c r="C456" s="129"/>
      <c r="H456" s="129"/>
      <c r="I456" s="129"/>
      <c r="M456" s="341"/>
      <c r="N456" s="342"/>
    </row>
    <row r="457" spans="3:14" s="120" customFormat="1" x14ac:dyDescent="0.2">
      <c r="C457" s="129"/>
      <c r="H457" s="129"/>
      <c r="I457" s="129"/>
      <c r="M457" s="341"/>
      <c r="N457" s="342"/>
    </row>
    <row r="458" spans="3:14" s="120" customFormat="1" x14ac:dyDescent="0.2">
      <c r="C458" s="129"/>
      <c r="H458" s="129"/>
      <c r="I458" s="129"/>
      <c r="M458" s="341"/>
      <c r="N458" s="342"/>
    </row>
    <row r="459" spans="3:14" s="120" customFormat="1" x14ac:dyDescent="0.2">
      <c r="C459" s="129"/>
      <c r="H459" s="129"/>
      <c r="I459" s="129"/>
      <c r="M459" s="341"/>
      <c r="N459" s="342"/>
    </row>
    <row r="460" spans="3:14" s="120" customFormat="1" x14ac:dyDescent="0.2">
      <c r="C460" s="129"/>
      <c r="H460" s="129"/>
      <c r="I460" s="129"/>
      <c r="M460" s="341"/>
      <c r="N460" s="342"/>
    </row>
    <row r="461" spans="3:14" s="120" customFormat="1" x14ac:dyDescent="0.2">
      <c r="C461" s="129"/>
      <c r="H461" s="129"/>
      <c r="I461" s="129"/>
      <c r="M461" s="341"/>
      <c r="N461" s="342"/>
    </row>
    <row r="462" spans="3:14" s="120" customFormat="1" x14ac:dyDescent="0.2">
      <c r="C462" s="129"/>
      <c r="H462" s="129"/>
      <c r="I462" s="129"/>
      <c r="M462" s="341"/>
      <c r="N462" s="342"/>
    </row>
    <row r="463" spans="3:14" s="120" customFormat="1" x14ac:dyDescent="0.2">
      <c r="C463" s="129"/>
      <c r="H463" s="129"/>
      <c r="I463" s="129"/>
      <c r="M463" s="341"/>
      <c r="N463" s="342"/>
    </row>
    <row r="464" spans="3:14" s="120" customFormat="1" x14ac:dyDescent="0.2">
      <c r="C464" s="129"/>
      <c r="H464" s="129"/>
      <c r="I464" s="129"/>
      <c r="M464" s="341"/>
      <c r="N464" s="342"/>
    </row>
    <row r="465" spans="3:14" s="120" customFormat="1" x14ac:dyDescent="0.2">
      <c r="C465" s="129"/>
      <c r="H465" s="129"/>
      <c r="I465" s="129"/>
      <c r="M465" s="341"/>
      <c r="N465" s="342"/>
    </row>
    <row r="466" spans="3:14" s="120" customFormat="1" x14ac:dyDescent="0.2">
      <c r="C466" s="129"/>
      <c r="H466" s="129"/>
      <c r="I466" s="129"/>
      <c r="M466" s="341"/>
      <c r="N466" s="342"/>
    </row>
    <row r="467" spans="3:14" s="120" customFormat="1" x14ac:dyDescent="0.2">
      <c r="C467" s="129"/>
      <c r="H467" s="129"/>
      <c r="I467" s="129"/>
      <c r="M467" s="341"/>
      <c r="N467" s="342"/>
    </row>
    <row r="468" spans="3:14" s="120" customFormat="1" x14ac:dyDescent="0.2">
      <c r="C468" s="129"/>
      <c r="H468" s="129"/>
      <c r="I468" s="129"/>
      <c r="M468" s="341"/>
      <c r="N468" s="342"/>
    </row>
    <row r="469" spans="3:14" s="120" customFormat="1" x14ac:dyDescent="0.2">
      <c r="C469" s="129"/>
      <c r="H469" s="129"/>
      <c r="I469" s="129"/>
      <c r="M469" s="341"/>
      <c r="N469" s="342"/>
    </row>
    <row r="470" spans="3:14" s="120" customFormat="1" x14ac:dyDescent="0.2">
      <c r="C470" s="129"/>
      <c r="H470" s="129"/>
      <c r="I470" s="129"/>
      <c r="M470" s="341"/>
      <c r="N470" s="342"/>
    </row>
    <row r="471" spans="3:14" s="120" customFormat="1" x14ac:dyDescent="0.2">
      <c r="C471" s="129"/>
      <c r="H471" s="129"/>
      <c r="I471" s="129"/>
      <c r="M471" s="341"/>
      <c r="N471" s="342"/>
    </row>
    <row r="472" spans="3:14" s="120" customFormat="1" x14ac:dyDescent="0.2">
      <c r="C472" s="129"/>
      <c r="H472" s="129"/>
      <c r="I472" s="129"/>
      <c r="M472" s="341"/>
      <c r="N472" s="342"/>
    </row>
    <row r="473" spans="3:14" s="120" customFormat="1" x14ac:dyDescent="0.2">
      <c r="C473" s="129"/>
      <c r="H473" s="129"/>
      <c r="I473" s="129"/>
      <c r="M473" s="341"/>
      <c r="N473" s="342"/>
    </row>
    <row r="474" spans="3:14" s="120" customFormat="1" x14ac:dyDescent="0.2">
      <c r="C474" s="129"/>
      <c r="H474" s="129"/>
      <c r="I474" s="129"/>
      <c r="M474" s="341"/>
      <c r="N474" s="342"/>
    </row>
    <row r="475" spans="3:14" s="120" customFormat="1" x14ac:dyDescent="0.2">
      <c r="C475" s="129"/>
      <c r="H475" s="129"/>
      <c r="I475" s="129"/>
      <c r="M475" s="341"/>
      <c r="N475" s="342"/>
    </row>
    <row r="476" spans="3:14" s="120" customFormat="1" x14ac:dyDescent="0.2">
      <c r="C476" s="129"/>
      <c r="H476" s="129"/>
      <c r="I476" s="129"/>
      <c r="M476" s="341"/>
      <c r="N476" s="342"/>
    </row>
    <row r="477" spans="3:14" s="120" customFormat="1" x14ac:dyDescent="0.2">
      <c r="C477" s="129"/>
      <c r="H477" s="129"/>
      <c r="I477" s="129"/>
      <c r="M477" s="341"/>
      <c r="N477" s="342"/>
    </row>
    <row r="478" spans="3:14" s="120" customFormat="1" x14ac:dyDescent="0.2">
      <c r="C478" s="129"/>
      <c r="H478" s="129"/>
      <c r="I478" s="129"/>
      <c r="M478" s="341"/>
      <c r="N478" s="342"/>
    </row>
    <row r="479" spans="3:14" s="120" customFormat="1" x14ac:dyDescent="0.2">
      <c r="C479" s="129"/>
      <c r="H479" s="129"/>
      <c r="I479" s="129"/>
      <c r="M479" s="341"/>
      <c r="N479" s="342"/>
    </row>
    <row r="480" spans="3:14" s="120" customFormat="1" x14ac:dyDescent="0.2">
      <c r="C480" s="129"/>
      <c r="H480" s="129"/>
      <c r="I480" s="129"/>
      <c r="M480" s="341"/>
      <c r="N480" s="342"/>
    </row>
    <row r="481" spans="3:14" s="120" customFormat="1" x14ac:dyDescent="0.2">
      <c r="C481" s="129"/>
      <c r="H481" s="129"/>
      <c r="I481" s="129"/>
      <c r="M481" s="341"/>
      <c r="N481" s="342"/>
    </row>
    <row r="482" spans="3:14" s="120" customFormat="1" x14ac:dyDescent="0.2">
      <c r="C482" s="129"/>
      <c r="H482" s="129"/>
      <c r="I482" s="129"/>
      <c r="M482" s="341"/>
      <c r="N482" s="342"/>
    </row>
    <row r="483" spans="3:14" s="120" customFormat="1" x14ac:dyDescent="0.2">
      <c r="C483" s="129"/>
      <c r="H483" s="129"/>
      <c r="I483" s="129"/>
      <c r="M483" s="341"/>
      <c r="N483" s="342"/>
    </row>
    <row r="484" spans="3:14" s="120" customFormat="1" x14ac:dyDescent="0.2">
      <c r="C484" s="129"/>
      <c r="H484" s="129"/>
      <c r="I484" s="129"/>
      <c r="M484" s="341"/>
      <c r="N484" s="342"/>
    </row>
    <row r="485" spans="3:14" s="120" customFormat="1" x14ac:dyDescent="0.2">
      <c r="C485" s="129"/>
      <c r="H485" s="129"/>
      <c r="I485" s="129"/>
      <c r="M485" s="341"/>
      <c r="N485" s="342"/>
    </row>
    <row r="486" spans="3:14" s="120" customFormat="1" x14ac:dyDescent="0.2">
      <c r="C486" s="129"/>
      <c r="H486" s="129"/>
      <c r="I486" s="129"/>
      <c r="M486" s="341"/>
      <c r="N486" s="342"/>
    </row>
    <row r="487" spans="3:14" s="120" customFormat="1" x14ac:dyDescent="0.2">
      <c r="C487" s="129"/>
      <c r="H487" s="129"/>
      <c r="I487" s="129"/>
      <c r="M487" s="341"/>
      <c r="N487" s="342"/>
    </row>
    <row r="488" spans="3:14" s="120" customFormat="1" x14ac:dyDescent="0.2">
      <c r="C488" s="129"/>
      <c r="H488" s="129"/>
      <c r="I488" s="129"/>
      <c r="M488" s="341"/>
      <c r="N488" s="342"/>
    </row>
    <row r="489" spans="3:14" s="120" customFormat="1" x14ac:dyDescent="0.2">
      <c r="C489" s="129"/>
      <c r="H489" s="129"/>
      <c r="I489" s="129"/>
      <c r="M489" s="341"/>
      <c r="N489" s="342"/>
    </row>
    <row r="490" spans="3:14" s="120" customFormat="1" x14ac:dyDescent="0.2">
      <c r="C490" s="129"/>
      <c r="H490" s="129"/>
      <c r="I490" s="129"/>
      <c r="M490" s="341"/>
      <c r="N490" s="342"/>
    </row>
    <row r="491" spans="3:14" s="120" customFormat="1" x14ac:dyDescent="0.2">
      <c r="C491" s="129"/>
      <c r="H491" s="129"/>
      <c r="I491" s="129"/>
      <c r="M491" s="341"/>
      <c r="N491" s="342"/>
    </row>
    <row r="492" spans="3:14" s="120" customFormat="1" x14ac:dyDescent="0.2">
      <c r="C492" s="129"/>
      <c r="H492" s="129"/>
      <c r="I492" s="129"/>
      <c r="M492" s="341"/>
      <c r="N492" s="342"/>
    </row>
    <row r="493" spans="3:14" s="120" customFormat="1" x14ac:dyDescent="0.2">
      <c r="C493" s="129"/>
      <c r="H493" s="129"/>
      <c r="I493" s="129"/>
      <c r="M493" s="341"/>
      <c r="N493" s="342"/>
    </row>
    <row r="494" spans="3:14" s="120" customFormat="1" x14ac:dyDescent="0.2">
      <c r="C494" s="129"/>
      <c r="H494" s="129"/>
      <c r="I494" s="129"/>
      <c r="M494" s="341"/>
      <c r="N494" s="342"/>
    </row>
    <row r="495" spans="3:14" s="120" customFormat="1" x14ac:dyDescent="0.2">
      <c r="C495" s="129"/>
      <c r="H495" s="129"/>
      <c r="I495" s="129"/>
      <c r="M495" s="341"/>
      <c r="N495" s="342"/>
    </row>
    <row r="496" spans="3:14" s="120" customFormat="1" x14ac:dyDescent="0.2">
      <c r="C496" s="129"/>
      <c r="H496" s="129"/>
      <c r="I496" s="129"/>
      <c r="M496" s="341"/>
      <c r="N496" s="342"/>
    </row>
    <row r="497" spans="3:14" s="120" customFormat="1" x14ac:dyDescent="0.2">
      <c r="C497" s="129"/>
      <c r="H497" s="129"/>
      <c r="I497" s="129"/>
      <c r="M497" s="341"/>
      <c r="N497" s="342"/>
    </row>
    <row r="498" spans="3:14" s="120" customFormat="1" x14ac:dyDescent="0.2">
      <c r="C498" s="129"/>
      <c r="H498" s="129"/>
      <c r="I498" s="129"/>
      <c r="M498" s="341"/>
      <c r="N498" s="342"/>
    </row>
    <row r="499" spans="3:14" s="120" customFormat="1" x14ac:dyDescent="0.2">
      <c r="C499" s="129"/>
      <c r="H499" s="129"/>
      <c r="I499" s="129"/>
      <c r="M499" s="341"/>
      <c r="N499" s="342"/>
    </row>
    <row r="500" spans="3:14" s="120" customFormat="1" x14ac:dyDescent="0.2">
      <c r="C500" s="129"/>
      <c r="H500" s="129"/>
      <c r="I500" s="129"/>
      <c r="M500" s="341"/>
      <c r="N500" s="342"/>
    </row>
    <row r="501" spans="3:14" s="120" customFormat="1" x14ac:dyDescent="0.2">
      <c r="C501" s="129"/>
      <c r="H501" s="129"/>
      <c r="I501" s="129"/>
      <c r="M501" s="341"/>
      <c r="N501" s="342"/>
    </row>
    <row r="502" spans="3:14" s="120" customFormat="1" x14ac:dyDescent="0.2">
      <c r="C502" s="129"/>
      <c r="H502" s="129"/>
      <c r="I502" s="129"/>
      <c r="M502" s="341"/>
      <c r="N502" s="342"/>
    </row>
    <row r="503" spans="3:14" s="120" customFormat="1" x14ac:dyDescent="0.2">
      <c r="C503" s="129"/>
      <c r="H503" s="129"/>
      <c r="I503" s="129"/>
      <c r="M503" s="341"/>
      <c r="N503" s="342"/>
    </row>
    <row r="504" spans="3:14" s="120" customFormat="1" x14ac:dyDescent="0.2">
      <c r="C504" s="129"/>
      <c r="H504" s="129"/>
      <c r="I504" s="129"/>
      <c r="M504" s="341"/>
      <c r="N504" s="342"/>
    </row>
    <row r="505" spans="3:14" s="120" customFormat="1" x14ac:dyDescent="0.2">
      <c r="C505" s="129"/>
      <c r="H505" s="129"/>
      <c r="I505" s="129"/>
      <c r="M505" s="341"/>
      <c r="N505" s="342"/>
    </row>
    <row r="506" spans="3:14" s="120" customFormat="1" x14ac:dyDescent="0.2">
      <c r="C506" s="129"/>
      <c r="H506" s="129"/>
      <c r="I506" s="129"/>
      <c r="M506" s="341"/>
      <c r="N506" s="342"/>
    </row>
    <row r="507" spans="3:14" s="120" customFormat="1" x14ac:dyDescent="0.2">
      <c r="C507" s="129"/>
      <c r="H507" s="129"/>
      <c r="I507" s="129"/>
      <c r="M507" s="341"/>
      <c r="N507" s="342"/>
    </row>
    <row r="508" spans="3:14" s="120" customFormat="1" x14ac:dyDescent="0.2">
      <c r="C508" s="129"/>
      <c r="H508" s="129"/>
      <c r="I508" s="129"/>
      <c r="M508" s="341"/>
      <c r="N508" s="342"/>
    </row>
    <row r="509" spans="3:14" s="120" customFormat="1" x14ac:dyDescent="0.2">
      <c r="C509" s="129"/>
      <c r="H509" s="129"/>
      <c r="I509" s="129"/>
      <c r="M509" s="341"/>
      <c r="N509" s="342"/>
    </row>
    <row r="510" spans="3:14" s="120" customFormat="1" x14ac:dyDescent="0.2">
      <c r="C510" s="129"/>
      <c r="H510" s="129"/>
      <c r="I510" s="129"/>
      <c r="M510" s="341"/>
      <c r="N510" s="342"/>
    </row>
    <row r="511" spans="3:14" s="120" customFormat="1" x14ac:dyDescent="0.2">
      <c r="C511" s="129"/>
      <c r="H511" s="129"/>
      <c r="I511" s="129"/>
      <c r="M511" s="341"/>
      <c r="N511" s="342"/>
    </row>
    <row r="512" spans="3:14" s="120" customFormat="1" x14ac:dyDescent="0.2">
      <c r="C512" s="129"/>
      <c r="H512" s="129"/>
      <c r="I512" s="129"/>
      <c r="M512" s="341"/>
      <c r="N512" s="342"/>
    </row>
    <row r="513" spans="3:14" s="120" customFormat="1" x14ac:dyDescent="0.2">
      <c r="C513" s="129"/>
      <c r="H513" s="129"/>
      <c r="I513" s="129"/>
      <c r="M513" s="341"/>
      <c r="N513" s="342"/>
    </row>
    <row r="514" spans="3:14" s="120" customFormat="1" x14ac:dyDescent="0.2">
      <c r="C514" s="129"/>
      <c r="H514" s="129"/>
      <c r="I514" s="129"/>
      <c r="M514" s="341"/>
      <c r="N514" s="342"/>
    </row>
    <row r="515" spans="3:14" s="120" customFormat="1" x14ac:dyDescent="0.2">
      <c r="C515" s="129"/>
      <c r="H515" s="129"/>
      <c r="I515" s="129"/>
      <c r="M515" s="341"/>
      <c r="N515" s="342"/>
    </row>
    <row r="516" spans="3:14" s="120" customFormat="1" x14ac:dyDescent="0.2">
      <c r="C516" s="129"/>
      <c r="H516" s="129"/>
      <c r="I516" s="129"/>
      <c r="M516" s="341"/>
      <c r="N516" s="342"/>
    </row>
    <row r="517" spans="3:14" s="120" customFormat="1" x14ac:dyDescent="0.2">
      <c r="C517" s="129"/>
      <c r="H517" s="129"/>
      <c r="I517" s="129"/>
      <c r="M517" s="341"/>
      <c r="N517" s="342"/>
    </row>
    <row r="518" spans="3:14" s="120" customFormat="1" x14ac:dyDescent="0.2">
      <c r="C518" s="129"/>
      <c r="H518" s="129"/>
      <c r="I518" s="129"/>
      <c r="M518" s="341"/>
      <c r="N518" s="342"/>
    </row>
    <row r="519" spans="3:14" s="120" customFormat="1" x14ac:dyDescent="0.2">
      <c r="C519" s="129"/>
      <c r="H519" s="129"/>
      <c r="I519" s="129"/>
      <c r="M519" s="341"/>
      <c r="N519" s="342"/>
    </row>
    <row r="520" spans="3:14" s="120" customFormat="1" x14ac:dyDescent="0.2">
      <c r="C520" s="129"/>
      <c r="H520" s="129"/>
      <c r="I520" s="129"/>
      <c r="M520" s="341"/>
      <c r="N520" s="342"/>
    </row>
    <row r="521" spans="3:14" s="120" customFormat="1" x14ac:dyDescent="0.2">
      <c r="C521" s="129"/>
      <c r="H521" s="129"/>
      <c r="I521" s="129"/>
      <c r="M521" s="341"/>
      <c r="N521" s="342"/>
    </row>
    <row r="522" spans="3:14" s="120" customFormat="1" x14ac:dyDescent="0.2">
      <c r="C522" s="129"/>
      <c r="H522" s="129"/>
      <c r="I522" s="129"/>
      <c r="M522" s="341"/>
      <c r="N522" s="342"/>
    </row>
    <row r="523" spans="3:14" s="120" customFormat="1" x14ac:dyDescent="0.2">
      <c r="C523" s="129"/>
      <c r="H523" s="129"/>
      <c r="I523" s="129"/>
      <c r="M523" s="341"/>
      <c r="N523" s="342"/>
    </row>
    <row r="524" spans="3:14" s="120" customFormat="1" x14ac:dyDescent="0.2">
      <c r="C524" s="129"/>
      <c r="H524" s="129"/>
      <c r="I524" s="129"/>
      <c r="M524" s="341"/>
      <c r="N524" s="342"/>
    </row>
    <row r="525" spans="3:14" s="120" customFormat="1" x14ac:dyDescent="0.2">
      <c r="C525" s="129"/>
      <c r="H525" s="129"/>
      <c r="I525" s="129"/>
      <c r="M525" s="341"/>
      <c r="N525" s="342"/>
    </row>
    <row r="526" spans="3:14" s="120" customFormat="1" x14ac:dyDescent="0.2">
      <c r="C526" s="129"/>
      <c r="H526" s="129"/>
      <c r="I526" s="129"/>
      <c r="M526" s="341"/>
      <c r="N526" s="342"/>
    </row>
    <row r="527" spans="3:14" s="120" customFormat="1" x14ac:dyDescent="0.2">
      <c r="C527" s="129"/>
      <c r="H527" s="129"/>
      <c r="I527" s="129"/>
      <c r="M527" s="341"/>
      <c r="N527" s="342"/>
    </row>
    <row r="528" spans="3:14" s="120" customFormat="1" x14ac:dyDescent="0.2">
      <c r="C528" s="129"/>
      <c r="H528" s="129"/>
      <c r="I528" s="129"/>
      <c r="M528" s="341"/>
      <c r="N528" s="342"/>
    </row>
    <row r="529" spans="3:14" s="120" customFormat="1" x14ac:dyDescent="0.2">
      <c r="C529" s="129"/>
      <c r="H529" s="129"/>
      <c r="I529" s="129"/>
      <c r="M529" s="341"/>
      <c r="N529" s="342"/>
    </row>
    <row r="530" spans="3:14" s="120" customFormat="1" x14ac:dyDescent="0.2">
      <c r="C530" s="129"/>
      <c r="H530" s="129"/>
      <c r="I530" s="129"/>
      <c r="M530" s="341"/>
      <c r="N530" s="342"/>
    </row>
    <row r="531" spans="3:14" s="120" customFormat="1" x14ac:dyDescent="0.2">
      <c r="C531" s="129"/>
      <c r="H531" s="129"/>
      <c r="I531" s="129"/>
      <c r="M531" s="341"/>
      <c r="N531" s="342"/>
    </row>
    <row r="532" spans="3:14" s="120" customFormat="1" x14ac:dyDescent="0.2">
      <c r="C532" s="129"/>
      <c r="H532" s="129"/>
      <c r="I532" s="129"/>
      <c r="M532" s="341"/>
      <c r="N532" s="342"/>
    </row>
    <row r="533" spans="3:14" s="120" customFormat="1" x14ac:dyDescent="0.2">
      <c r="C533" s="129"/>
      <c r="H533" s="129"/>
      <c r="I533" s="129"/>
      <c r="M533" s="341"/>
      <c r="N533" s="342"/>
    </row>
    <row r="534" spans="3:14" s="120" customFormat="1" x14ac:dyDescent="0.2">
      <c r="C534" s="129"/>
      <c r="H534" s="129"/>
      <c r="I534" s="129"/>
      <c r="M534" s="341"/>
      <c r="N534" s="342"/>
    </row>
    <row r="535" spans="3:14" s="120" customFormat="1" x14ac:dyDescent="0.2">
      <c r="C535" s="129"/>
      <c r="H535" s="129"/>
      <c r="I535" s="129"/>
      <c r="M535" s="341"/>
      <c r="N535" s="342"/>
    </row>
    <row r="536" spans="3:14" s="120" customFormat="1" x14ac:dyDescent="0.2">
      <c r="C536" s="129"/>
      <c r="H536" s="129"/>
      <c r="I536" s="129"/>
      <c r="M536" s="341"/>
      <c r="N536" s="342"/>
    </row>
    <row r="537" spans="3:14" s="120" customFormat="1" x14ac:dyDescent="0.2">
      <c r="C537" s="129"/>
      <c r="H537" s="129"/>
      <c r="I537" s="129"/>
      <c r="M537" s="341"/>
      <c r="N537" s="342"/>
    </row>
    <row r="538" spans="3:14" s="120" customFormat="1" x14ac:dyDescent="0.2">
      <c r="C538" s="129"/>
      <c r="H538" s="129"/>
      <c r="I538" s="129"/>
      <c r="M538" s="341"/>
      <c r="N538" s="342"/>
    </row>
    <row r="539" spans="3:14" s="120" customFormat="1" x14ac:dyDescent="0.2">
      <c r="C539" s="129"/>
      <c r="H539" s="129"/>
      <c r="I539" s="129"/>
      <c r="M539" s="341"/>
      <c r="N539" s="342"/>
    </row>
    <row r="540" spans="3:14" s="120" customFormat="1" x14ac:dyDescent="0.2">
      <c r="C540" s="129"/>
      <c r="H540" s="129"/>
      <c r="I540" s="129"/>
      <c r="M540" s="341"/>
      <c r="N540" s="342"/>
    </row>
    <row r="541" spans="3:14" s="120" customFormat="1" x14ac:dyDescent="0.2">
      <c r="C541" s="129"/>
      <c r="H541" s="129"/>
      <c r="I541" s="129"/>
      <c r="M541" s="341"/>
      <c r="N541" s="342"/>
    </row>
    <row r="542" spans="3:14" s="120" customFormat="1" x14ac:dyDescent="0.2">
      <c r="C542" s="129"/>
      <c r="H542" s="129"/>
      <c r="I542" s="129"/>
      <c r="M542" s="341"/>
      <c r="N542" s="342"/>
    </row>
    <row r="543" spans="3:14" s="120" customFormat="1" x14ac:dyDescent="0.2">
      <c r="C543" s="129"/>
      <c r="H543" s="129"/>
      <c r="I543" s="129"/>
      <c r="M543" s="341"/>
      <c r="N543" s="342"/>
    </row>
    <row r="544" spans="3:14" s="120" customFormat="1" x14ac:dyDescent="0.2">
      <c r="C544" s="129"/>
      <c r="H544" s="129"/>
      <c r="I544" s="129"/>
      <c r="M544" s="341"/>
      <c r="N544" s="342"/>
    </row>
    <row r="545" spans="3:14" s="120" customFormat="1" x14ac:dyDescent="0.2">
      <c r="C545" s="129"/>
      <c r="H545" s="129"/>
      <c r="I545" s="129"/>
      <c r="M545" s="341"/>
      <c r="N545" s="342"/>
    </row>
    <row r="546" spans="3:14" s="120" customFormat="1" x14ac:dyDescent="0.2">
      <c r="C546" s="129"/>
      <c r="H546" s="129"/>
      <c r="I546" s="129"/>
      <c r="M546" s="341"/>
      <c r="N546" s="342"/>
    </row>
    <row r="547" spans="3:14" s="120" customFormat="1" x14ac:dyDescent="0.2">
      <c r="C547" s="129"/>
      <c r="H547" s="129"/>
      <c r="I547" s="129"/>
      <c r="M547" s="341"/>
      <c r="N547" s="342"/>
    </row>
    <row r="548" spans="3:14" s="120" customFormat="1" x14ac:dyDescent="0.2">
      <c r="C548" s="129"/>
      <c r="H548" s="129"/>
      <c r="I548" s="129"/>
      <c r="M548" s="341"/>
      <c r="N548" s="342"/>
    </row>
    <row r="549" spans="3:14" s="120" customFormat="1" x14ac:dyDescent="0.2">
      <c r="C549" s="129"/>
      <c r="H549" s="129"/>
      <c r="I549" s="129"/>
      <c r="M549" s="341"/>
      <c r="N549" s="342"/>
    </row>
    <row r="550" spans="3:14" s="120" customFormat="1" x14ac:dyDescent="0.2">
      <c r="C550" s="129"/>
      <c r="H550" s="129"/>
      <c r="I550" s="129"/>
      <c r="M550" s="341"/>
      <c r="N550" s="342"/>
    </row>
    <row r="551" spans="3:14" s="120" customFormat="1" x14ac:dyDescent="0.2">
      <c r="C551" s="129"/>
      <c r="H551" s="129"/>
      <c r="I551" s="129"/>
      <c r="M551" s="341"/>
      <c r="N551" s="342"/>
    </row>
    <row r="552" spans="3:14" s="120" customFormat="1" x14ac:dyDescent="0.2">
      <c r="C552" s="129"/>
      <c r="H552" s="129"/>
      <c r="I552" s="129"/>
      <c r="M552" s="341"/>
      <c r="N552" s="342"/>
    </row>
    <row r="553" spans="3:14" s="120" customFormat="1" x14ac:dyDescent="0.2">
      <c r="C553" s="129"/>
      <c r="H553" s="129"/>
      <c r="I553" s="129"/>
      <c r="M553" s="341"/>
      <c r="N553" s="342"/>
    </row>
    <row r="554" spans="3:14" s="120" customFormat="1" x14ac:dyDescent="0.2">
      <c r="C554" s="129"/>
      <c r="H554" s="129"/>
      <c r="I554" s="129"/>
      <c r="M554" s="341"/>
      <c r="N554" s="342"/>
    </row>
    <row r="555" spans="3:14" s="120" customFormat="1" x14ac:dyDescent="0.2">
      <c r="C555" s="129"/>
      <c r="H555" s="129"/>
      <c r="I555" s="129"/>
      <c r="M555" s="341"/>
      <c r="N555" s="342"/>
    </row>
    <row r="556" spans="3:14" s="120" customFormat="1" x14ac:dyDescent="0.2">
      <c r="C556" s="129"/>
      <c r="H556" s="129"/>
      <c r="I556" s="129"/>
      <c r="M556" s="341"/>
      <c r="N556" s="342"/>
    </row>
    <row r="557" spans="3:14" s="120" customFormat="1" x14ac:dyDescent="0.2">
      <c r="C557" s="129"/>
      <c r="H557" s="129"/>
      <c r="I557" s="129"/>
      <c r="M557" s="341"/>
      <c r="N557" s="342"/>
    </row>
    <row r="558" spans="3:14" s="120" customFormat="1" x14ac:dyDescent="0.2">
      <c r="C558" s="129"/>
      <c r="H558" s="129"/>
      <c r="I558" s="129"/>
      <c r="M558" s="341"/>
      <c r="N558" s="342"/>
    </row>
    <row r="559" spans="3:14" s="120" customFormat="1" x14ac:dyDescent="0.2">
      <c r="C559" s="129"/>
      <c r="H559" s="129"/>
      <c r="I559" s="129"/>
      <c r="M559" s="341"/>
      <c r="N559" s="342"/>
    </row>
    <row r="560" spans="3:14" s="120" customFormat="1" x14ac:dyDescent="0.2">
      <c r="C560" s="129"/>
      <c r="H560" s="129"/>
      <c r="I560" s="129"/>
      <c r="M560" s="341"/>
      <c r="N560" s="342"/>
    </row>
    <row r="561" spans="3:14" s="120" customFormat="1" x14ac:dyDescent="0.2">
      <c r="C561" s="129"/>
      <c r="H561" s="129"/>
      <c r="I561" s="129"/>
      <c r="M561" s="341"/>
      <c r="N561" s="342"/>
    </row>
    <row r="562" spans="3:14" s="120" customFormat="1" x14ac:dyDescent="0.2">
      <c r="C562" s="129"/>
      <c r="H562" s="129"/>
      <c r="I562" s="129"/>
      <c r="M562" s="341"/>
      <c r="N562" s="342"/>
    </row>
    <row r="563" spans="3:14" s="120" customFormat="1" x14ac:dyDescent="0.2">
      <c r="C563" s="129"/>
      <c r="H563" s="129"/>
      <c r="I563" s="129"/>
      <c r="M563" s="341"/>
      <c r="N563" s="342"/>
    </row>
    <row r="564" spans="3:14" s="120" customFormat="1" x14ac:dyDescent="0.2">
      <c r="C564" s="129"/>
      <c r="H564" s="129"/>
      <c r="I564" s="129"/>
      <c r="M564" s="341"/>
      <c r="N564" s="342"/>
    </row>
    <row r="565" spans="3:14" s="120" customFormat="1" x14ac:dyDescent="0.2">
      <c r="C565" s="129"/>
      <c r="H565" s="129"/>
      <c r="I565" s="129"/>
      <c r="M565" s="341"/>
      <c r="N565" s="342"/>
    </row>
    <row r="566" spans="3:14" s="120" customFormat="1" x14ac:dyDescent="0.2">
      <c r="C566" s="129"/>
      <c r="H566" s="129"/>
      <c r="I566" s="129"/>
      <c r="M566" s="341"/>
      <c r="N566" s="342"/>
    </row>
    <row r="567" spans="3:14" s="120" customFormat="1" x14ac:dyDescent="0.2">
      <c r="C567" s="129"/>
      <c r="H567" s="129"/>
      <c r="I567" s="129"/>
      <c r="M567" s="341"/>
      <c r="N567" s="342"/>
    </row>
    <row r="568" spans="3:14" s="120" customFormat="1" x14ac:dyDescent="0.2">
      <c r="C568" s="129"/>
      <c r="H568" s="129"/>
      <c r="I568" s="129"/>
      <c r="M568" s="341"/>
      <c r="N568" s="342"/>
    </row>
    <row r="569" spans="3:14" s="120" customFormat="1" x14ac:dyDescent="0.2">
      <c r="C569" s="129"/>
      <c r="H569" s="129"/>
      <c r="I569" s="129"/>
      <c r="M569" s="341"/>
      <c r="N569" s="342"/>
    </row>
    <row r="570" spans="3:14" s="120" customFormat="1" x14ac:dyDescent="0.2">
      <c r="C570" s="129"/>
      <c r="H570" s="129"/>
      <c r="I570" s="129"/>
      <c r="M570" s="341"/>
      <c r="N570" s="342"/>
    </row>
    <row r="571" spans="3:14" s="120" customFormat="1" x14ac:dyDescent="0.2">
      <c r="C571" s="129"/>
      <c r="H571" s="129"/>
      <c r="I571" s="129"/>
      <c r="M571" s="341"/>
      <c r="N571" s="342"/>
    </row>
    <row r="572" spans="3:14" s="120" customFormat="1" x14ac:dyDescent="0.2">
      <c r="C572" s="129"/>
      <c r="H572" s="129"/>
      <c r="I572" s="129"/>
      <c r="M572" s="341"/>
      <c r="N572" s="342"/>
    </row>
    <row r="573" spans="3:14" s="120" customFormat="1" x14ac:dyDescent="0.2">
      <c r="C573" s="129"/>
      <c r="H573" s="129"/>
      <c r="I573" s="129"/>
      <c r="M573" s="341"/>
      <c r="N573" s="342"/>
    </row>
    <row r="574" spans="3:14" s="120" customFormat="1" x14ac:dyDescent="0.2">
      <c r="C574" s="129"/>
      <c r="H574" s="129"/>
      <c r="I574" s="129"/>
      <c r="M574" s="341"/>
      <c r="N574" s="342"/>
    </row>
    <row r="575" spans="3:14" s="120" customFormat="1" x14ac:dyDescent="0.2">
      <c r="C575" s="129"/>
      <c r="H575" s="129"/>
      <c r="I575" s="129"/>
      <c r="M575" s="341"/>
      <c r="N575" s="342"/>
    </row>
    <row r="576" spans="3:14" s="120" customFormat="1" x14ac:dyDescent="0.2">
      <c r="C576" s="129"/>
      <c r="H576" s="129"/>
      <c r="I576" s="129"/>
      <c r="M576" s="341"/>
      <c r="N576" s="342"/>
    </row>
    <row r="577" spans="3:14" s="120" customFormat="1" x14ac:dyDescent="0.2">
      <c r="C577" s="129"/>
      <c r="H577" s="129"/>
      <c r="I577" s="129"/>
      <c r="M577" s="341"/>
      <c r="N577" s="342"/>
    </row>
    <row r="578" spans="3:14" s="120" customFormat="1" x14ac:dyDescent="0.2">
      <c r="C578" s="129"/>
      <c r="H578" s="129"/>
      <c r="I578" s="129"/>
      <c r="M578" s="341"/>
      <c r="N578" s="342"/>
    </row>
    <row r="579" spans="3:14" s="120" customFormat="1" x14ac:dyDescent="0.2">
      <c r="C579" s="129"/>
      <c r="H579" s="129"/>
      <c r="I579" s="129"/>
      <c r="M579" s="341"/>
      <c r="N579" s="342"/>
    </row>
    <row r="580" spans="3:14" s="120" customFormat="1" x14ac:dyDescent="0.2">
      <c r="C580" s="129"/>
      <c r="H580" s="129"/>
      <c r="I580" s="129"/>
      <c r="M580" s="341"/>
      <c r="N580" s="342"/>
    </row>
    <row r="581" spans="3:14" s="120" customFormat="1" x14ac:dyDescent="0.2">
      <c r="C581" s="129"/>
      <c r="H581" s="129"/>
      <c r="I581" s="129"/>
      <c r="M581" s="341"/>
      <c r="N581" s="342"/>
    </row>
    <row r="582" spans="3:14" s="120" customFormat="1" x14ac:dyDescent="0.2">
      <c r="C582" s="129"/>
      <c r="H582" s="129"/>
      <c r="I582" s="129"/>
      <c r="M582" s="341"/>
      <c r="N582" s="342"/>
    </row>
    <row r="583" spans="3:14" s="120" customFormat="1" x14ac:dyDescent="0.2">
      <c r="C583" s="129"/>
      <c r="H583" s="129"/>
      <c r="I583" s="129"/>
      <c r="M583" s="341"/>
      <c r="N583" s="342"/>
    </row>
    <row r="584" spans="3:14" s="120" customFormat="1" x14ac:dyDescent="0.2">
      <c r="C584" s="129"/>
      <c r="H584" s="129"/>
      <c r="I584" s="129"/>
      <c r="M584" s="341"/>
      <c r="N584" s="342"/>
    </row>
    <row r="585" spans="3:14" s="120" customFormat="1" x14ac:dyDescent="0.2">
      <c r="C585" s="129"/>
      <c r="H585" s="129"/>
      <c r="I585" s="129"/>
      <c r="M585" s="341"/>
      <c r="N585" s="342"/>
    </row>
    <row r="586" spans="3:14" s="120" customFormat="1" x14ac:dyDescent="0.2">
      <c r="C586" s="129"/>
      <c r="H586" s="129"/>
      <c r="I586" s="129"/>
      <c r="M586" s="341"/>
      <c r="N586" s="342"/>
    </row>
    <row r="587" spans="3:14" s="120" customFormat="1" x14ac:dyDescent="0.2">
      <c r="C587" s="129"/>
      <c r="H587" s="129"/>
      <c r="I587" s="129"/>
      <c r="M587" s="341"/>
      <c r="N587" s="342"/>
    </row>
    <row r="588" spans="3:14" s="120" customFormat="1" x14ac:dyDescent="0.2">
      <c r="C588" s="129"/>
      <c r="H588" s="129"/>
      <c r="I588" s="129"/>
      <c r="M588" s="341"/>
      <c r="N588" s="342"/>
    </row>
    <row r="589" spans="3:14" s="120" customFormat="1" x14ac:dyDescent="0.2">
      <c r="C589" s="129"/>
      <c r="H589" s="129"/>
      <c r="I589" s="129"/>
      <c r="M589" s="341"/>
      <c r="N589" s="342"/>
    </row>
    <row r="590" spans="3:14" s="120" customFormat="1" x14ac:dyDescent="0.2">
      <c r="C590" s="129"/>
      <c r="H590" s="129"/>
      <c r="I590" s="129"/>
      <c r="M590" s="341"/>
      <c r="N590" s="342"/>
    </row>
    <row r="591" spans="3:14" s="120" customFormat="1" x14ac:dyDescent="0.2">
      <c r="C591" s="129"/>
      <c r="H591" s="129"/>
      <c r="I591" s="129"/>
      <c r="M591" s="341"/>
      <c r="N591" s="342"/>
    </row>
    <row r="592" spans="3:14" s="120" customFormat="1" x14ac:dyDescent="0.2">
      <c r="C592" s="129"/>
      <c r="H592" s="129"/>
      <c r="I592" s="129"/>
      <c r="M592" s="341"/>
      <c r="N592" s="342"/>
    </row>
    <row r="593" spans="3:14" s="120" customFormat="1" x14ac:dyDescent="0.2">
      <c r="C593" s="129"/>
      <c r="H593" s="129"/>
      <c r="I593" s="129"/>
      <c r="M593" s="341"/>
      <c r="N593" s="342"/>
    </row>
    <row r="594" spans="3:14" s="120" customFormat="1" x14ac:dyDescent="0.2">
      <c r="C594" s="129"/>
      <c r="H594" s="129"/>
      <c r="I594" s="129"/>
      <c r="M594" s="341"/>
      <c r="N594" s="342"/>
    </row>
    <row r="595" spans="3:14" s="120" customFormat="1" x14ac:dyDescent="0.2">
      <c r="C595" s="129"/>
      <c r="H595" s="129"/>
      <c r="I595" s="129"/>
      <c r="M595" s="341"/>
      <c r="N595" s="342"/>
    </row>
    <row r="596" spans="3:14" s="120" customFormat="1" x14ac:dyDescent="0.2">
      <c r="C596" s="129"/>
      <c r="H596" s="129"/>
      <c r="I596" s="129"/>
      <c r="M596" s="341"/>
      <c r="N596" s="342"/>
    </row>
    <row r="597" spans="3:14" s="120" customFormat="1" x14ac:dyDescent="0.2">
      <c r="C597" s="129"/>
      <c r="H597" s="129"/>
      <c r="I597" s="129"/>
      <c r="M597" s="341"/>
      <c r="N597" s="342"/>
    </row>
    <row r="598" spans="3:14" s="120" customFormat="1" x14ac:dyDescent="0.2">
      <c r="C598" s="129"/>
      <c r="H598" s="129"/>
      <c r="I598" s="129"/>
      <c r="M598" s="341"/>
      <c r="N598" s="342"/>
    </row>
    <row r="599" spans="3:14" s="120" customFormat="1" x14ac:dyDescent="0.2">
      <c r="C599" s="129"/>
      <c r="H599" s="129"/>
      <c r="I599" s="129"/>
      <c r="M599" s="341"/>
      <c r="N599" s="342"/>
    </row>
    <row r="600" spans="3:14" s="120" customFormat="1" x14ac:dyDescent="0.2">
      <c r="C600" s="129"/>
      <c r="H600" s="129"/>
      <c r="I600" s="129"/>
      <c r="M600" s="341"/>
      <c r="N600" s="342"/>
    </row>
    <row r="601" spans="3:14" s="120" customFormat="1" x14ac:dyDescent="0.2">
      <c r="C601" s="129"/>
      <c r="H601" s="129"/>
      <c r="I601" s="129"/>
      <c r="M601" s="341"/>
      <c r="N601" s="342"/>
    </row>
    <row r="602" spans="3:14" s="120" customFormat="1" x14ac:dyDescent="0.2">
      <c r="C602" s="129"/>
      <c r="H602" s="129"/>
      <c r="I602" s="129"/>
      <c r="M602" s="341"/>
      <c r="N602" s="342"/>
    </row>
    <row r="603" spans="3:14" s="120" customFormat="1" x14ac:dyDescent="0.2">
      <c r="C603" s="129"/>
      <c r="H603" s="129"/>
      <c r="I603" s="129"/>
      <c r="M603" s="341"/>
      <c r="N603" s="342"/>
    </row>
    <row r="604" spans="3:14" s="120" customFormat="1" x14ac:dyDescent="0.2">
      <c r="C604" s="129"/>
      <c r="H604" s="129"/>
      <c r="I604" s="129"/>
      <c r="M604" s="341"/>
      <c r="N604" s="342"/>
    </row>
    <row r="605" spans="3:14" s="120" customFormat="1" x14ac:dyDescent="0.2">
      <c r="C605" s="129"/>
      <c r="H605" s="129"/>
      <c r="I605" s="129"/>
      <c r="M605" s="341"/>
      <c r="N605" s="342"/>
    </row>
    <row r="606" spans="3:14" s="120" customFormat="1" x14ac:dyDescent="0.2">
      <c r="C606" s="129"/>
      <c r="H606" s="129"/>
      <c r="I606" s="129"/>
      <c r="M606" s="341"/>
      <c r="N606" s="342"/>
    </row>
    <row r="607" spans="3:14" s="120" customFormat="1" x14ac:dyDescent="0.2">
      <c r="C607" s="129"/>
      <c r="H607" s="129"/>
      <c r="I607" s="129"/>
      <c r="M607" s="341"/>
      <c r="N607" s="342"/>
    </row>
    <row r="608" spans="3:14" s="120" customFormat="1" x14ac:dyDescent="0.2">
      <c r="C608" s="129"/>
      <c r="H608" s="129"/>
      <c r="I608" s="129"/>
      <c r="M608" s="341"/>
      <c r="N608" s="342"/>
    </row>
    <row r="609" spans="3:14" s="120" customFormat="1" x14ac:dyDescent="0.2">
      <c r="C609" s="129"/>
      <c r="H609" s="129"/>
      <c r="I609" s="129"/>
      <c r="M609" s="341"/>
      <c r="N609" s="342"/>
    </row>
    <row r="610" spans="3:14" s="120" customFormat="1" x14ac:dyDescent="0.2">
      <c r="C610" s="129"/>
      <c r="H610" s="129"/>
      <c r="I610" s="129"/>
      <c r="M610" s="341"/>
      <c r="N610" s="342"/>
    </row>
    <row r="611" spans="3:14" s="120" customFormat="1" x14ac:dyDescent="0.2">
      <c r="C611" s="129"/>
      <c r="H611" s="129"/>
      <c r="I611" s="129"/>
      <c r="M611" s="341"/>
      <c r="N611" s="342"/>
    </row>
    <row r="612" spans="3:14" s="120" customFormat="1" x14ac:dyDescent="0.2">
      <c r="C612" s="129"/>
      <c r="H612" s="129"/>
      <c r="I612" s="129"/>
      <c r="M612" s="341"/>
      <c r="N612" s="342"/>
    </row>
    <row r="613" spans="3:14" s="120" customFormat="1" x14ac:dyDescent="0.2">
      <c r="C613" s="129"/>
      <c r="H613" s="129"/>
      <c r="I613" s="129"/>
      <c r="M613" s="341"/>
      <c r="N613" s="342"/>
    </row>
    <row r="614" spans="3:14" s="120" customFormat="1" x14ac:dyDescent="0.2">
      <c r="C614" s="129"/>
      <c r="H614" s="129"/>
      <c r="I614" s="129"/>
      <c r="M614" s="341"/>
      <c r="N614" s="342"/>
    </row>
    <row r="615" spans="3:14" s="120" customFormat="1" x14ac:dyDescent="0.2">
      <c r="C615" s="129"/>
      <c r="H615" s="129"/>
      <c r="I615" s="129"/>
      <c r="M615" s="341"/>
      <c r="N615" s="342"/>
    </row>
    <row r="616" spans="3:14" s="120" customFormat="1" x14ac:dyDescent="0.2">
      <c r="C616" s="129"/>
      <c r="H616" s="129"/>
      <c r="I616" s="129"/>
      <c r="M616" s="341"/>
      <c r="N616" s="342"/>
    </row>
    <row r="617" spans="3:14" s="120" customFormat="1" x14ac:dyDescent="0.2">
      <c r="C617" s="129"/>
      <c r="H617" s="129"/>
      <c r="I617" s="129"/>
      <c r="M617" s="341"/>
      <c r="N617" s="342"/>
    </row>
    <row r="618" spans="3:14" s="120" customFormat="1" x14ac:dyDescent="0.2">
      <c r="C618" s="129"/>
      <c r="H618" s="129"/>
      <c r="I618" s="129"/>
      <c r="M618" s="341"/>
      <c r="N618" s="342"/>
    </row>
    <row r="619" spans="3:14" s="120" customFormat="1" x14ac:dyDescent="0.2">
      <c r="C619" s="129"/>
      <c r="H619" s="129"/>
      <c r="I619" s="129"/>
      <c r="M619" s="341"/>
      <c r="N619" s="342"/>
    </row>
    <row r="620" spans="3:14" s="120" customFormat="1" x14ac:dyDescent="0.2">
      <c r="C620" s="129"/>
      <c r="H620" s="129"/>
      <c r="I620" s="129"/>
      <c r="M620" s="341"/>
      <c r="N620" s="342"/>
    </row>
    <row r="621" spans="3:14" s="120" customFormat="1" x14ac:dyDescent="0.2">
      <c r="C621" s="129"/>
      <c r="H621" s="129"/>
      <c r="I621" s="129"/>
      <c r="M621" s="341"/>
      <c r="N621" s="342"/>
    </row>
    <row r="622" spans="3:14" s="120" customFormat="1" x14ac:dyDescent="0.2">
      <c r="C622" s="129"/>
      <c r="H622" s="129"/>
      <c r="I622" s="129"/>
      <c r="M622" s="341"/>
      <c r="N622" s="342"/>
    </row>
    <row r="623" spans="3:14" s="120" customFormat="1" x14ac:dyDescent="0.2">
      <c r="C623" s="129"/>
      <c r="H623" s="129"/>
      <c r="I623" s="129"/>
      <c r="M623" s="341"/>
      <c r="N623" s="342"/>
    </row>
    <row r="624" spans="3:14" s="120" customFormat="1" x14ac:dyDescent="0.2">
      <c r="C624" s="129"/>
      <c r="H624" s="129"/>
      <c r="I624" s="129"/>
      <c r="M624" s="341"/>
      <c r="N624" s="342"/>
    </row>
    <row r="625" spans="3:14" s="120" customFormat="1" x14ac:dyDescent="0.2">
      <c r="C625" s="129"/>
      <c r="H625" s="129"/>
      <c r="I625" s="129"/>
      <c r="M625" s="341"/>
      <c r="N625" s="342"/>
    </row>
    <row r="626" spans="3:14" s="120" customFormat="1" x14ac:dyDescent="0.2">
      <c r="C626" s="129"/>
      <c r="H626" s="129"/>
      <c r="I626" s="129"/>
      <c r="M626" s="341"/>
      <c r="N626" s="342"/>
    </row>
    <row r="627" spans="3:14" s="120" customFormat="1" x14ac:dyDescent="0.2">
      <c r="C627" s="129"/>
      <c r="H627" s="129"/>
      <c r="I627" s="129"/>
      <c r="M627" s="341"/>
      <c r="N627" s="342"/>
    </row>
    <row r="628" spans="3:14" s="120" customFormat="1" x14ac:dyDescent="0.2">
      <c r="C628" s="129"/>
      <c r="H628" s="129"/>
      <c r="I628" s="129"/>
      <c r="M628" s="341"/>
      <c r="N628" s="342"/>
    </row>
    <row r="629" spans="3:14" s="120" customFormat="1" x14ac:dyDescent="0.2">
      <c r="C629" s="129"/>
      <c r="H629" s="129"/>
      <c r="I629" s="129"/>
      <c r="M629" s="341"/>
      <c r="N629" s="342"/>
    </row>
    <row r="630" spans="3:14" s="120" customFormat="1" x14ac:dyDescent="0.2">
      <c r="C630" s="129"/>
      <c r="H630" s="129"/>
      <c r="I630" s="129"/>
      <c r="M630" s="341"/>
      <c r="N630" s="342"/>
    </row>
    <row r="631" spans="3:14" s="120" customFormat="1" x14ac:dyDescent="0.2">
      <c r="C631" s="129"/>
      <c r="H631" s="129"/>
      <c r="I631" s="129"/>
      <c r="M631" s="341"/>
      <c r="N631" s="342"/>
    </row>
    <row r="632" spans="3:14" s="120" customFormat="1" x14ac:dyDescent="0.2">
      <c r="C632" s="129"/>
      <c r="H632" s="129"/>
      <c r="I632" s="129"/>
      <c r="M632" s="341"/>
      <c r="N632" s="342"/>
    </row>
    <row r="633" spans="3:14" s="120" customFormat="1" x14ac:dyDescent="0.2">
      <c r="C633" s="129"/>
      <c r="H633" s="129"/>
      <c r="I633" s="129"/>
      <c r="M633" s="341"/>
      <c r="N633" s="342"/>
    </row>
    <row r="634" spans="3:14" s="120" customFormat="1" x14ac:dyDescent="0.2">
      <c r="C634" s="129"/>
      <c r="H634" s="129"/>
      <c r="I634" s="129"/>
      <c r="M634" s="341"/>
      <c r="N634" s="342"/>
    </row>
    <row r="635" spans="3:14" s="120" customFormat="1" x14ac:dyDescent="0.2">
      <c r="C635" s="129"/>
      <c r="H635" s="129"/>
      <c r="I635" s="129"/>
      <c r="M635" s="341"/>
      <c r="N635" s="342"/>
    </row>
    <row r="636" spans="3:14" s="120" customFormat="1" x14ac:dyDescent="0.2">
      <c r="C636" s="129"/>
      <c r="H636" s="129"/>
      <c r="I636" s="129"/>
      <c r="M636" s="341"/>
      <c r="N636" s="342"/>
    </row>
    <row r="637" spans="3:14" s="120" customFormat="1" x14ac:dyDescent="0.2">
      <c r="C637" s="129"/>
      <c r="H637" s="129"/>
      <c r="I637" s="129"/>
      <c r="M637" s="341"/>
      <c r="N637" s="342"/>
    </row>
    <row r="638" spans="3:14" s="120" customFormat="1" x14ac:dyDescent="0.2">
      <c r="C638" s="129"/>
      <c r="H638" s="129"/>
      <c r="I638" s="129"/>
      <c r="M638" s="341"/>
      <c r="N638" s="342"/>
    </row>
    <row r="639" spans="3:14" s="120" customFormat="1" x14ac:dyDescent="0.2">
      <c r="C639" s="129"/>
      <c r="H639" s="129"/>
      <c r="I639" s="129"/>
      <c r="M639" s="341"/>
      <c r="N639" s="342"/>
    </row>
    <row r="640" spans="3:14" s="120" customFormat="1" x14ac:dyDescent="0.2">
      <c r="C640" s="129"/>
      <c r="H640" s="129"/>
      <c r="I640" s="129"/>
      <c r="M640" s="341"/>
      <c r="N640" s="342"/>
    </row>
    <row r="641" spans="3:14" s="120" customFormat="1" x14ac:dyDescent="0.2">
      <c r="C641" s="129"/>
      <c r="H641" s="129"/>
      <c r="I641" s="129"/>
      <c r="M641" s="341"/>
      <c r="N641" s="342"/>
    </row>
    <row r="642" spans="3:14" s="120" customFormat="1" x14ac:dyDescent="0.2">
      <c r="C642" s="129"/>
      <c r="H642" s="129"/>
      <c r="I642" s="129"/>
      <c r="M642" s="341"/>
      <c r="N642" s="342"/>
    </row>
    <row r="643" spans="3:14" s="120" customFormat="1" x14ac:dyDescent="0.2">
      <c r="C643" s="129"/>
      <c r="H643" s="129"/>
      <c r="I643" s="129"/>
      <c r="M643" s="341"/>
      <c r="N643" s="342"/>
    </row>
    <row r="644" spans="3:14" s="120" customFormat="1" x14ac:dyDescent="0.2">
      <c r="C644" s="129"/>
      <c r="H644" s="129"/>
      <c r="I644" s="129"/>
      <c r="M644" s="341"/>
      <c r="N644" s="342"/>
    </row>
    <row r="645" spans="3:14" s="120" customFormat="1" x14ac:dyDescent="0.2">
      <c r="C645" s="129"/>
      <c r="H645" s="129"/>
      <c r="I645" s="129"/>
      <c r="M645" s="341"/>
      <c r="N645" s="342"/>
    </row>
    <row r="646" spans="3:14" s="120" customFormat="1" x14ac:dyDescent="0.2">
      <c r="C646" s="129"/>
      <c r="H646" s="129"/>
      <c r="I646" s="129"/>
      <c r="M646" s="341"/>
      <c r="N646" s="342"/>
    </row>
    <row r="647" spans="3:14" s="120" customFormat="1" x14ac:dyDescent="0.2">
      <c r="C647" s="129"/>
      <c r="H647" s="129"/>
      <c r="I647" s="129"/>
      <c r="M647" s="341"/>
      <c r="N647" s="342"/>
    </row>
    <row r="648" spans="3:14" s="120" customFormat="1" x14ac:dyDescent="0.2">
      <c r="C648" s="129"/>
      <c r="H648" s="129"/>
      <c r="I648" s="129"/>
      <c r="M648" s="341"/>
      <c r="N648" s="342"/>
    </row>
    <row r="649" spans="3:14" s="120" customFormat="1" x14ac:dyDescent="0.2">
      <c r="C649" s="129"/>
      <c r="H649" s="129"/>
      <c r="I649" s="129"/>
      <c r="M649" s="341"/>
      <c r="N649" s="342"/>
    </row>
    <row r="650" spans="3:14" s="120" customFormat="1" x14ac:dyDescent="0.2">
      <c r="C650" s="129"/>
      <c r="H650" s="129"/>
      <c r="I650" s="129"/>
      <c r="M650" s="341"/>
      <c r="N650" s="342"/>
    </row>
    <row r="651" spans="3:14" s="120" customFormat="1" x14ac:dyDescent="0.2">
      <c r="C651" s="129"/>
      <c r="H651" s="129"/>
      <c r="I651" s="129"/>
      <c r="M651" s="341"/>
      <c r="N651" s="342"/>
    </row>
    <row r="652" spans="3:14" s="120" customFormat="1" x14ac:dyDescent="0.2">
      <c r="C652" s="129"/>
      <c r="H652" s="129"/>
      <c r="I652" s="129"/>
      <c r="M652" s="341"/>
      <c r="N652" s="342"/>
    </row>
    <row r="653" spans="3:14" s="120" customFormat="1" x14ac:dyDescent="0.2">
      <c r="C653" s="129"/>
      <c r="H653" s="129"/>
      <c r="I653" s="129"/>
      <c r="M653" s="341"/>
      <c r="N653" s="342"/>
    </row>
    <row r="654" spans="3:14" s="120" customFormat="1" x14ac:dyDescent="0.2">
      <c r="C654" s="129"/>
      <c r="H654" s="129"/>
      <c r="I654" s="129"/>
      <c r="M654" s="341"/>
      <c r="N654" s="342"/>
    </row>
    <row r="655" spans="3:14" s="120" customFormat="1" x14ac:dyDescent="0.2">
      <c r="C655" s="129"/>
      <c r="H655" s="129"/>
      <c r="I655" s="129"/>
      <c r="M655" s="341"/>
      <c r="N655" s="342"/>
    </row>
    <row r="656" spans="3:14" s="120" customFormat="1" x14ac:dyDescent="0.2">
      <c r="C656" s="129"/>
      <c r="H656" s="129"/>
      <c r="I656" s="129"/>
      <c r="M656" s="341"/>
      <c r="N656" s="342"/>
    </row>
    <row r="657" spans="3:14" s="120" customFormat="1" x14ac:dyDescent="0.2">
      <c r="C657" s="129"/>
      <c r="H657" s="129"/>
      <c r="I657" s="129"/>
      <c r="M657" s="341"/>
      <c r="N657" s="342"/>
    </row>
    <row r="658" spans="3:14" s="120" customFormat="1" x14ac:dyDescent="0.2">
      <c r="C658" s="129"/>
      <c r="H658" s="129"/>
      <c r="I658" s="129"/>
      <c r="M658" s="341"/>
      <c r="N658" s="342"/>
    </row>
    <row r="659" spans="3:14" s="120" customFormat="1" x14ac:dyDescent="0.2">
      <c r="C659" s="129"/>
      <c r="H659" s="129"/>
      <c r="I659" s="129"/>
      <c r="M659" s="341"/>
      <c r="N659" s="342"/>
    </row>
    <row r="660" spans="3:14" s="120" customFormat="1" x14ac:dyDescent="0.2">
      <c r="C660" s="129"/>
      <c r="H660" s="129"/>
      <c r="I660" s="129"/>
      <c r="M660" s="341"/>
      <c r="N660" s="342"/>
    </row>
    <row r="661" spans="3:14" s="120" customFormat="1" x14ac:dyDescent="0.2">
      <c r="C661" s="129"/>
      <c r="H661" s="129"/>
      <c r="I661" s="129"/>
      <c r="M661" s="341"/>
      <c r="N661" s="342"/>
    </row>
    <row r="662" spans="3:14" s="120" customFormat="1" x14ac:dyDescent="0.2">
      <c r="C662" s="129"/>
      <c r="H662" s="129"/>
      <c r="I662" s="129"/>
      <c r="M662" s="341"/>
      <c r="N662" s="342"/>
    </row>
    <row r="663" spans="3:14" s="120" customFormat="1" x14ac:dyDescent="0.2">
      <c r="C663" s="129"/>
      <c r="H663" s="129"/>
      <c r="I663" s="129"/>
      <c r="M663" s="341"/>
      <c r="N663" s="342"/>
    </row>
    <row r="664" spans="3:14" s="120" customFormat="1" x14ac:dyDescent="0.2">
      <c r="C664" s="129"/>
      <c r="H664" s="129"/>
      <c r="I664" s="129"/>
      <c r="M664" s="341"/>
      <c r="N664" s="342"/>
    </row>
    <row r="665" spans="3:14" s="120" customFormat="1" x14ac:dyDescent="0.2">
      <c r="C665" s="129"/>
      <c r="H665" s="129"/>
      <c r="I665" s="129"/>
      <c r="M665" s="341"/>
      <c r="N665" s="342"/>
    </row>
    <row r="666" spans="3:14" s="120" customFormat="1" x14ac:dyDescent="0.2">
      <c r="C666" s="129"/>
      <c r="H666" s="129"/>
      <c r="I666" s="129"/>
      <c r="M666" s="341"/>
      <c r="N666" s="342"/>
    </row>
    <row r="667" spans="3:14" s="120" customFormat="1" x14ac:dyDescent="0.2">
      <c r="C667" s="129"/>
      <c r="H667" s="129"/>
      <c r="I667" s="129"/>
      <c r="M667" s="341"/>
      <c r="N667" s="342"/>
    </row>
    <row r="668" spans="3:14" s="120" customFormat="1" x14ac:dyDescent="0.2">
      <c r="C668" s="129"/>
      <c r="H668" s="129"/>
      <c r="I668" s="129"/>
      <c r="M668" s="341"/>
      <c r="N668" s="342"/>
    </row>
    <row r="669" spans="3:14" s="120" customFormat="1" x14ac:dyDescent="0.2">
      <c r="C669" s="129"/>
      <c r="H669" s="129"/>
      <c r="I669" s="129"/>
      <c r="M669" s="341"/>
      <c r="N669" s="342"/>
    </row>
    <row r="670" spans="3:14" s="120" customFormat="1" x14ac:dyDescent="0.2">
      <c r="C670" s="129"/>
      <c r="H670" s="129"/>
      <c r="I670" s="129"/>
      <c r="M670" s="341"/>
      <c r="N670" s="342"/>
    </row>
    <row r="671" spans="3:14" s="120" customFormat="1" x14ac:dyDescent="0.2">
      <c r="C671" s="129"/>
      <c r="H671" s="129"/>
      <c r="I671" s="129"/>
      <c r="M671" s="341"/>
      <c r="N671" s="342"/>
    </row>
    <row r="672" spans="3:14" s="120" customFormat="1" x14ac:dyDescent="0.2">
      <c r="C672" s="129"/>
      <c r="H672" s="129"/>
      <c r="I672" s="129"/>
      <c r="M672" s="341"/>
      <c r="N672" s="342"/>
    </row>
    <row r="673" spans="3:14" s="120" customFormat="1" x14ac:dyDescent="0.2">
      <c r="C673" s="129"/>
      <c r="H673" s="129"/>
      <c r="I673" s="129"/>
      <c r="M673" s="341"/>
      <c r="N673" s="342"/>
    </row>
    <row r="674" spans="3:14" s="120" customFormat="1" x14ac:dyDescent="0.2">
      <c r="C674" s="129"/>
      <c r="H674" s="129"/>
      <c r="I674" s="129"/>
      <c r="M674" s="341"/>
      <c r="N674" s="342"/>
    </row>
    <row r="675" spans="3:14" s="120" customFormat="1" x14ac:dyDescent="0.2">
      <c r="C675" s="129"/>
      <c r="H675" s="129"/>
      <c r="I675" s="129"/>
      <c r="M675" s="341"/>
      <c r="N675" s="342"/>
    </row>
    <row r="676" spans="3:14" s="120" customFormat="1" x14ac:dyDescent="0.2">
      <c r="C676" s="129"/>
      <c r="H676" s="129"/>
      <c r="I676" s="129"/>
      <c r="M676" s="341"/>
      <c r="N676" s="342"/>
    </row>
    <row r="677" spans="3:14" s="120" customFormat="1" x14ac:dyDescent="0.2">
      <c r="C677" s="129"/>
      <c r="H677" s="129"/>
      <c r="I677" s="129"/>
      <c r="M677" s="341"/>
      <c r="N677" s="342"/>
    </row>
    <row r="678" spans="3:14" s="120" customFormat="1" x14ac:dyDescent="0.2">
      <c r="C678" s="129"/>
      <c r="H678" s="129"/>
      <c r="I678" s="129"/>
      <c r="M678" s="341"/>
      <c r="N678" s="342"/>
    </row>
    <row r="679" spans="3:14" s="120" customFormat="1" x14ac:dyDescent="0.2">
      <c r="C679" s="129"/>
      <c r="H679" s="129"/>
      <c r="I679" s="129"/>
      <c r="M679" s="341"/>
      <c r="N679" s="342"/>
    </row>
    <row r="680" spans="3:14" s="120" customFormat="1" x14ac:dyDescent="0.2">
      <c r="C680" s="129"/>
      <c r="H680" s="129"/>
      <c r="I680" s="129"/>
      <c r="M680" s="341"/>
      <c r="N680" s="342"/>
    </row>
    <row r="681" spans="3:14" s="120" customFormat="1" x14ac:dyDescent="0.2">
      <c r="C681" s="129"/>
      <c r="H681" s="129"/>
      <c r="I681" s="129"/>
      <c r="M681" s="341"/>
      <c r="N681" s="342"/>
    </row>
    <row r="682" spans="3:14" s="120" customFormat="1" x14ac:dyDescent="0.2">
      <c r="C682" s="129"/>
      <c r="H682" s="129"/>
      <c r="I682" s="129"/>
      <c r="M682" s="341"/>
      <c r="N682" s="342"/>
    </row>
    <row r="683" spans="3:14" s="120" customFormat="1" x14ac:dyDescent="0.2">
      <c r="C683" s="129"/>
      <c r="H683" s="129"/>
      <c r="I683" s="129"/>
      <c r="M683" s="341"/>
      <c r="N683" s="342"/>
    </row>
    <row r="684" spans="3:14" s="120" customFormat="1" x14ac:dyDescent="0.2">
      <c r="C684" s="129"/>
      <c r="H684" s="129"/>
      <c r="I684" s="129"/>
      <c r="M684" s="341"/>
      <c r="N684" s="342"/>
    </row>
    <row r="685" spans="3:14" s="120" customFormat="1" x14ac:dyDescent="0.2">
      <c r="C685" s="129"/>
      <c r="H685" s="129"/>
      <c r="I685" s="129"/>
      <c r="M685" s="341"/>
      <c r="N685" s="342"/>
    </row>
    <row r="686" spans="3:14" s="120" customFormat="1" x14ac:dyDescent="0.2">
      <c r="C686" s="129"/>
      <c r="H686" s="129"/>
      <c r="I686" s="129"/>
      <c r="M686" s="341"/>
      <c r="N686" s="342"/>
    </row>
    <row r="687" spans="3:14" s="120" customFormat="1" x14ac:dyDescent="0.2">
      <c r="C687" s="129"/>
      <c r="H687" s="129"/>
      <c r="I687" s="129"/>
      <c r="M687" s="341"/>
      <c r="N687" s="342"/>
    </row>
    <row r="688" spans="3:14" s="120" customFormat="1" x14ac:dyDescent="0.2">
      <c r="C688" s="129"/>
      <c r="H688" s="129"/>
      <c r="I688" s="129"/>
      <c r="M688" s="341"/>
      <c r="N688" s="342"/>
    </row>
    <row r="689" spans="3:14" s="120" customFormat="1" x14ac:dyDescent="0.2">
      <c r="C689" s="129"/>
      <c r="H689" s="129"/>
      <c r="I689" s="129"/>
      <c r="M689" s="341"/>
      <c r="N689" s="342"/>
    </row>
    <row r="690" spans="3:14" s="120" customFormat="1" x14ac:dyDescent="0.2">
      <c r="C690" s="129"/>
      <c r="H690" s="129"/>
      <c r="I690" s="129"/>
      <c r="M690" s="341"/>
      <c r="N690" s="342"/>
    </row>
    <row r="691" spans="3:14" s="120" customFormat="1" x14ac:dyDescent="0.2">
      <c r="C691" s="129"/>
      <c r="H691" s="129"/>
      <c r="I691" s="129"/>
      <c r="M691" s="341"/>
      <c r="N691" s="342"/>
    </row>
    <row r="692" spans="3:14" s="120" customFormat="1" x14ac:dyDescent="0.2">
      <c r="C692" s="129"/>
      <c r="H692" s="129"/>
      <c r="I692" s="129"/>
      <c r="M692" s="341"/>
      <c r="N692" s="342"/>
    </row>
    <row r="693" spans="3:14" s="120" customFormat="1" x14ac:dyDescent="0.2">
      <c r="C693" s="129"/>
      <c r="H693" s="129"/>
      <c r="I693" s="129"/>
      <c r="M693" s="341"/>
      <c r="N693" s="342"/>
    </row>
    <row r="694" spans="3:14" s="120" customFormat="1" x14ac:dyDescent="0.2">
      <c r="C694" s="129"/>
      <c r="H694" s="129"/>
      <c r="I694" s="129"/>
      <c r="M694" s="341"/>
      <c r="N694" s="342"/>
    </row>
    <row r="695" spans="3:14" s="120" customFormat="1" x14ac:dyDescent="0.2">
      <c r="C695" s="129"/>
      <c r="H695" s="129"/>
      <c r="I695" s="129"/>
      <c r="M695" s="341"/>
      <c r="N695" s="342"/>
    </row>
    <row r="696" spans="3:14" s="120" customFormat="1" x14ac:dyDescent="0.2">
      <c r="C696" s="129"/>
      <c r="H696" s="129"/>
      <c r="I696" s="129"/>
      <c r="M696" s="341"/>
      <c r="N696" s="342"/>
    </row>
    <row r="697" spans="3:14" s="120" customFormat="1" x14ac:dyDescent="0.2">
      <c r="C697" s="129"/>
      <c r="H697" s="129"/>
      <c r="I697" s="129"/>
      <c r="M697" s="341"/>
      <c r="N697" s="342"/>
    </row>
    <row r="698" spans="3:14" s="120" customFormat="1" x14ac:dyDescent="0.2">
      <c r="C698" s="129"/>
      <c r="H698" s="129"/>
      <c r="I698" s="129"/>
      <c r="M698" s="341"/>
      <c r="N698" s="342"/>
    </row>
    <row r="699" spans="3:14" s="120" customFormat="1" x14ac:dyDescent="0.2">
      <c r="C699" s="129"/>
      <c r="H699" s="129"/>
      <c r="I699" s="129"/>
      <c r="M699" s="341"/>
      <c r="N699" s="342"/>
    </row>
    <row r="700" spans="3:14" s="120" customFormat="1" x14ac:dyDescent="0.2">
      <c r="C700" s="129"/>
      <c r="H700" s="129"/>
      <c r="I700" s="129"/>
      <c r="M700" s="341"/>
      <c r="N700" s="342"/>
    </row>
    <row r="701" spans="3:14" s="120" customFormat="1" x14ac:dyDescent="0.2">
      <c r="C701" s="129"/>
      <c r="H701" s="129"/>
      <c r="I701" s="129"/>
      <c r="M701" s="341"/>
      <c r="N701" s="342"/>
    </row>
    <row r="702" spans="3:14" s="120" customFormat="1" x14ac:dyDescent="0.2">
      <c r="C702" s="129"/>
      <c r="H702" s="129"/>
      <c r="I702" s="129"/>
      <c r="M702" s="341"/>
      <c r="N702" s="342"/>
    </row>
    <row r="703" spans="3:14" s="120" customFormat="1" x14ac:dyDescent="0.2">
      <c r="C703" s="129"/>
      <c r="H703" s="129"/>
      <c r="I703" s="129"/>
      <c r="M703" s="341"/>
      <c r="N703" s="342"/>
    </row>
    <row r="704" spans="3:14" s="120" customFormat="1" x14ac:dyDescent="0.2">
      <c r="C704" s="129"/>
      <c r="H704" s="129"/>
      <c r="I704" s="129"/>
      <c r="M704" s="341"/>
      <c r="N704" s="342"/>
    </row>
    <row r="705" spans="3:14" s="120" customFormat="1" x14ac:dyDescent="0.2">
      <c r="C705" s="129"/>
      <c r="H705" s="129"/>
      <c r="I705" s="129"/>
      <c r="M705" s="341"/>
      <c r="N705" s="342"/>
    </row>
    <row r="706" spans="3:14" s="120" customFormat="1" x14ac:dyDescent="0.2">
      <c r="C706" s="129"/>
      <c r="H706" s="129"/>
      <c r="I706" s="129"/>
      <c r="M706" s="341"/>
      <c r="N706" s="342"/>
    </row>
    <row r="707" spans="3:14" s="120" customFormat="1" x14ac:dyDescent="0.2">
      <c r="C707" s="129"/>
      <c r="H707" s="129"/>
      <c r="I707" s="129"/>
      <c r="M707" s="341"/>
      <c r="N707" s="342"/>
    </row>
    <row r="708" spans="3:14" s="120" customFormat="1" x14ac:dyDescent="0.2">
      <c r="C708" s="129"/>
      <c r="H708" s="129"/>
      <c r="I708" s="129"/>
      <c r="M708" s="341"/>
      <c r="N708" s="342"/>
    </row>
    <row r="709" spans="3:14" s="120" customFormat="1" x14ac:dyDescent="0.2">
      <c r="C709" s="129"/>
      <c r="H709" s="129"/>
      <c r="I709" s="129"/>
      <c r="M709" s="341"/>
      <c r="N709" s="342"/>
    </row>
    <row r="710" spans="3:14" s="120" customFormat="1" x14ac:dyDescent="0.2">
      <c r="C710" s="129"/>
      <c r="H710" s="129"/>
      <c r="I710" s="129"/>
      <c r="M710" s="341"/>
      <c r="N710" s="342"/>
    </row>
    <row r="711" spans="3:14" s="120" customFormat="1" x14ac:dyDescent="0.2">
      <c r="C711" s="129"/>
      <c r="H711" s="129"/>
      <c r="I711" s="129"/>
      <c r="M711" s="341"/>
      <c r="N711" s="342"/>
    </row>
    <row r="712" spans="3:14" s="120" customFormat="1" x14ac:dyDescent="0.2">
      <c r="C712" s="129"/>
      <c r="H712" s="129"/>
      <c r="I712" s="129"/>
      <c r="M712" s="341"/>
      <c r="N712" s="342"/>
    </row>
    <row r="713" spans="3:14" s="120" customFormat="1" x14ac:dyDescent="0.2">
      <c r="C713" s="129"/>
      <c r="H713" s="129"/>
      <c r="I713" s="129"/>
      <c r="M713" s="341"/>
      <c r="N713" s="342"/>
    </row>
    <row r="714" spans="3:14" s="120" customFormat="1" x14ac:dyDescent="0.2">
      <c r="C714" s="129"/>
      <c r="H714" s="129"/>
      <c r="I714" s="129"/>
      <c r="M714" s="341"/>
      <c r="N714" s="342"/>
    </row>
    <row r="715" spans="3:14" s="120" customFormat="1" x14ac:dyDescent="0.2">
      <c r="C715" s="129"/>
      <c r="H715" s="129"/>
      <c r="I715" s="129"/>
      <c r="M715" s="341"/>
      <c r="N715" s="342"/>
    </row>
    <row r="716" spans="3:14" s="120" customFormat="1" x14ac:dyDescent="0.2">
      <c r="C716" s="129"/>
      <c r="H716" s="129"/>
      <c r="I716" s="129"/>
      <c r="M716" s="341"/>
      <c r="N716" s="342"/>
    </row>
    <row r="717" spans="3:14" s="120" customFormat="1" x14ac:dyDescent="0.2">
      <c r="C717" s="129"/>
      <c r="H717" s="129"/>
      <c r="I717" s="129"/>
      <c r="M717" s="341"/>
      <c r="N717" s="342"/>
    </row>
    <row r="718" spans="3:14" s="120" customFormat="1" x14ac:dyDescent="0.2">
      <c r="C718" s="129"/>
      <c r="H718" s="129"/>
      <c r="I718" s="129"/>
      <c r="M718" s="341"/>
      <c r="N718" s="342"/>
    </row>
    <row r="719" spans="3:14" s="120" customFormat="1" x14ac:dyDescent="0.2">
      <c r="C719" s="129"/>
      <c r="H719" s="129"/>
      <c r="I719" s="129"/>
      <c r="M719" s="341"/>
      <c r="N719" s="342"/>
    </row>
    <row r="720" spans="3:14" s="120" customFormat="1" x14ac:dyDescent="0.2">
      <c r="C720" s="129"/>
      <c r="H720" s="129"/>
      <c r="I720" s="129"/>
      <c r="M720" s="341"/>
      <c r="N720" s="342"/>
    </row>
    <row r="721" spans="3:14" s="120" customFormat="1" x14ac:dyDescent="0.2">
      <c r="C721" s="129"/>
      <c r="H721" s="129"/>
      <c r="I721" s="129"/>
      <c r="M721" s="341"/>
      <c r="N721" s="342"/>
    </row>
    <row r="722" spans="3:14" s="120" customFormat="1" x14ac:dyDescent="0.2">
      <c r="C722" s="129"/>
      <c r="H722" s="129"/>
      <c r="I722" s="129"/>
      <c r="M722" s="341"/>
      <c r="N722" s="342"/>
    </row>
    <row r="723" spans="3:14" s="120" customFormat="1" x14ac:dyDescent="0.2">
      <c r="C723" s="129"/>
      <c r="H723" s="129"/>
      <c r="I723" s="129"/>
      <c r="M723" s="341"/>
      <c r="N723" s="342"/>
    </row>
    <row r="724" spans="3:14" s="120" customFormat="1" x14ac:dyDescent="0.2">
      <c r="C724" s="129"/>
      <c r="H724" s="129"/>
      <c r="I724" s="129"/>
      <c r="M724" s="341"/>
      <c r="N724" s="342"/>
    </row>
    <row r="725" spans="3:14" s="120" customFormat="1" x14ac:dyDescent="0.2">
      <c r="C725" s="129"/>
      <c r="H725" s="129"/>
      <c r="I725" s="129"/>
      <c r="M725" s="341"/>
      <c r="N725" s="342"/>
    </row>
    <row r="726" spans="3:14" s="120" customFormat="1" x14ac:dyDescent="0.2">
      <c r="C726" s="129"/>
      <c r="H726" s="129"/>
      <c r="I726" s="129"/>
      <c r="M726" s="341"/>
      <c r="N726" s="342"/>
    </row>
    <row r="727" spans="3:14" s="120" customFormat="1" x14ac:dyDescent="0.2">
      <c r="C727" s="129"/>
      <c r="H727" s="129"/>
      <c r="I727" s="129"/>
      <c r="M727" s="341"/>
      <c r="N727" s="342"/>
    </row>
    <row r="728" spans="3:14" s="120" customFormat="1" x14ac:dyDescent="0.2">
      <c r="C728" s="129"/>
      <c r="H728" s="129"/>
      <c r="I728" s="129"/>
      <c r="M728" s="341"/>
      <c r="N728" s="342"/>
    </row>
    <row r="729" spans="3:14" s="120" customFormat="1" x14ac:dyDescent="0.2">
      <c r="C729" s="129"/>
      <c r="H729" s="129"/>
      <c r="I729" s="129"/>
      <c r="M729" s="341"/>
      <c r="N729" s="342"/>
    </row>
    <row r="730" spans="3:14" s="120" customFormat="1" x14ac:dyDescent="0.2">
      <c r="C730" s="129"/>
      <c r="H730" s="129"/>
      <c r="I730" s="129"/>
      <c r="M730" s="341"/>
      <c r="N730" s="342"/>
    </row>
    <row r="731" spans="3:14" s="120" customFormat="1" x14ac:dyDescent="0.2">
      <c r="C731" s="129"/>
      <c r="H731" s="129"/>
      <c r="I731" s="129"/>
      <c r="M731" s="341"/>
      <c r="N731" s="342"/>
    </row>
    <row r="732" spans="3:14" s="120" customFormat="1" x14ac:dyDescent="0.2">
      <c r="C732" s="129"/>
      <c r="H732" s="129"/>
      <c r="I732" s="129"/>
      <c r="M732" s="341"/>
      <c r="N732" s="342"/>
    </row>
    <row r="733" spans="3:14" s="120" customFormat="1" x14ac:dyDescent="0.2">
      <c r="C733" s="129"/>
      <c r="H733" s="129"/>
      <c r="I733" s="129"/>
      <c r="M733" s="341"/>
      <c r="N733" s="342"/>
    </row>
    <row r="734" spans="3:14" s="120" customFormat="1" x14ac:dyDescent="0.2">
      <c r="C734" s="129"/>
      <c r="H734" s="129"/>
      <c r="I734" s="129"/>
      <c r="M734" s="341"/>
      <c r="N734" s="342"/>
    </row>
    <row r="735" spans="3:14" s="120" customFormat="1" x14ac:dyDescent="0.2">
      <c r="C735" s="129"/>
      <c r="H735" s="129"/>
      <c r="I735" s="129"/>
      <c r="M735" s="341"/>
      <c r="N735" s="342"/>
    </row>
    <row r="736" spans="3:14" s="120" customFormat="1" x14ac:dyDescent="0.2">
      <c r="C736" s="129"/>
      <c r="H736" s="129"/>
      <c r="I736" s="129"/>
      <c r="M736" s="341"/>
      <c r="N736" s="342"/>
    </row>
    <row r="737" spans="3:14" s="120" customFormat="1" x14ac:dyDescent="0.2">
      <c r="C737" s="129"/>
      <c r="H737" s="129"/>
      <c r="I737" s="129"/>
      <c r="M737" s="341"/>
      <c r="N737" s="342"/>
    </row>
    <row r="738" spans="3:14" s="120" customFormat="1" x14ac:dyDescent="0.2">
      <c r="C738" s="129"/>
      <c r="H738" s="129"/>
      <c r="I738" s="129"/>
      <c r="M738" s="341"/>
      <c r="N738" s="342"/>
    </row>
    <row r="739" spans="3:14" s="120" customFormat="1" x14ac:dyDescent="0.2">
      <c r="C739" s="129"/>
      <c r="H739" s="129"/>
      <c r="I739" s="129"/>
      <c r="M739" s="341"/>
      <c r="N739" s="342"/>
    </row>
    <row r="740" spans="3:14" s="120" customFormat="1" x14ac:dyDescent="0.2">
      <c r="C740" s="129"/>
      <c r="H740" s="129"/>
      <c r="I740" s="129"/>
      <c r="M740" s="341"/>
      <c r="N740" s="342"/>
    </row>
    <row r="741" spans="3:14" s="120" customFormat="1" x14ac:dyDescent="0.2">
      <c r="C741" s="129"/>
      <c r="H741" s="129"/>
      <c r="I741" s="129"/>
      <c r="M741" s="341"/>
      <c r="N741" s="342"/>
    </row>
    <row r="742" spans="3:14" s="120" customFormat="1" x14ac:dyDescent="0.2">
      <c r="C742" s="129"/>
      <c r="H742" s="129"/>
      <c r="I742" s="129"/>
      <c r="M742" s="341"/>
      <c r="N742" s="342"/>
    </row>
    <row r="743" spans="3:14" s="120" customFormat="1" x14ac:dyDescent="0.2">
      <c r="C743" s="129"/>
      <c r="H743" s="129"/>
      <c r="I743" s="129"/>
      <c r="M743" s="341"/>
      <c r="N743" s="342"/>
    </row>
    <row r="744" spans="3:14" s="120" customFormat="1" x14ac:dyDescent="0.2">
      <c r="C744" s="129"/>
      <c r="H744" s="129"/>
      <c r="I744" s="129"/>
      <c r="M744" s="341"/>
      <c r="N744" s="342"/>
    </row>
    <row r="745" spans="3:14" s="120" customFormat="1" x14ac:dyDescent="0.2">
      <c r="C745" s="129"/>
      <c r="H745" s="129"/>
      <c r="I745" s="129"/>
      <c r="M745" s="341"/>
      <c r="N745" s="342"/>
    </row>
    <row r="746" spans="3:14" s="120" customFormat="1" x14ac:dyDescent="0.2">
      <c r="C746" s="129"/>
      <c r="H746" s="129"/>
      <c r="I746" s="129"/>
      <c r="M746" s="341"/>
      <c r="N746" s="342"/>
    </row>
    <row r="747" spans="3:14" s="120" customFormat="1" x14ac:dyDescent="0.2">
      <c r="C747" s="129"/>
      <c r="H747" s="129"/>
      <c r="I747" s="129"/>
      <c r="M747" s="341"/>
      <c r="N747" s="342"/>
    </row>
    <row r="748" spans="3:14" s="120" customFormat="1" x14ac:dyDescent="0.2">
      <c r="C748" s="129"/>
      <c r="H748" s="129"/>
      <c r="I748" s="129"/>
      <c r="M748" s="341"/>
      <c r="N748" s="342"/>
    </row>
    <row r="749" spans="3:14" s="120" customFormat="1" x14ac:dyDescent="0.2">
      <c r="C749" s="129"/>
      <c r="H749" s="129"/>
      <c r="I749" s="129"/>
      <c r="M749" s="341"/>
      <c r="N749" s="342"/>
    </row>
    <row r="750" spans="3:14" s="120" customFormat="1" x14ac:dyDescent="0.2">
      <c r="C750" s="129"/>
      <c r="H750" s="129"/>
      <c r="I750" s="129"/>
      <c r="M750" s="341"/>
      <c r="N750" s="342"/>
    </row>
    <row r="751" spans="3:14" s="120" customFormat="1" x14ac:dyDescent="0.2">
      <c r="C751" s="129"/>
      <c r="H751" s="129"/>
      <c r="I751" s="129"/>
      <c r="M751" s="341"/>
      <c r="N751" s="342"/>
    </row>
    <row r="752" spans="3:14" s="120" customFormat="1" x14ac:dyDescent="0.2">
      <c r="C752" s="129"/>
      <c r="H752" s="129"/>
      <c r="I752" s="129"/>
      <c r="M752" s="341"/>
      <c r="N752" s="342"/>
    </row>
    <row r="753" spans="3:14" s="120" customFormat="1" x14ac:dyDescent="0.2">
      <c r="C753" s="129"/>
      <c r="H753" s="129"/>
      <c r="I753" s="129"/>
      <c r="M753" s="341"/>
      <c r="N753" s="342"/>
    </row>
    <row r="754" spans="3:14" s="120" customFormat="1" x14ac:dyDescent="0.2">
      <c r="C754" s="129"/>
      <c r="H754" s="129"/>
      <c r="I754" s="129"/>
      <c r="M754" s="341"/>
      <c r="N754" s="342"/>
    </row>
    <row r="755" spans="3:14" s="120" customFormat="1" x14ac:dyDescent="0.2">
      <c r="C755" s="129"/>
      <c r="H755" s="129"/>
      <c r="I755" s="129"/>
      <c r="M755" s="341"/>
      <c r="N755" s="342"/>
    </row>
    <row r="756" spans="3:14" s="120" customFormat="1" x14ac:dyDescent="0.2">
      <c r="C756" s="129"/>
      <c r="H756" s="129"/>
      <c r="I756" s="129"/>
      <c r="M756" s="341"/>
      <c r="N756" s="342"/>
    </row>
    <row r="757" spans="3:14" s="120" customFormat="1" x14ac:dyDescent="0.2">
      <c r="C757" s="129"/>
      <c r="H757" s="129"/>
      <c r="I757" s="129"/>
      <c r="M757" s="341"/>
      <c r="N757" s="342"/>
    </row>
    <row r="758" spans="3:14" s="120" customFormat="1" x14ac:dyDescent="0.2">
      <c r="C758" s="129"/>
      <c r="H758" s="129"/>
      <c r="I758" s="129"/>
      <c r="M758" s="341"/>
      <c r="N758" s="342"/>
    </row>
    <row r="759" spans="3:14" s="120" customFormat="1" x14ac:dyDescent="0.2">
      <c r="C759" s="129"/>
      <c r="H759" s="129"/>
      <c r="I759" s="129"/>
      <c r="M759" s="341"/>
      <c r="N759" s="342"/>
    </row>
    <row r="760" spans="3:14" s="120" customFormat="1" x14ac:dyDescent="0.2">
      <c r="C760" s="129"/>
      <c r="H760" s="129"/>
      <c r="I760" s="129"/>
      <c r="M760" s="341"/>
      <c r="N760" s="342"/>
    </row>
    <row r="761" spans="3:14" s="120" customFormat="1" x14ac:dyDescent="0.2">
      <c r="C761" s="129"/>
      <c r="H761" s="129"/>
      <c r="I761" s="129"/>
      <c r="M761" s="341"/>
      <c r="N761" s="342"/>
    </row>
    <row r="762" spans="3:14" s="120" customFormat="1" x14ac:dyDescent="0.2">
      <c r="C762" s="129"/>
      <c r="H762" s="129"/>
      <c r="I762" s="129"/>
      <c r="M762" s="341"/>
      <c r="N762" s="342"/>
    </row>
    <row r="763" spans="3:14" s="120" customFormat="1" x14ac:dyDescent="0.2">
      <c r="C763" s="129"/>
      <c r="H763" s="129"/>
      <c r="I763" s="129"/>
      <c r="M763" s="341"/>
      <c r="N763" s="342"/>
    </row>
    <row r="764" spans="3:14" s="120" customFormat="1" x14ac:dyDescent="0.2">
      <c r="C764" s="129"/>
      <c r="H764" s="129"/>
      <c r="I764" s="129"/>
      <c r="M764" s="341"/>
      <c r="N764" s="342"/>
    </row>
    <row r="765" spans="3:14" s="120" customFormat="1" x14ac:dyDescent="0.2">
      <c r="C765" s="129"/>
      <c r="H765" s="129"/>
      <c r="I765" s="129"/>
      <c r="M765" s="341"/>
      <c r="N765" s="342"/>
    </row>
    <row r="766" spans="3:14" s="120" customFormat="1" x14ac:dyDescent="0.2">
      <c r="C766" s="129"/>
      <c r="H766" s="129"/>
      <c r="I766" s="129"/>
      <c r="M766" s="341"/>
      <c r="N766" s="342"/>
    </row>
    <row r="767" spans="3:14" s="120" customFormat="1" x14ac:dyDescent="0.2">
      <c r="C767" s="129"/>
      <c r="H767" s="129"/>
      <c r="I767" s="129"/>
      <c r="M767" s="341"/>
      <c r="N767" s="342"/>
    </row>
    <row r="768" spans="3:14" s="120" customFormat="1" x14ac:dyDescent="0.2">
      <c r="C768" s="129"/>
      <c r="H768" s="129"/>
      <c r="I768" s="129"/>
      <c r="M768" s="341"/>
      <c r="N768" s="342"/>
    </row>
    <row r="769" spans="3:14" s="120" customFormat="1" x14ac:dyDescent="0.2">
      <c r="C769" s="129"/>
      <c r="H769" s="129"/>
      <c r="I769" s="129"/>
      <c r="M769" s="341"/>
      <c r="N769" s="342"/>
    </row>
    <row r="770" spans="3:14" s="120" customFormat="1" x14ac:dyDescent="0.2">
      <c r="C770" s="129"/>
      <c r="H770" s="129"/>
      <c r="I770" s="129"/>
      <c r="M770" s="341"/>
      <c r="N770" s="342"/>
    </row>
    <row r="771" spans="3:14" s="120" customFormat="1" x14ac:dyDescent="0.2">
      <c r="C771" s="129"/>
      <c r="H771" s="129"/>
      <c r="I771" s="129"/>
      <c r="M771" s="341"/>
      <c r="N771" s="342"/>
    </row>
    <row r="772" spans="3:14" s="120" customFormat="1" x14ac:dyDescent="0.2">
      <c r="C772" s="129"/>
      <c r="H772" s="129"/>
      <c r="I772" s="129"/>
      <c r="M772" s="341"/>
      <c r="N772" s="342"/>
    </row>
    <row r="773" spans="3:14" s="120" customFormat="1" x14ac:dyDescent="0.2">
      <c r="C773" s="129"/>
      <c r="H773" s="129"/>
      <c r="I773" s="129"/>
      <c r="M773" s="341"/>
      <c r="N773" s="342"/>
    </row>
    <row r="774" spans="3:14" s="120" customFormat="1" x14ac:dyDescent="0.2">
      <c r="C774" s="129"/>
      <c r="H774" s="129"/>
      <c r="I774" s="129"/>
      <c r="M774" s="341"/>
      <c r="N774" s="342"/>
    </row>
    <row r="775" spans="3:14" s="120" customFormat="1" x14ac:dyDescent="0.2">
      <c r="C775" s="129"/>
      <c r="H775" s="129"/>
      <c r="I775" s="129"/>
      <c r="M775" s="341"/>
      <c r="N775" s="342"/>
    </row>
    <row r="776" spans="3:14" s="120" customFormat="1" x14ac:dyDescent="0.2">
      <c r="C776" s="129"/>
      <c r="H776" s="129"/>
      <c r="I776" s="129"/>
      <c r="M776" s="341"/>
      <c r="N776" s="342"/>
    </row>
    <row r="777" spans="3:14" s="120" customFormat="1" x14ac:dyDescent="0.2">
      <c r="C777" s="129"/>
      <c r="H777" s="129"/>
      <c r="I777" s="129"/>
      <c r="M777" s="341"/>
      <c r="N777" s="342"/>
    </row>
    <row r="778" spans="3:14" s="120" customFormat="1" x14ac:dyDescent="0.2">
      <c r="C778" s="129"/>
      <c r="H778" s="129"/>
      <c r="I778" s="129"/>
      <c r="M778" s="341"/>
      <c r="N778" s="342"/>
    </row>
    <row r="779" spans="3:14" s="120" customFormat="1" x14ac:dyDescent="0.2">
      <c r="C779" s="129"/>
      <c r="H779" s="129"/>
      <c r="I779" s="129"/>
      <c r="M779" s="341"/>
      <c r="N779" s="342"/>
    </row>
    <row r="780" spans="3:14" s="120" customFormat="1" x14ac:dyDescent="0.2">
      <c r="C780" s="129"/>
      <c r="H780" s="129"/>
      <c r="I780" s="129"/>
      <c r="M780" s="341"/>
      <c r="N780" s="342"/>
    </row>
    <row r="781" spans="3:14" s="120" customFormat="1" x14ac:dyDescent="0.2">
      <c r="C781" s="129"/>
      <c r="H781" s="129"/>
      <c r="I781" s="129"/>
      <c r="M781" s="341"/>
      <c r="N781" s="342"/>
    </row>
    <row r="782" spans="3:14" s="120" customFormat="1" x14ac:dyDescent="0.2">
      <c r="C782" s="129"/>
      <c r="H782" s="129"/>
      <c r="I782" s="129"/>
      <c r="M782" s="341"/>
      <c r="N782" s="342"/>
    </row>
    <row r="783" spans="3:14" s="120" customFormat="1" x14ac:dyDescent="0.2">
      <c r="C783" s="129"/>
      <c r="H783" s="129"/>
      <c r="I783" s="129"/>
      <c r="M783" s="341"/>
      <c r="N783" s="342"/>
    </row>
    <row r="784" spans="3:14" s="120" customFormat="1" x14ac:dyDescent="0.2">
      <c r="C784" s="129"/>
      <c r="H784" s="129"/>
      <c r="I784" s="129"/>
      <c r="M784" s="341"/>
      <c r="N784" s="342"/>
    </row>
    <row r="785" spans="3:14" s="120" customFormat="1" x14ac:dyDescent="0.2">
      <c r="C785" s="129"/>
      <c r="H785" s="129"/>
      <c r="I785" s="129"/>
      <c r="M785" s="341"/>
      <c r="N785" s="342"/>
    </row>
    <row r="786" spans="3:14" s="120" customFormat="1" x14ac:dyDescent="0.2">
      <c r="C786" s="129"/>
      <c r="H786" s="129"/>
      <c r="I786" s="129"/>
      <c r="M786" s="341"/>
      <c r="N786" s="342"/>
    </row>
    <row r="787" spans="3:14" s="120" customFormat="1" x14ac:dyDescent="0.2">
      <c r="C787" s="129"/>
      <c r="H787" s="129"/>
      <c r="I787" s="129"/>
      <c r="M787" s="341"/>
      <c r="N787" s="342"/>
    </row>
    <row r="788" spans="3:14" s="120" customFormat="1" x14ac:dyDescent="0.2">
      <c r="C788" s="129"/>
      <c r="H788" s="129"/>
      <c r="I788" s="129"/>
      <c r="M788" s="341"/>
      <c r="N788" s="342"/>
    </row>
    <row r="789" spans="3:14" s="120" customFormat="1" x14ac:dyDescent="0.2">
      <c r="C789" s="129"/>
      <c r="H789" s="129"/>
      <c r="I789" s="129"/>
      <c r="M789" s="341"/>
      <c r="N789" s="342"/>
    </row>
    <row r="790" spans="3:14" s="120" customFormat="1" x14ac:dyDescent="0.2">
      <c r="C790" s="129"/>
      <c r="H790" s="129"/>
      <c r="I790" s="129"/>
      <c r="M790" s="341"/>
      <c r="N790" s="342"/>
    </row>
    <row r="791" spans="3:14" s="120" customFormat="1" x14ac:dyDescent="0.2">
      <c r="C791" s="129"/>
      <c r="H791" s="129"/>
      <c r="I791" s="129"/>
      <c r="M791" s="341"/>
      <c r="N791" s="342"/>
    </row>
    <row r="792" spans="3:14" s="120" customFormat="1" x14ac:dyDescent="0.2">
      <c r="C792" s="129"/>
      <c r="H792" s="129"/>
      <c r="I792" s="129"/>
      <c r="M792" s="341"/>
      <c r="N792" s="342"/>
    </row>
    <row r="793" spans="3:14" s="120" customFormat="1" x14ac:dyDescent="0.2">
      <c r="C793" s="129"/>
      <c r="H793" s="129"/>
      <c r="I793" s="129"/>
      <c r="M793" s="341"/>
      <c r="N793" s="342"/>
    </row>
    <row r="794" spans="3:14" s="120" customFormat="1" x14ac:dyDescent="0.2">
      <c r="C794" s="129"/>
      <c r="H794" s="129"/>
      <c r="I794" s="129"/>
      <c r="M794" s="341"/>
      <c r="N794" s="342"/>
    </row>
    <row r="795" spans="3:14" s="120" customFormat="1" x14ac:dyDescent="0.2">
      <c r="C795" s="129"/>
      <c r="H795" s="129"/>
      <c r="I795" s="129"/>
      <c r="M795" s="341"/>
      <c r="N795" s="342"/>
    </row>
    <row r="796" spans="3:14" s="120" customFormat="1" x14ac:dyDescent="0.2">
      <c r="C796" s="129"/>
      <c r="H796" s="129"/>
      <c r="I796" s="129"/>
      <c r="M796" s="341"/>
      <c r="N796" s="342"/>
    </row>
    <row r="797" spans="3:14" s="120" customFormat="1" x14ac:dyDescent="0.2">
      <c r="C797" s="129"/>
      <c r="H797" s="129"/>
      <c r="I797" s="129"/>
      <c r="M797" s="341"/>
      <c r="N797" s="342"/>
    </row>
    <row r="798" spans="3:14" s="120" customFormat="1" x14ac:dyDescent="0.2">
      <c r="C798" s="129"/>
      <c r="H798" s="129"/>
      <c r="I798" s="129"/>
      <c r="M798" s="341"/>
      <c r="N798" s="342"/>
    </row>
    <row r="799" spans="3:14" s="120" customFormat="1" x14ac:dyDescent="0.2">
      <c r="C799" s="129"/>
      <c r="H799" s="129"/>
      <c r="I799" s="129"/>
      <c r="M799" s="341"/>
      <c r="N799" s="342"/>
    </row>
    <row r="800" spans="3:14" s="120" customFormat="1" x14ac:dyDescent="0.2">
      <c r="C800" s="129"/>
      <c r="H800" s="129"/>
      <c r="I800" s="129"/>
      <c r="M800" s="341"/>
      <c r="N800" s="342"/>
    </row>
    <row r="801" spans="3:14" s="120" customFormat="1" x14ac:dyDescent="0.2">
      <c r="C801" s="129"/>
      <c r="H801" s="129"/>
      <c r="I801" s="129"/>
      <c r="M801" s="341"/>
      <c r="N801" s="342"/>
    </row>
    <row r="802" spans="3:14" s="120" customFormat="1" x14ac:dyDescent="0.2">
      <c r="C802" s="129"/>
      <c r="H802" s="129"/>
      <c r="I802" s="129"/>
      <c r="M802" s="341"/>
      <c r="N802" s="342"/>
    </row>
    <row r="803" spans="3:14" s="120" customFormat="1" x14ac:dyDescent="0.2">
      <c r="C803" s="129"/>
      <c r="H803" s="129"/>
      <c r="I803" s="129"/>
      <c r="M803" s="341"/>
      <c r="N803" s="342"/>
    </row>
    <row r="804" spans="3:14" s="120" customFormat="1" x14ac:dyDescent="0.2">
      <c r="C804" s="129"/>
      <c r="H804" s="129"/>
      <c r="I804" s="129"/>
      <c r="M804" s="341"/>
      <c r="N804" s="342"/>
    </row>
    <row r="805" spans="3:14" s="120" customFormat="1" x14ac:dyDescent="0.2">
      <c r="C805" s="129"/>
      <c r="H805" s="129"/>
      <c r="I805" s="129"/>
      <c r="M805" s="341"/>
      <c r="N805" s="342"/>
    </row>
    <row r="806" spans="3:14" s="120" customFormat="1" x14ac:dyDescent="0.2">
      <c r="C806" s="129"/>
      <c r="H806" s="129"/>
      <c r="I806" s="129"/>
      <c r="M806" s="341"/>
      <c r="N806" s="342"/>
    </row>
    <row r="807" spans="3:14" s="120" customFormat="1" x14ac:dyDescent="0.2">
      <c r="C807" s="129"/>
      <c r="H807" s="129"/>
      <c r="I807" s="129"/>
      <c r="M807" s="341"/>
      <c r="N807" s="342"/>
    </row>
    <row r="808" spans="3:14" s="120" customFormat="1" x14ac:dyDescent="0.2">
      <c r="C808" s="129"/>
      <c r="H808" s="129"/>
      <c r="I808" s="129"/>
      <c r="M808" s="341"/>
      <c r="N808" s="342"/>
    </row>
    <row r="809" spans="3:14" s="120" customFormat="1" x14ac:dyDescent="0.2">
      <c r="C809" s="129"/>
      <c r="H809" s="129"/>
      <c r="I809" s="129"/>
      <c r="M809" s="341"/>
      <c r="N809" s="342"/>
    </row>
    <row r="810" spans="3:14" s="120" customFormat="1" x14ac:dyDescent="0.2">
      <c r="C810" s="129"/>
      <c r="H810" s="129"/>
      <c r="I810" s="129"/>
      <c r="M810" s="341"/>
      <c r="N810" s="342"/>
    </row>
    <row r="811" spans="3:14" s="120" customFormat="1" x14ac:dyDescent="0.2">
      <c r="C811" s="129"/>
      <c r="H811" s="129"/>
      <c r="I811" s="129"/>
      <c r="M811" s="341"/>
      <c r="N811" s="342"/>
    </row>
    <row r="812" spans="3:14" s="120" customFormat="1" x14ac:dyDescent="0.2">
      <c r="C812" s="129"/>
      <c r="H812" s="129"/>
      <c r="I812" s="129"/>
      <c r="M812" s="341"/>
      <c r="N812" s="342"/>
    </row>
    <row r="813" spans="3:14" s="120" customFormat="1" x14ac:dyDescent="0.2">
      <c r="C813" s="129"/>
      <c r="H813" s="129"/>
      <c r="I813" s="129"/>
      <c r="M813" s="341"/>
      <c r="N813" s="342"/>
    </row>
    <row r="814" spans="3:14" s="120" customFormat="1" x14ac:dyDescent="0.2">
      <c r="C814" s="129"/>
      <c r="H814" s="129"/>
      <c r="I814" s="129"/>
      <c r="M814" s="341"/>
      <c r="N814" s="342"/>
    </row>
    <row r="815" spans="3:14" s="120" customFormat="1" x14ac:dyDescent="0.2">
      <c r="C815" s="129"/>
      <c r="H815" s="129"/>
      <c r="I815" s="129"/>
      <c r="M815" s="341"/>
      <c r="N815" s="342"/>
    </row>
    <row r="816" spans="3:14" s="120" customFormat="1" x14ac:dyDescent="0.2">
      <c r="C816" s="129"/>
      <c r="H816" s="129"/>
      <c r="I816" s="129"/>
      <c r="M816" s="341"/>
      <c r="N816" s="342"/>
    </row>
    <row r="817" spans="3:14" s="120" customFormat="1" x14ac:dyDescent="0.2">
      <c r="C817" s="129"/>
      <c r="H817" s="129"/>
      <c r="I817" s="129"/>
      <c r="M817" s="341"/>
      <c r="N817" s="342"/>
    </row>
    <row r="818" spans="3:14" s="120" customFormat="1" x14ac:dyDescent="0.2">
      <c r="C818" s="129"/>
      <c r="H818" s="129"/>
      <c r="I818" s="129"/>
      <c r="M818" s="341"/>
      <c r="N818" s="342"/>
    </row>
    <row r="819" spans="3:14" s="120" customFormat="1" x14ac:dyDescent="0.2">
      <c r="C819" s="129"/>
      <c r="H819" s="129"/>
      <c r="I819" s="129"/>
      <c r="M819" s="341"/>
      <c r="N819" s="342"/>
    </row>
    <row r="820" spans="3:14" s="120" customFormat="1" x14ac:dyDescent="0.2">
      <c r="C820" s="129"/>
      <c r="H820" s="129"/>
      <c r="I820" s="129"/>
      <c r="M820" s="341"/>
      <c r="N820" s="342"/>
    </row>
    <row r="821" spans="3:14" s="120" customFormat="1" x14ac:dyDescent="0.2">
      <c r="C821" s="129"/>
      <c r="H821" s="129"/>
      <c r="I821" s="129"/>
      <c r="M821" s="341"/>
      <c r="N821" s="342"/>
    </row>
    <row r="822" spans="3:14" s="120" customFormat="1" x14ac:dyDescent="0.2">
      <c r="C822" s="129"/>
      <c r="H822" s="129"/>
      <c r="I822" s="129"/>
      <c r="M822" s="341"/>
      <c r="N822" s="342"/>
    </row>
    <row r="823" spans="3:14" s="120" customFormat="1" x14ac:dyDescent="0.2">
      <c r="C823" s="129"/>
      <c r="H823" s="129"/>
      <c r="I823" s="129"/>
      <c r="M823" s="341"/>
      <c r="N823" s="342"/>
    </row>
    <row r="824" spans="3:14" s="120" customFormat="1" x14ac:dyDescent="0.2">
      <c r="C824" s="129"/>
      <c r="H824" s="129"/>
      <c r="I824" s="129"/>
      <c r="M824" s="341"/>
      <c r="N824" s="342"/>
    </row>
    <row r="825" spans="3:14" s="120" customFormat="1" x14ac:dyDescent="0.2">
      <c r="C825" s="129"/>
      <c r="H825" s="129"/>
      <c r="I825" s="129"/>
      <c r="M825" s="341"/>
      <c r="N825" s="342"/>
    </row>
    <row r="826" spans="3:14" s="120" customFormat="1" x14ac:dyDescent="0.2">
      <c r="C826" s="129"/>
      <c r="H826" s="129"/>
      <c r="I826" s="129"/>
      <c r="M826" s="341"/>
      <c r="N826" s="342"/>
    </row>
    <row r="827" spans="3:14" s="120" customFormat="1" x14ac:dyDescent="0.2">
      <c r="C827" s="129"/>
      <c r="H827" s="129"/>
      <c r="I827" s="129"/>
      <c r="M827" s="341"/>
      <c r="N827" s="342"/>
    </row>
    <row r="828" spans="3:14" s="120" customFormat="1" x14ac:dyDescent="0.2">
      <c r="C828" s="129"/>
      <c r="H828" s="129"/>
      <c r="I828" s="129"/>
      <c r="M828" s="341"/>
      <c r="N828" s="342"/>
    </row>
    <row r="829" spans="3:14" s="120" customFormat="1" x14ac:dyDescent="0.2">
      <c r="C829" s="129"/>
      <c r="H829" s="129"/>
      <c r="I829" s="129"/>
      <c r="M829" s="341"/>
      <c r="N829" s="342"/>
    </row>
    <row r="830" spans="3:14" s="120" customFormat="1" x14ac:dyDescent="0.2">
      <c r="C830" s="129"/>
      <c r="H830" s="129"/>
      <c r="I830" s="129"/>
      <c r="M830" s="341"/>
      <c r="N830" s="342"/>
    </row>
    <row r="831" spans="3:14" s="120" customFormat="1" x14ac:dyDescent="0.2">
      <c r="C831" s="129"/>
      <c r="H831" s="129"/>
      <c r="I831" s="129"/>
      <c r="M831" s="341"/>
      <c r="N831" s="342"/>
    </row>
    <row r="832" spans="3:14" s="120" customFormat="1" x14ac:dyDescent="0.2">
      <c r="C832" s="129"/>
      <c r="H832" s="129"/>
      <c r="I832" s="129"/>
      <c r="M832" s="341"/>
      <c r="N832" s="342"/>
    </row>
    <row r="833" spans="3:14" s="120" customFormat="1" x14ac:dyDescent="0.2">
      <c r="C833" s="129"/>
      <c r="H833" s="129"/>
      <c r="I833" s="129"/>
      <c r="M833" s="341"/>
      <c r="N833" s="342"/>
    </row>
    <row r="834" spans="3:14" s="120" customFormat="1" x14ac:dyDescent="0.2">
      <c r="C834" s="129"/>
      <c r="H834" s="129"/>
      <c r="I834" s="129"/>
      <c r="M834" s="341"/>
      <c r="N834" s="342"/>
    </row>
    <row r="835" spans="3:14" s="120" customFormat="1" x14ac:dyDescent="0.2">
      <c r="C835" s="129"/>
      <c r="H835" s="129"/>
      <c r="I835" s="129"/>
      <c r="M835" s="341"/>
      <c r="N835" s="342"/>
    </row>
    <row r="836" spans="3:14" s="120" customFormat="1" x14ac:dyDescent="0.2">
      <c r="C836" s="129"/>
      <c r="H836" s="129"/>
      <c r="I836" s="129"/>
      <c r="M836" s="341"/>
      <c r="N836" s="342"/>
    </row>
    <row r="837" spans="3:14" s="120" customFormat="1" x14ac:dyDescent="0.2">
      <c r="C837" s="129"/>
      <c r="H837" s="129"/>
      <c r="I837" s="129"/>
      <c r="M837" s="341"/>
      <c r="N837" s="342"/>
    </row>
    <row r="838" spans="3:14" s="120" customFormat="1" x14ac:dyDescent="0.2">
      <c r="C838" s="129"/>
      <c r="H838" s="129"/>
      <c r="I838" s="129"/>
      <c r="M838" s="341"/>
      <c r="N838" s="342"/>
    </row>
    <row r="839" spans="3:14" s="120" customFormat="1" x14ac:dyDescent="0.2">
      <c r="C839" s="129"/>
      <c r="H839" s="129"/>
      <c r="I839" s="129"/>
      <c r="M839" s="341"/>
      <c r="N839" s="342"/>
    </row>
    <row r="840" spans="3:14" s="120" customFormat="1" x14ac:dyDescent="0.2">
      <c r="C840" s="129"/>
      <c r="H840" s="129"/>
      <c r="I840" s="129"/>
      <c r="M840" s="341"/>
      <c r="N840" s="342"/>
    </row>
    <row r="841" spans="3:14" s="120" customFormat="1" x14ac:dyDescent="0.2">
      <c r="C841" s="129"/>
      <c r="H841" s="129"/>
      <c r="I841" s="129"/>
      <c r="M841" s="341"/>
      <c r="N841" s="342"/>
    </row>
    <row r="842" spans="3:14" s="120" customFormat="1" x14ac:dyDescent="0.2">
      <c r="C842" s="129"/>
      <c r="H842" s="129"/>
      <c r="I842" s="129"/>
      <c r="M842" s="341"/>
      <c r="N842" s="342"/>
    </row>
    <row r="843" spans="3:14" s="120" customFormat="1" x14ac:dyDescent="0.2">
      <c r="C843" s="129"/>
      <c r="H843" s="129"/>
      <c r="I843" s="129"/>
      <c r="M843" s="341"/>
      <c r="N843" s="342"/>
    </row>
    <row r="844" spans="3:14" s="120" customFormat="1" x14ac:dyDescent="0.2">
      <c r="C844" s="129"/>
      <c r="H844" s="129"/>
      <c r="I844" s="129"/>
      <c r="M844" s="341"/>
      <c r="N844" s="342"/>
    </row>
    <row r="845" spans="3:14" s="120" customFormat="1" x14ac:dyDescent="0.2">
      <c r="C845" s="129"/>
      <c r="H845" s="129"/>
      <c r="I845" s="129"/>
      <c r="M845" s="341"/>
      <c r="N845" s="342"/>
    </row>
    <row r="846" spans="3:14" s="120" customFormat="1" x14ac:dyDescent="0.2">
      <c r="C846" s="129"/>
      <c r="H846" s="129"/>
      <c r="I846" s="129"/>
      <c r="M846" s="341"/>
      <c r="N846" s="342"/>
    </row>
    <row r="847" spans="3:14" s="120" customFormat="1" x14ac:dyDescent="0.2">
      <c r="C847" s="129"/>
      <c r="H847" s="129"/>
      <c r="I847" s="129"/>
      <c r="M847" s="341"/>
      <c r="N847" s="342"/>
    </row>
    <row r="848" spans="3:14" s="120" customFormat="1" x14ac:dyDescent="0.2">
      <c r="C848" s="129"/>
      <c r="H848" s="129"/>
      <c r="I848" s="129"/>
      <c r="M848" s="341"/>
      <c r="N848" s="342"/>
    </row>
    <row r="849" spans="3:14" s="120" customFormat="1" x14ac:dyDescent="0.2">
      <c r="C849" s="129"/>
      <c r="H849" s="129"/>
      <c r="I849" s="129"/>
      <c r="M849" s="341"/>
      <c r="N849" s="342"/>
    </row>
    <row r="850" spans="3:14" s="120" customFormat="1" x14ac:dyDescent="0.2">
      <c r="C850" s="129"/>
      <c r="H850" s="129"/>
      <c r="I850" s="129"/>
      <c r="M850" s="341"/>
      <c r="N850" s="342"/>
    </row>
    <row r="851" spans="3:14" s="120" customFormat="1" x14ac:dyDescent="0.2">
      <c r="C851" s="129"/>
      <c r="H851" s="129"/>
      <c r="I851" s="129"/>
      <c r="M851" s="341"/>
      <c r="N851" s="342"/>
    </row>
    <row r="852" spans="3:14" s="120" customFormat="1" x14ac:dyDescent="0.2">
      <c r="C852" s="129"/>
      <c r="H852" s="129"/>
      <c r="I852" s="129"/>
      <c r="M852" s="341"/>
      <c r="N852" s="342"/>
    </row>
    <row r="853" spans="3:14" s="120" customFormat="1" x14ac:dyDescent="0.2">
      <c r="C853" s="129"/>
      <c r="H853" s="129"/>
      <c r="I853" s="129"/>
      <c r="M853" s="341"/>
      <c r="N853" s="342"/>
    </row>
    <row r="854" spans="3:14" s="120" customFormat="1" x14ac:dyDescent="0.2">
      <c r="C854" s="129"/>
      <c r="H854" s="129"/>
      <c r="I854" s="129"/>
      <c r="M854" s="341"/>
      <c r="N854" s="342"/>
    </row>
    <row r="855" spans="3:14" s="120" customFormat="1" x14ac:dyDescent="0.2">
      <c r="C855" s="129"/>
      <c r="H855" s="129"/>
      <c r="I855" s="129"/>
      <c r="M855" s="341"/>
      <c r="N855" s="342"/>
    </row>
    <row r="856" spans="3:14" s="120" customFormat="1" x14ac:dyDescent="0.2">
      <c r="C856" s="129"/>
      <c r="H856" s="129"/>
      <c r="I856" s="129"/>
      <c r="M856" s="341"/>
      <c r="N856" s="342"/>
    </row>
    <row r="857" spans="3:14" s="120" customFormat="1" x14ac:dyDescent="0.2">
      <c r="C857" s="129"/>
      <c r="H857" s="129"/>
      <c r="I857" s="129"/>
      <c r="M857" s="341"/>
      <c r="N857" s="342"/>
    </row>
    <row r="858" spans="3:14" s="120" customFormat="1" x14ac:dyDescent="0.2">
      <c r="C858" s="129"/>
      <c r="H858" s="129"/>
      <c r="I858" s="129"/>
      <c r="M858" s="341"/>
      <c r="N858" s="342"/>
    </row>
    <row r="859" spans="3:14" s="120" customFormat="1" x14ac:dyDescent="0.2">
      <c r="C859" s="129"/>
      <c r="H859" s="129"/>
      <c r="I859" s="129"/>
      <c r="M859" s="341"/>
      <c r="N859" s="342"/>
    </row>
    <row r="860" spans="3:14" s="120" customFormat="1" x14ac:dyDescent="0.2">
      <c r="C860" s="129"/>
      <c r="H860" s="129"/>
      <c r="I860" s="129"/>
      <c r="M860" s="341"/>
      <c r="N860" s="342"/>
    </row>
    <row r="861" spans="3:14" s="120" customFormat="1" x14ac:dyDescent="0.2">
      <c r="C861" s="129"/>
      <c r="H861" s="129"/>
      <c r="I861" s="129"/>
      <c r="M861" s="341"/>
      <c r="N861" s="342"/>
    </row>
    <row r="862" spans="3:14" s="120" customFormat="1" x14ac:dyDescent="0.2">
      <c r="C862" s="129"/>
      <c r="H862" s="129"/>
      <c r="I862" s="129"/>
      <c r="M862" s="341"/>
      <c r="N862" s="342"/>
    </row>
    <row r="863" spans="3:14" s="120" customFormat="1" x14ac:dyDescent="0.2">
      <c r="C863" s="129"/>
      <c r="H863" s="129"/>
      <c r="I863" s="129"/>
      <c r="M863" s="341"/>
      <c r="N863" s="342"/>
    </row>
    <row r="864" spans="3:14" s="120" customFormat="1" x14ac:dyDescent="0.2">
      <c r="C864" s="129"/>
      <c r="H864" s="129"/>
      <c r="I864" s="129"/>
      <c r="M864" s="341"/>
      <c r="N864" s="342"/>
    </row>
    <row r="865" spans="3:14" s="120" customFormat="1" x14ac:dyDescent="0.2">
      <c r="C865" s="129"/>
      <c r="H865" s="129"/>
      <c r="I865" s="129"/>
      <c r="M865" s="341"/>
      <c r="N865" s="342"/>
    </row>
    <row r="866" spans="3:14" s="120" customFormat="1" x14ac:dyDescent="0.2">
      <c r="C866" s="129"/>
      <c r="H866" s="129"/>
      <c r="I866" s="129"/>
      <c r="M866" s="341"/>
      <c r="N866" s="342"/>
    </row>
    <row r="867" spans="3:14" s="120" customFormat="1" x14ac:dyDescent="0.2">
      <c r="C867" s="129"/>
      <c r="H867" s="129"/>
      <c r="I867" s="129"/>
      <c r="M867" s="341"/>
      <c r="N867" s="342"/>
    </row>
    <row r="868" spans="3:14" s="120" customFormat="1" x14ac:dyDescent="0.2">
      <c r="C868" s="129"/>
      <c r="H868" s="129"/>
      <c r="I868" s="129"/>
      <c r="M868" s="341"/>
      <c r="N868" s="342"/>
    </row>
    <row r="869" spans="3:14" s="120" customFormat="1" x14ac:dyDescent="0.2">
      <c r="C869" s="129"/>
      <c r="H869" s="129"/>
      <c r="I869" s="129"/>
      <c r="M869" s="341"/>
      <c r="N869" s="342"/>
    </row>
    <row r="870" spans="3:14" s="120" customFormat="1" x14ac:dyDescent="0.2">
      <c r="C870" s="129"/>
      <c r="H870" s="129"/>
      <c r="I870" s="129"/>
      <c r="M870" s="341"/>
      <c r="N870" s="342"/>
    </row>
    <row r="871" spans="3:14" s="120" customFormat="1" x14ac:dyDescent="0.2">
      <c r="C871" s="129"/>
      <c r="H871" s="129"/>
      <c r="I871" s="129"/>
      <c r="M871" s="341"/>
      <c r="N871" s="342"/>
    </row>
    <row r="872" spans="3:14" s="120" customFormat="1" x14ac:dyDescent="0.2">
      <c r="C872" s="129"/>
      <c r="H872" s="129"/>
      <c r="I872" s="129"/>
      <c r="M872" s="341"/>
      <c r="N872" s="342"/>
    </row>
    <row r="873" spans="3:14" s="120" customFormat="1" x14ac:dyDescent="0.2">
      <c r="C873" s="129"/>
      <c r="H873" s="129"/>
      <c r="I873" s="129"/>
      <c r="M873" s="341"/>
      <c r="N873" s="342"/>
    </row>
    <row r="874" spans="3:14" s="120" customFormat="1" x14ac:dyDescent="0.2">
      <c r="C874" s="129"/>
      <c r="H874" s="129"/>
      <c r="I874" s="129"/>
      <c r="M874" s="341"/>
      <c r="N874" s="342"/>
    </row>
    <row r="875" spans="3:14" s="120" customFormat="1" x14ac:dyDescent="0.2">
      <c r="C875" s="129"/>
      <c r="H875" s="129"/>
      <c r="I875" s="129"/>
      <c r="M875" s="341"/>
      <c r="N875" s="342"/>
    </row>
    <row r="876" spans="3:14" s="120" customFormat="1" x14ac:dyDescent="0.2">
      <c r="C876" s="129"/>
      <c r="H876" s="129"/>
      <c r="I876" s="129"/>
      <c r="M876" s="341"/>
      <c r="N876" s="342"/>
    </row>
    <row r="877" spans="3:14" s="120" customFormat="1" x14ac:dyDescent="0.2">
      <c r="C877" s="129"/>
      <c r="H877" s="129"/>
      <c r="I877" s="129"/>
      <c r="M877" s="341"/>
      <c r="N877" s="342"/>
    </row>
    <row r="878" spans="3:14" s="120" customFormat="1" x14ac:dyDescent="0.2">
      <c r="C878" s="129"/>
      <c r="H878" s="129"/>
      <c r="I878" s="129"/>
      <c r="M878" s="341"/>
      <c r="N878" s="342"/>
    </row>
    <row r="879" spans="3:14" s="120" customFormat="1" x14ac:dyDescent="0.2">
      <c r="C879" s="129"/>
      <c r="H879" s="129"/>
      <c r="I879" s="129"/>
      <c r="M879" s="341"/>
      <c r="N879" s="342"/>
    </row>
    <row r="880" spans="3:14" s="120" customFormat="1" x14ac:dyDescent="0.2">
      <c r="C880" s="129"/>
      <c r="H880" s="129"/>
      <c r="I880" s="129"/>
      <c r="M880" s="341"/>
      <c r="N880" s="342"/>
    </row>
    <row r="881" spans="3:14" s="120" customFormat="1" x14ac:dyDescent="0.2">
      <c r="C881" s="129"/>
      <c r="H881" s="129"/>
      <c r="I881" s="129"/>
      <c r="M881" s="341"/>
      <c r="N881" s="342"/>
    </row>
    <row r="882" spans="3:14" s="120" customFormat="1" x14ac:dyDescent="0.2">
      <c r="C882" s="129"/>
      <c r="H882" s="129"/>
      <c r="I882" s="129"/>
      <c r="M882" s="341"/>
      <c r="N882" s="342"/>
    </row>
    <row r="883" spans="3:14" s="120" customFormat="1" x14ac:dyDescent="0.2">
      <c r="C883" s="129"/>
      <c r="H883" s="129"/>
      <c r="I883" s="129"/>
      <c r="M883" s="341"/>
      <c r="N883" s="342"/>
    </row>
    <row r="884" spans="3:14" s="120" customFormat="1" x14ac:dyDescent="0.2">
      <c r="C884" s="129"/>
      <c r="H884" s="129"/>
      <c r="I884" s="129"/>
      <c r="M884" s="341"/>
      <c r="N884" s="342"/>
    </row>
    <row r="885" spans="3:14" s="120" customFormat="1" x14ac:dyDescent="0.2">
      <c r="C885" s="129"/>
      <c r="H885" s="129"/>
      <c r="I885" s="129"/>
      <c r="M885" s="341"/>
      <c r="N885" s="342"/>
    </row>
    <row r="886" spans="3:14" s="120" customFormat="1" x14ac:dyDescent="0.2">
      <c r="C886" s="129"/>
      <c r="H886" s="129"/>
      <c r="I886" s="129"/>
      <c r="M886" s="341"/>
      <c r="N886" s="342"/>
    </row>
    <row r="887" spans="3:14" s="120" customFormat="1" x14ac:dyDescent="0.2">
      <c r="C887" s="129"/>
      <c r="H887" s="129"/>
      <c r="I887" s="129"/>
      <c r="M887" s="341"/>
      <c r="N887" s="342"/>
    </row>
    <row r="888" spans="3:14" s="120" customFormat="1" x14ac:dyDescent="0.2">
      <c r="C888" s="129"/>
      <c r="H888" s="129"/>
      <c r="I888" s="129"/>
      <c r="M888" s="341"/>
      <c r="N888" s="342"/>
    </row>
    <row r="889" spans="3:14" s="120" customFormat="1" x14ac:dyDescent="0.2">
      <c r="C889" s="129"/>
      <c r="H889" s="129"/>
      <c r="I889" s="129"/>
      <c r="M889" s="341"/>
      <c r="N889" s="342"/>
    </row>
    <row r="890" spans="3:14" s="120" customFormat="1" x14ac:dyDescent="0.2">
      <c r="C890" s="129"/>
      <c r="H890" s="129"/>
      <c r="I890" s="129"/>
      <c r="M890" s="341"/>
      <c r="N890" s="342"/>
    </row>
    <row r="891" spans="3:14" s="120" customFormat="1" x14ac:dyDescent="0.2">
      <c r="C891" s="129"/>
      <c r="H891" s="129"/>
      <c r="I891" s="129"/>
      <c r="M891" s="341"/>
      <c r="N891" s="342"/>
    </row>
    <row r="892" spans="3:14" s="120" customFormat="1" x14ac:dyDescent="0.2">
      <c r="C892" s="129"/>
      <c r="H892" s="129"/>
      <c r="I892" s="129"/>
      <c r="M892" s="341"/>
      <c r="N892" s="342"/>
    </row>
    <row r="893" spans="3:14" s="120" customFormat="1" x14ac:dyDescent="0.2">
      <c r="C893" s="129"/>
      <c r="H893" s="129"/>
      <c r="I893" s="129"/>
      <c r="M893" s="341"/>
      <c r="N893" s="342"/>
    </row>
    <row r="894" spans="3:14" s="120" customFormat="1" x14ac:dyDescent="0.2">
      <c r="C894" s="129"/>
      <c r="H894" s="129"/>
      <c r="I894" s="129"/>
      <c r="M894" s="341"/>
      <c r="N894" s="342"/>
    </row>
    <row r="895" spans="3:14" s="120" customFormat="1" x14ac:dyDescent="0.2">
      <c r="C895" s="129"/>
      <c r="H895" s="129"/>
      <c r="I895" s="129"/>
      <c r="M895" s="341"/>
      <c r="N895" s="342"/>
    </row>
    <row r="896" spans="3:14" s="120" customFormat="1" x14ac:dyDescent="0.2">
      <c r="C896" s="129"/>
      <c r="H896" s="129"/>
      <c r="I896" s="129"/>
      <c r="M896" s="341"/>
      <c r="N896" s="342"/>
    </row>
    <row r="897" spans="3:14" s="120" customFormat="1" x14ac:dyDescent="0.2">
      <c r="C897" s="129"/>
      <c r="H897" s="129"/>
      <c r="I897" s="129"/>
      <c r="M897" s="341"/>
      <c r="N897" s="342"/>
    </row>
    <row r="898" spans="3:14" s="120" customFormat="1" x14ac:dyDescent="0.2">
      <c r="C898" s="129"/>
      <c r="H898" s="129"/>
      <c r="I898" s="129"/>
      <c r="M898" s="341"/>
      <c r="N898" s="342"/>
    </row>
    <row r="899" spans="3:14" s="120" customFormat="1" x14ac:dyDescent="0.2">
      <c r="C899" s="129"/>
      <c r="H899" s="129"/>
      <c r="I899" s="129"/>
      <c r="M899" s="341"/>
      <c r="N899" s="342"/>
    </row>
    <row r="900" spans="3:14" s="120" customFormat="1" x14ac:dyDescent="0.2">
      <c r="C900" s="129"/>
      <c r="H900" s="129"/>
      <c r="I900" s="129"/>
      <c r="M900" s="341"/>
      <c r="N900" s="342"/>
    </row>
    <row r="901" spans="3:14" s="120" customFormat="1" x14ac:dyDescent="0.2">
      <c r="C901" s="129"/>
      <c r="H901" s="129"/>
      <c r="I901" s="129"/>
      <c r="M901" s="341"/>
      <c r="N901" s="342"/>
    </row>
    <row r="902" spans="3:14" s="120" customFormat="1" x14ac:dyDescent="0.2">
      <c r="C902" s="129"/>
      <c r="H902" s="129"/>
      <c r="I902" s="129"/>
      <c r="M902" s="341"/>
      <c r="N902" s="342"/>
    </row>
    <row r="903" spans="3:14" s="120" customFormat="1" x14ac:dyDescent="0.2">
      <c r="C903" s="129"/>
      <c r="H903" s="129"/>
      <c r="I903" s="129"/>
      <c r="M903" s="341"/>
      <c r="N903" s="342"/>
    </row>
    <row r="904" spans="3:14" s="120" customFormat="1" x14ac:dyDescent="0.2">
      <c r="C904" s="129"/>
      <c r="H904" s="129"/>
      <c r="I904" s="129"/>
      <c r="M904" s="341"/>
      <c r="N904" s="342"/>
    </row>
    <row r="905" spans="3:14" s="120" customFormat="1" x14ac:dyDescent="0.2">
      <c r="C905" s="129"/>
      <c r="H905" s="129"/>
      <c r="I905" s="129"/>
      <c r="M905" s="341"/>
      <c r="N905" s="342"/>
    </row>
    <row r="906" spans="3:14" s="120" customFormat="1" x14ac:dyDescent="0.2">
      <c r="C906" s="129"/>
      <c r="H906" s="129"/>
      <c r="I906" s="129"/>
      <c r="M906" s="341"/>
      <c r="N906" s="342"/>
    </row>
    <row r="907" spans="3:14" s="120" customFormat="1" x14ac:dyDescent="0.2">
      <c r="C907" s="129"/>
      <c r="H907" s="129"/>
      <c r="I907" s="129"/>
      <c r="M907" s="341"/>
      <c r="N907" s="342"/>
    </row>
    <row r="908" spans="3:14" s="120" customFormat="1" x14ac:dyDescent="0.2">
      <c r="C908" s="129"/>
      <c r="H908" s="129"/>
      <c r="I908" s="129"/>
      <c r="M908" s="341"/>
      <c r="N908" s="342"/>
    </row>
    <row r="909" spans="3:14" s="120" customFormat="1" x14ac:dyDescent="0.2">
      <c r="C909" s="129"/>
      <c r="H909" s="129"/>
      <c r="I909" s="129"/>
      <c r="M909" s="341"/>
      <c r="N909" s="342"/>
    </row>
    <row r="910" spans="3:14" s="120" customFormat="1" x14ac:dyDescent="0.2">
      <c r="C910" s="129"/>
      <c r="H910" s="129"/>
      <c r="I910" s="129"/>
      <c r="M910" s="341"/>
      <c r="N910" s="342"/>
    </row>
    <row r="911" spans="3:14" s="120" customFormat="1" x14ac:dyDescent="0.2">
      <c r="C911" s="129"/>
      <c r="H911" s="129"/>
      <c r="I911" s="129"/>
      <c r="M911" s="341"/>
      <c r="N911" s="342"/>
    </row>
    <row r="912" spans="3:14" s="120" customFormat="1" x14ac:dyDescent="0.2">
      <c r="C912" s="129"/>
      <c r="H912" s="129"/>
      <c r="I912" s="129"/>
      <c r="M912" s="341"/>
      <c r="N912" s="342"/>
    </row>
    <row r="913" spans="3:14" s="120" customFormat="1" x14ac:dyDescent="0.2">
      <c r="C913" s="129"/>
      <c r="H913" s="129"/>
      <c r="I913" s="129"/>
      <c r="M913" s="341"/>
      <c r="N913" s="342"/>
    </row>
    <row r="914" spans="3:14" s="120" customFormat="1" x14ac:dyDescent="0.2">
      <c r="C914" s="129"/>
      <c r="H914" s="129"/>
      <c r="I914" s="129"/>
      <c r="M914" s="341"/>
      <c r="N914" s="342"/>
    </row>
    <row r="915" spans="3:14" s="120" customFormat="1" x14ac:dyDescent="0.2">
      <c r="C915" s="129"/>
      <c r="H915" s="129"/>
      <c r="I915" s="129"/>
      <c r="M915" s="341"/>
      <c r="N915" s="342"/>
    </row>
    <row r="916" spans="3:14" s="120" customFormat="1" x14ac:dyDescent="0.2">
      <c r="C916" s="129"/>
      <c r="H916" s="129"/>
      <c r="I916" s="129"/>
      <c r="M916" s="341"/>
      <c r="N916" s="342"/>
    </row>
    <row r="917" spans="3:14" s="120" customFormat="1" x14ac:dyDescent="0.2">
      <c r="C917" s="129"/>
      <c r="H917" s="129"/>
      <c r="I917" s="129"/>
      <c r="M917" s="341"/>
      <c r="N917" s="342"/>
    </row>
    <row r="918" spans="3:14" s="120" customFormat="1" x14ac:dyDescent="0.2">
      <c r="C918" s="129"/>
      <c r="H918" s="129"/>
      <c r="I918" s="129"/>
      <c r="M918" s="341"/>
      <c r="N918" s="342"/>
    </row>
    <row r="919" spans="3:14" s="120" customFormat="1" x14ac:dyDescent="0.2">
      <c r="C919" s="129"/>
      <c r="H919" s="129"/>
      <c r="I919" s="129"/>
      <c r="M919" s="341"/>
      <c r="N919" s="342"/>
    </row>
    <row r="920" spans="3:14" s="120" customFormat="1" x14ac:dyDescent="0.2">
      <c r="C920" s="129"/>
      <c r="H920" s="129"/>
      <c r="I920" s="129"/>
      <c r="M920" s="341"/>
      <c r="N920" s="342"/>
    </row>
    <row r="921" spans="3:14" s="120" customFormat="1" x14ac:dyDescent="0.2">
      <c r="C921" s="129"/>
      <c r="H921" s="129"/>
      <c r="I921" s="129"/>
      <c r="M921" s="341"/>
      <c r="N921" s="342"/>
    </row>
    <row r="922" spans="3:14" s="120" customFormat="1" x14ac:dyDescent="0.2">
      <c r="C922" s="129"/>
      <c r="H922" s="129"/>
      <c r="I922" s="129"/>
      <c r="M922" s="341"/>
      <c r="N922" s="342"/>
    </row>
    <row r="923" spans="3:14" s="120" customFormat="1" x14ac:dyDescent="0.2">
      <c r="C923" s="129"/>
      <c r="H923" s="129"/>
      <c r="I923" s="129"/>
      <c r="M923" s="341"/>
      <c r="N923" s="342"/>
    </row>
    <row r="924" spans="3:14" s="120" customFormat="1" x14ac:dyDescent="0.2">
      <c r="C924" s="129"/>
      <c r="H924" s="129"/>
      <c r="I924" s="129"/>
      <c r="M924" s="341"/>
      <c r="N924" s="342"/>
    </row>
    <row r="925" spans="3:14" s="120" customFormat="1" x14ac:dyDescent="0.2">
      <c r="C925" s="129"/>
      <c r="H925" s="129"/>
      <c r="I925" s="129"/>
      <c r="M925" s="341"/>
      <c r="N925" s="342"/>
    </row>
    <row r="926" spans="3:14" s="120" customFormat="1" x14ac:dyDescent="0.2">
      <c r="C926" s="129"/>
      <c r="H926" s="129"/>
      <c r="I926" s="129"/>
      <c r="M926" s="341"/>
      <c r="N926" s="342"/>
    </row>
    <row r="927" spans="3:14" s="120" customFormat="1" x14ac:dyDescent="0.2">
      <c r="C927" s="129"/>
      <c r="H927" s="129"/>
      <c r="I927" s="129"/>
      <c r="M927" s="341"/>
      <c r="N927" s="342"/>
    </row>
    <row r="928" spans="3:14" s="120" customFormat="1" x14ac:dyDescent="0.2">
      <c r="C928" s="129"/>
      <c r="H928" s="129"/>
      <c r="I928" s="129"/>
      <c r="M928" s="341"/>
      <c r="N928" s="342"/>
    </row>
    <row r="929" spans="3:14" s="120" customFormat="1" x14ac:dyDescent="0.2">
      <c r="C929" s="129"/>
      <c r="H929" s="129"/>
      <c r="I929" s="129"/>
      <c r="M929" s="341"/>
      <c r="N929" s="342"/>
    </row>
    <row r="930" spans="3:14" s="120" customFormat="1" x14ac:dyDescent="0.2">
      <c r="C930" s="129"/>
      <c r="H930" s="129"/>
      <c r="I930" s="129"/>
      <c r="M930" s="341"/>
      <c r="N930" s="342"/>
    </row>
    <row r="931" spans="3:14" s="120" customFormat="1" x14ac:dyDescent="0.2">
      <c r="C931" s="129"/>
      <c r="H931" s="129"/>
      <c r="I931" s="129"/>
      <c r="M931" s="341"/>
      <c r="N931" s="342"/>
    </row>
    <row r="932" spans="3:14" s="120" customFormat="1" x14ac:dyDescent="0.2">
      <c r="C932" s="129"/>
      <c r="H932" s="129"/>
      <c r="I932" s="129"/>
      <c r="M932" s="341"/>
      <c r="N932" s="342"/>
    </row>
    <row r="933" spans="3:14" s="120" customFormat="1" x14ac:dyDescent="0.2">
      <c r="C933" s="129"/>
      <c r="H933" s="129"/>
      <c r="I933" s="129"/>
      <c r="M933" s="341"/>
      <c r="N933" s="342"/>
    </row>
    <row r="934" spans="3:14" s="120" customFormat="1" x14ac:dyDescent="0.2">
      <c r="C934" s="129"/>
      <c r="H934" s="129"/>
      <c r="I934" s="129"/>
      <c r="M934" s="341"/>
      <c r="N934" s="342"/>
    </row>
    <row r="935" spans="3:14" s="120" customFormat="1" x14ac:dyDescent="0.2">
      <c r="C935" s="129"/>
      <c r="H935" s="129"/>
      <c r="I935" s="129"/>
      <c r="M935" s="341"/>
      <c r="N935" s="342"/>
    </row>
    <row r="936" spans="3:14" s="120" customFormat="1" x14ac:dyDescent="0.2">
      <c r="C936" s="129"/>
      <c r="H936" s="129"/>
      <c r="I936" s="129"/>
      <c r="M936" s="341"/>
      <c r="N936" s="342"/>
    </row>
    <row r="937" spans="3:14" s="120" customFormat="1" x14ac:dyDescent="0.2">
      <c r="C937" s="129"/>
      <c r="H937" s="129"/>
      <c r="I937" s="129"/>
      <c r="M937" s="341"/>
      <c r="N937" s="342"/>
    </row>
    <row r="938" spans="3:14" s="120" customFormat="1" x14ac:dyDescent="0.2">
      <c r="C938" s="129"/>
      <c r="H938" s="129"/>
      <c r="I938" s="129"/>
      <c r="M938" s="341"/>
      <c r="N938" s="342"/>
    </row>
    <row r="939" spans="3:14" s="120" customFormat="1" x14ac:dyDescent="0.2">
      <c r="C939" s="129"/>
      <c r="H939" s="129"/>
      <c r="I939" s="129"/>
      <c r="M939" s="341"/>
      <c r="N939" s="342"/>
    </row>
    <row r="940" spans="3:14" s="120" customFormat="1" x14ac:dyDescent="0.2">
      <c r="C940" s="129"/>
      <c r="H940" s="129"/>
      <c r="I940" s="129"/>
      <c r="M940" s="341"/>
      <c r="N940" s="342"/>
    </row>
    <row r="941" spans="3:14" s="120" customFormat="1" x14ac:dyDescent="0.2">
      <c r="C941" s="129"/>
      <c r="H941" s="129"/>
      <c r="I941" s="129"/>
      <c r="M941" s="341"/>
      <c r="N941" s="342"/>
    </row>
    <row r="942" spans="3:14" s="120" customFormat="1" x14ac:dyDescent="0.2">
      <c r="C942" s="129"/>
      <c r="H942" s="129"/>
      <c r="I942" s="129"/>
      <c r="M942" s="341"/>
      <c r="N942" s="342"/>
    </row>
    <row r="943" spans="3:14" s="120" customFormat="1" x14ac:dyDescent="0.2">
      <c r="C943" s="129"/>
      <c r="H943" s="129"/>
      <c r="I943" s="129"/>
      <c r="M943" s="341"/>
      <c r="N943" s="342"/>
    </row>
    <row r="944" spans="3:14" s="120" customFormat="1" x14ac:dyDescent="0.2">
      <c r="C944" s="129"/>
      <c r="H944" s="129"/>
      <c r="I944" s="129"/>
      <c r="M944" s="341"/>
      <c r="N944" s="342"/>
    </row>
    <row r="945" spans="3:14" s="120" customFormat="1" x14ac:dyDescent="0.2">
      <c r="C945" s="129"/>
      <c r="H945" s="129"/>
      <c r="I945" s="129"/>
      <c r="M945" s="341"/>
      <c r="N945" s="342"/>
    </row>
    <row r="946" spans="3:14" s="120" customFormat="1" x14ac:dyDescent="0.2">
      <c r="C946" s="129"/>
      <c r="H946" s="129"/>
      <c r="I946" s="129"/>
      <c r="M946" s="341"/>
      <c r="N946" s="342"/>
    </row>
    <row r="947" spans="3:14" s="120" customFormat="1" x14ac:dyDescent="0.2">
      <c r="C947" s="129"/>
      <c r="H947" s="129"/>
      <c r="I947" s="129"/>
      <c r="M947" s="341"/>
      <c r="N947" s="342"/>
    </row>
    <row r="948" spans="3:14" s="120" customFormat="1" x14ac:dyDescent="0.2">
      <c r="C948" s="129"/>
      <c r="H948" s="129"/>
      <c r="I948" s="129"/>
      <c r="M948" s="341"/>
      <c r="N948" s="342"/>
    </row>
    <row r="949" spans="3:14" s="120" customFormat="1" x14ac:dyDescent="0.2">
      <c r="C949" s="129"/>
      <c r="H949" s="129"/>
      <c r="I949" s="129"/>
      <c r="M949" s="341"/>
      <c r="N949" s="342"/>
    </row>
    <row r="950" spans="3:14" s="120" customFormat="1" x14ac:dyDescent="0.2">
      <c r="C950" s="129"/>
      <c r="H950" s="129"/>
      <c r="I950" s="129"/>
      <c r="M950" s="341"/>
      <c r="N950" s="342"/>
    </row>
    <row r="951" spans="3:14" s="120" customFormat="1" x14ac:dyDescent="0.2">
      <c r="C951" s="129"/>
      <c r="H951" s="129"/>
      <c r="I951" s="129"/>
      <c r="M951" s="341"/>
      <c r="N951" s="342"/>
    </row>
    <row r="952" spans="3:14" s="120" customFormat="1" x14ac:dyDescent="0.2">
      <c r="C952" s="129"/>
      <c r="H952" s="129"/>
      <c r="I952" s="129"/>
      <c r="M952" s="341"/>
      <c r="N952" s="342"/>
    </row>
    <row r="953" spans="3:14" s="120" customFormat="1" x14ac:dyDescent="0.2">
      <c r="C953" s="129"/>
      <c r="H953" s="129"/>
      <c r="I953" s="129"/>
      <c r="M953" s="341"/>
      <c r="N953" s="342"/>
    </row>
    <row r="954" spans="3:14" s="120" customFormat="1" x14ac:dyDescent="0.2">
      <c r="C954" s="129"/>
      <c r="H954" s="129"/>
      <c r="I954" s="129"/>
      <c r="M954" s="341"/>
      <c r="N954" s="342"/>
    </row>
    <row r="955" spans="3:14" s="120" customFormat="1" x14ac:dyDescent="0.2">
      <c r="C955" s="129"/>
      <c r="H955" s="129"/>
      <c r="I955" s="129"/>
      <c r="M955" s="341"/>
      <c r="N955" s="342"/>
    </row>
    <row r="956" spans="3:14" s="120" customFormat="1" x14ac:dyDescent="0.2">
      <c r="C956" s="129"/>
      <c r="H956" s="129"/>
      <c r="I956" s="129"/>
      <c r="M956" s="341"/>
      <c r="N956" s="342"/>
    </row>
    <row r="957" spans="3:14" s="120" customFormat="1" x14ac:dyDescent="0.2">
      <c r="C957" s="129"/>
      <c r="H957" s="129"/>
      <c r="I957" s="129"/>
      <c r="M957" s="341"/>
      <c r="N957" s="342"/>
    </row>
    <row r="958" spans="3:14" s="120" customFormat="1" x14ac:dyDescent="0.2">
      <c r="C958" s="129"/>
      <c r="H958" s="129"/>
      <c r="I958" s="129"/>
      <c r="M958" s="341"/>
      <c r="N958" s="342"/>
    </row>
    <row r="959" spans="3:14" s="120" customFormat="1" x14ac:dyDescent="0.2">
      <c r="C959" s="129"/>
      <c r="H959" s="129"/>
      <c r="I959" s="129"/>
      <c r="M959" s="341"/>
      <c r="N959" s="342"/>
    </row>
    <row r="960" spans="3:14" s="120" customFormat="1" x14ac:dyDescent="0.2">
      <c r="C960" s="129"/>
      <c r="H960" s="129"/>
      <c r="I960" s="129"/>
      <c r="M960" s="341"/>
      <c r="N960" s="342"/>
    </row>
    <row r="961" spans="3:14" s="120" customFormat="1" x14ac:dyDescent="0.2">
      <c r="C961" s="129"/>
      <c r="H961" s="129"/>
      <c r="I961" s="129"/>
      <c r="M961" s="341"/>
      <c r="N961" s="342"/>
    </row>
    <row r="962" spans="3:14" s="120" customFormat="1" x14ac:dyDescent="0.2">
      <c r="C962" s="129"/>
      <c r="H962" s="129"/>
      <c r="I962" s="129"/>
      <c r="M962" s="341"/>
      <c r="N962" s="342"/>
    </row>
    <row r="963" spans="3:14" s="120" customFormat="1" x14ac:dyDescent="0.2">
      <c r="C963" s="129"/>
      <c r="H963" s="129"/>
      <c r="I963" s="129"/>
      <c r="M963" s="341"/>
      <c r="N963" s="342"/>
    </row>
    <row r="964" spans="3:14" s="120" customFormat="1" x14ac:dyDescent="0.2">
      <c r="C964" s="129"/>
      <c r="H964" s="129"/>
      <c r="I964" s="129"/>
      <c r="M964" s="341"/>
      <c r="N964" s="342"/>
    </row>
    <row r="965" spans="3:14" s="120" customFormat="1" x14ac:dyDescent="0.2">
      <c r="C965" s="129"/>
      <c r="H965" s="129"/>
      <c r="I965" s="129"/>
      <c r="M965" s="341"/>
      <c r="N965" s="342"/>
    </row>
    <row r="966" spans="3:14" s="120" customFormat="1" x14ac:dyDescent="0.2">
      <c r="C966" s="129"/>
      <c r="H966" s="129"/>
      <c r="I966" s="129"/>
      <c r="M966" s="341"/>
      <c r="N966" s="342"/>
    </row>
    <row r="967" spans="3:14" s="120" customFormat="1" x14ac:dyDescent="0.2">
      <c r="C967" s="129"/>
      <c r="H967" s="129"/>
      <c r="I967" s="129"/>
      <c r="M967" s="341"/>
      <c r="N967" s="342"/>
    </row>
    <row r="968" spans="3:14" s="120" customFormat="1" x14ac:dyDescent="0.2">
      <c r="C968" s="129"/>
      <c r="H968" s="129"/>
      <c r="I968" s="129"/>
      <c r="M968" s="341"/>
      <c r="N968" s="342"/>
    </row>
    <row r="969" spans="3:14" s="120" customFormat="1" x14ac:dyDescent="0.2">
      <c r="C969" s="129"/>
      <c r="H969" s="129"/>
      <c r="I969" s="129"/>
      <c r="M969" s="341"/>
      <c r="N969" s="342"/>
    </row>
    <row r="970" spans="3:14" s="120" customFormat="1" x14ac:dyDescent="0.2">
      <c r="C970" s="129"/>
      <c r="H970" s="129"/>
      <c r="I970" s="129"/>
      <c r="M970" s="341"/>
      <c r="N970" s="342"/>
    </row>
    <row r="971" spans="3:14" s="120" customFormat="1" x14ac:dyDescent="0.2">
      <c r="C971" s="129"/>
      <c r="H971" s="129"/>
      <c r="I971" s="129"/>
      <c r="M971" s="341"/>
      <c r="N971" s="342"/>
    </row>
    <row r="972" spans="3:14" s="120" customFormat="1" x14ac:dyDescent="0.2">
      <c r="C972" s="129"/>
      <c r="H972" s="129"/>
      <c r="I972" s="129"/>
      <c r="M972" s="341"/>
      <c r="N972" s="342"/>
    </row>
    <row r="973" spans="3:14" s="120" customFormat="1" x14ac:dyDescent="0.2">
      <c r="C973" s="129"/>
      <c r="H973" s="129"/>
      <c r="I973" s="129"/>
      <c r="M973" s="341"/>
      <c r="N973" s="342"/>
    </row>
    <row r="974" spans="3:14" s="120" customFormat="1" x14ac:dyDescent="0.2">
      <c r="C974" s="129"/>
      <c r="H974" s="129"/>
      <c r="I974" s="129"/>
      <c r="M974" s="341"/>
      <c r="N974" s="342"/>
    </row>
    <row r="975" spans="3:14" s="120" customFormat="1" x14ac:dyDescent="0.2">
      <c r="C975" s="129"/>
      <c r="H975" s="129"/>
      <c r="I975" s="129"/>
      <c r="M975" s="341"/>
      <c r="N975" s="342"/>
    </row>
    <row r="976" spans="3:14" s="120" customFormat="1" x14ac:dyDescent="0.2">
      <c r="C976" s="129"/>
      <c r="H976" s="129"/>
      <c r="I976" s="129"/>
      <c r="M976" s="341"/>
      <c r="N976" s="342"/>
    </row>
    <row r="977" spans="3:14" s="120" customFormat="1" x14ac:dyDescent="0.2">
      <c r="C977" s="129"/>
      <c r="H977" s="129"/>
      <c r="I977" s="129"/>
      <c r="M977" s="341"/>
      <c r="N977" s="342"/>
    </row>
    <row r="978" spans="3:14" s="120" customFormat="1" x14ac:dyDescent="0.2">
      <c r="C978" s="129"/>
      <c r="H978" s="129"/>
      <c r="I978" s="129"/>
      <c r="M978" s="341"/>
      <c r="N978" s="342"/>
    </row>
    <row r="979" spans="3:14" s="120" customFormat="1" x14ac:dyDescent="0.2">
      <c r="C979" s="129"/>
      <c r="H979" s="129"/>
      <c r="I979" s="129"/>
      <c r="M979" s="341"/>
      <c r="N979" s="342"/>
    </row>
    <row r="980" spans="3:14" s="120" customFormat="1" x14ac:dyDescent="0.2">
      <c r="C980" s="129"/>
      <c r="H980" s="129"/>
      <c r="I980" s="129"/>
      <c r="M980" s="341"/>
      <c r="N980" s="342"/>
    </row>
    <row r="981" spans="3:14" s="120" customFormat="1" x14ac:dyDescent="0.2">
      <c r="C981" s="129"/>
      <c r="H981" s="129"/>
      <c r="I981" s="129"/>
      <c r="M981" s="341"/>
      <c r="N981" s="342"/>
    </row>
    <row r="982" spans="3:14" s="120" customFormat="1" x14ac:dyDescent="0.2">
      <c r="C982" s="129"/>
      <c r="H982" s="129"/>
      <c r="I982" s="129"/>
      <c r="M982" s="341"/>
      <c r="N982" s="342"/>
    </row>
    <row r="983" spans="3:14" s="120" customFormat="1" x14ac:dyDescent="0.2">
      <c r="C983" s="129"/>
      <c r="H983" s="129"/>
      <c r="I983" s="129"/>
      <c r="M983" s="341"/>
      <c r="N983" s="342"/>
    </row>
    <row r="984" spans="3:14" s="120" customFormat="1" x14ac:dyDescent="0.2">
      <c r="C984" s="129"/>
      <c r="H984" s="129"/>
      <c r="I984" s="129"/>
      <c r="M984" s="341"/>
      <c r="N984" s="342"/>
    </row>
    <row r="985" spans="3:14" s="120" customFormat="1" x14ac:dyDescent="0.2">
      <c r="C985" s="129"/>
      <c r="H985" s="129"/>
      <c r="I985" s="129"/>
      <c r="M985" s="341"/>
      <c r="N985" s="342"/>
    </row>
    <row r="986" spans="3:14" s="120" customFormat="1" x14ac:dyDescent="0.2">
      <c r="C986" s="129"/>
      <c r="H986" s="129"/>
      <c r="I986" s="129"/>
      <c r="M986" s="341"/>
      <c r="N986" s="342"/>
    </row>
    <row r="987" spans="3:14" s="120" customFormat="1" x14ac:dyDescent="0.2">
      <c r="C987" s="129"/>
      <c r="H987" s="129"/>
      <c r="I987" s="129"/>
      <c r="M987" s="341"/>
      <c r="N987" s="342"/>
    </row>
    <row r="988" spans="3:14" s="120" customFormat="1" x14ac:dyDescent="0.2">
      <c r="C988" s="129"/>
      <c r="H988" s="129"/>
      <c r="I988" s="129"/>
      <c r="M988" s="341"/>
      <c r="N988" s="342"/>
    </row>
    <row r="989" spans="3:14" s="120" customFormat="1" x14ac:dyDescent="0.2">
      <c r="C989" s="129"/>
      <c r="H989" s="129"/>
      <c r="I989" s="129"/>
      <c r="M989" s="341"/>
      <c r="N989" s="342"/>
    </row>
    <row r="990" spans="3:14" s="120" customFormat="1" x14ac:dyDescent="0.2">
      <c r="C990" s="129"/>
      <c r="H990" s="129"/>
      <c r="I990" s="129"/>
      <c r="M990" s="341"/>
      <c r="N990" s="342"/>
    </row>
    <row r="991" spans="3:14" s="120" customFormat="1" x14ac:dyDescent="0.2">
      <c r="C991" s="129"/>
      <c r="H991" s="129"/>
      <c r="I991" s="129"/>
      <c r="M991" s="341"/>
      <c r="N991" s="342"/>
    </row>
    <row r="992" spans="3:14" s="120" customFormat="1" x14ac:dyDescent="0.2">
      <c r="C992" s="129"/>
      <c r="H992" s="129"/>
      <c r="I992" s="129"/>
      <c r="M992" s="341"/>
      <c r="N992" s="342"/>
    </row>
    <row r="993" spans="3:14" s="120" customFormat="1" x14ac:dyDescent="0.2">
      <c r="C993" s="129"/>
      <c r="H993" s="129"/>
      <c r="I993" s="129"/>
      <c r="M993" s="341"/>
      <c r="N993" s="342"/>
    </row>
    <row r="994" spans="3:14" s="120" customFormat="1" x14ac:dyDescent="0.2">
      <c r="C994" s="129"/>
      <c r="H994" s="129"/>
      <c r="I994" s="129"/>
      <c r="M994" s="341"/>
      <c r="N994" s="342"/>
    </row>
    <row r="995" spans="3:14" s="120" customFormat="1" x14ac:dyDescent="0.2">
      <c r="C995" s="129"/>
      <c r="H995" s="129"/>
      <c r="I995" s="129"/>
      <c r="M995" s="341"/>
      <c r="N995" s="342"/>
    </row>
    <row r="996" spans="3:14" s="120" customFormat="1" x14ac:dyDescent="0.2">
      <c r="C996" s="129"/>
      <c r="H996" s="129"/>
      <c r="I996" s="129"/>
      <c r="M996" s="341"/>
      <c r="N996" s="342"/>
    </row>
    <row r="997" spans="3:14" s="120" customFormat="1" x14ac:dyDescent="0.2">
      <c r="C997" s="129"/>
      <c r="H997" s="129"/>
      <c r="I997" s="129"/>
      <c r="M997" s="341"/>
      <c r="N997" s="342"/>
    </row>
    <row r="998" spans="3:14" s="120" customFormat="1" x14ac:dyDescent="0.2">
      <c r="C998" s="129"/>
      <c r="H998" s="129"/>
      <c r="I998" s="129"/>
      <c r="M998" s="341"/>
      <c r="N998" s="342"/>
    </row>
    <row r="999" spans="3:14" s="120" customFormat="1" x14ac:dyDescent="0.2">
      <c r="C999" s="129"/>
      <c r="H999" s="129"/>
      <c r="I999" s="129"/>
      <c r="M999" s="341"/>
      <c r="N999" s="342"/>
    </row>
    <row r="1000" spans="3:14" s="120" customFormat="1" x14ac:dyDescent="0.2">
      <c r="C1000" s="129"/>
      <c r="H1000" s="129"/>
      <c r="I1000" s="129"/>
      <c r="M1000" s="341"/>
      <c r="N1000" s="342"/>
    </row>
    <row r="1001" spans="3:14" s="120" customFormat="1" x14ac:dyDescent="0.2">
      <c r="C1001" s="129"/>
      <c r="H1001" s="129"/>
      <c r="I1001" s="129"/>
      <c r="M1001" s="341"/>
      <c r="N1001" s="342"/>
    </row>
    <row r="1002" spans="3:14" s="120" customFormat="1" x14ac:dyDescent="0.2">
      <c r="C1002" s="129"/>
      <c r="H1002" s="129"/>
      <c r="I1002" s="129"/>
      <c r="M1002" s="341"/>
      <c r="N1002" s="342"/>
    </row>
    <row r="1003" spans="3:14" s="120" customFormat="1" x14ac:dyDescent="0.2">
      <c r="C1003" s="129"/>
      <c r="H1003" s="129"/>
      <c r="I1003" s="129"/>
      <c r="M1003" s="341"/>
      <c r="N1003" s="342"/>
    </row>
    <row r="1004" spans="3:14" s="120" customFormat="1" x14ac:dyDescent="0.2">
      <c r="C1004" s="129"/>
      <c r="H1004" s="129"/>
      <c r="I1004" s="129"/>
      <c r="M1004" s="341"/>
      <c r="N1004" s="342"/>
    </row>
    <row r="1005" spans="3:14" s="120" customFormat="1" x14ac:dyDescent="0.2">
      <c r="C1005" s="129"/>
      <c r="H1005" s="129"/>
      <c r="I1005" s="129"/>
      <c r="M1005" s="341"/>
      <c r="N1005" s="342"/>
    </row>
    <row r="1006" spans="3:14" s="120" customFormat="1" x14ac:dyDescent="0.2">
      <c r="C1006" s="129"/>
      <c r="H1006" s="129"/>
      <c r="I1006" s="129"/>
      <c r="M1006" s="341"/>
      <c r="N1006" s="342"/>
    </row>
    <row r="1007" spans="3:14" s="120" customFormat="1" x14ac:dyDescent="0.2">
      <c r="C1007" s="129"/>
      <c r="H1007" s="129"/>
      <c r="I1007" s="129"/>
      <c r="M1007" s="341"/>
      <c r="N1007" s="342"/>
    </row>
  </sheetData>
  <mergeCells count="10">
    <mergeCell ref="I2:J2"/>
    <mergeCell ref="I3:J3"/>
    <mergeCell ref="B10:J10"/>
    <mergeCell ref="D3:G3"/>
    <mergeCell ref="D4:G4"/>
    <mergeCell ref="D5:G5"/>
    <mergeCell ref="D6:G6"/>
    <mergeCell ref="D7:G7"/>
    <mergeCell ref="D8:G8"/>
    <mergeCell ref="B2:G2"/>
  </mergeCells>
  <phoneticPr fontId="23" type="noConversion"/>
  <pageMargins left="0.23622047244094491" right="0.23622047244094491" top="0.74803149606299213" bottom="0.74803149606299213" header="0.31496062992125984" footer="0.31496062992125984"/>
  <pageSetup paperSize="9" scale="52" fitToHeight="2" orientation="portrait" r:id="rId1"/>
  <headerFooter>
    <oddFooter>&amp;L&amp;P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16446-C596-4644-8EAC-766249BC728F}">
  <sheetPr>
    <tabColor rgb="FF92D050"/>
    <pageSetUpPr fitToPage="1"/>
  </sheetPr>
  <dimension ref="A1:Q483"/>
  <sheetViews>
    <sheetView zoomScale="118" zoomScaleNormal="100" workbookViewId="0">
      <selection activeCell="K12" sqref="K12:K482"/>
    </sheetView>
  </sheetViews>
  <sheetFormatPr baseColWidth="10" defaultColWidth="10.83203125" defaultRowHeight="16" x14ac:dyDescent="0.2"/>
  <cols>
    <col min="1" max="1" width="3.6640625" style="33" customWidth="1"/>
    <col min="2" max="2" width="57.83203125" style="33" customWidth="1"/>
    <col min="3" max="3" width="10.6640625" style="33" customWidth="1"/>
    <col min="4" max="4" width="22.83203125" style="270" hidden="1" customWidth="1"/>
    <col min="5" max="5" width="13.83203125" style="270" customWidth="1"/>
    <col min="6" max="7" width="15.33203125" style="270" customWidth="1"/>
    <col min="8" max="9" width="15.6640625" style="270" hidden="1" customWidth="1"/>
    <col min="10" max="10" width="15.6640625" style="33" customWidth="1"/>
    <col min="11" max="11" width="12.6640625" style="33" customWidth="1"/>
    <col min="12" max="12" width="12.6640625" style="301" customWidth="1"/>
    <col min="13" max="14" width="8.6640625" style="301" hidden="1" customWidth="1"/>
    <col min="15" max="15" width="7.6640625" style="33" bestFit="1" customWidth="1"/>
    <col min="16" max="16384" width="10.83203125" style="33"/>
  </cols>
  <sheetData>
    <row r="1" spans="1:16" ht="17" thickBot="1" x14ac:dyDescent="0.25"/>
    <row r="2" spans="1:16" ht="17" thickBot="1" x14ac:dyDescent="0.25">
      <c r="B2" s="630" t="s">
        <v>345</v>
      </c>
      <c r="C2" s="669"/>
      <c r="D2" s="669"/>
      <c r="E2" s="669"/>
      <c r="F2" s="669"/>
      <c r="G2" s="659"/>
      <c r="I2" s="673" t="s">
        <v>61</v>
      </c>
      <c r="J2" s="626"/>
      <c r="L2" s="33"/>
      <c r="O2" s="39"/>
    </row>
    <row r="3" spans="1:16" ht="17" thickBot="1" x14ac:dyDescent="0.25">
      <c r="B3" s="69" t="s">
        <v>62</v>
      </c>
      <c r="C3" s="660"/>
      <c r="D3" s="667"/>
      <c r="E3" s="667"/>
      <c r="F3" s="667"/>
      <c r="G3" s="661"/>
      <c r="I3" s="680" t="str">
        <f>COVER!C9</f>
        <v>ian.shotam@programmed.com.au</v>
      </c>
      <c r="J3" s="681"/>
      <c r="L3" s="33"/>
      <c r="O3" s="39"/>
    </row>
    <row r="4" spans="1:16" ht="15.75" customHeight="1" x14ac:dyDescent="0.2">
      <c r="B4" s="69" t="str">
        <f>COVER!B12</f>
        <v>SITE</v>
      </c>
      <c r="C4" s="649" t="str">
        <f>COVER!C12</f>
        <v>GOLDEN GROVE</v>
      </c>
      <c r="D4" s="668"/>
      <c r="E4" s="668"/>
      <c r="F4" s="668"/>
      <c r="G4" s="650"/>
      <c r="N4" s="39"/>
    </row>
    <row r="5" spans="1:16" ht="15.75" customHeight="1" x14ac:dyDescent="0.2">
      <c r="B5" s="69" t="str">
        <f>COVER!B13</f>
        <v>MANAGERS NAME</v>
      </c>
      <c r="C5" s="649" t="str">
        <f>COVER!C13</f>
        <v>Ian Shotam</v>
      </c>
      <c r="D5" s="668"/>
      <c r="E5" s="668"/>
      <c r="F5" s="668"/>
      <c r="G5" s="650"/>
      <c r="I5" s="33"/>
      <c r="N5" s="39"/>
    </row>
    <row r="6" spans="1:16" x14ac:dyDescent="0.2">
      <c r="B6" s="69" t="str">
        <f>COVER!B14</f>
        <v>DATE - ORDER PLACED</v>
      </c>
      <c r="C6" s="651">
        <f>COVER!C14</f>
        <v>45082</v>
      </c>
      <c r="D6" s="665"/>
      <c r="E6" s="665"/>
      <c r="F6" s="665"/>
      <c r="G6" s="652"/>
      <c r="I6" s="33"/>
      <c r="N6" s="39"/>
    </row>
    <row r="7" spans="1:16" ht="34" x14ac:dyDescent="0.2">
      <c r="B7" s="543" t="str">
        <f>COVER!B15</f>
        <v>DATE - DELIVERY PERTH - FREIGHT LINES, 12-26 RIVERSDALE RD, WELSHPOOL WA 6100</v>
      </c>
      <c r="C7" s="651">
        <f>COVER!C15</f>
        <v>45085</v>
      </c>
      <c r="D7" s="665"/>
      <c r="E7" s="665"/>
      <c r="F7" s="665"/>
      <c r="G7" s="652"/>
      <c r="I7" s="33"/>
      <c r="N7" s="39"/>
    </row>
    <row r="8" spans="1:16" ht="17" thickBot="1" x14ac:dyDescent="0.25">
      <c r="B8" s="70" t="str">
        <f>COVER!B16</f>
        <v>DATE - ESTIMATED ARRIVAL SITE</v>
      </c>
      <c r="C8" s="653">
        <f>COVER!C16</f>
        <v>45086</v>
      </c>
      <c r="D8" s="666"/>
      <c r="E8" s="666"/>
      <c r="F8" s="666"/>
      <c r="G8" s="654"/>
      <c r="I8" s="33"/>
      <c r="N8" s="39"/>
    </row>
    <row r="9" spans="1:16" ht="17" thickBot="1" x14ac:dyDescent="0.25"/>
    <row r="10" spans="1:16" ht="30" customHeight="1" thickBot="1" x14ac:dyDescent="0.25">
      <c r="B10" s="677" t="s">
        <v>33</v>
      </c>
      <c r="C10" s="678"/>
      <c r="D10" s="678"/>
      <c r="E10" s="678"/>
      <c r="F10" s="678"/>
      <c r="G10" s="678"/>
      <c r="H10" s="678"/>
      <c r="I10" s="678"/>
      <c r="J10" s="678"/>
      <c r="K10" s="678"/>
      <c r="L10" s="679"/>
      <c r="M10" s="302"/>
    </row>
    <row r="11" spans="1:16" ht="30" customHeight="1" thickBot="1" x14ac:dyDescent="0.25">
      <c r="B11" s="303" t="s">
        <v>695</v>
      </c>
      <c r="C11" s="304" t="s">
        <v>65</v>
      </c>
      <c r="D11" s="305" t="s">
        <v>696</v>
      </c>
      <c r="E11" s="305" t="s">
        <v>697</v>
      </c>
      <c r="F11" s="305" t="s">
        <v>348</v>
      </c>
      <c r="G11" s="305" t="s">
        <v>349</v>
      </c>
      <c r="H11" s="278" t="s">
        <v>67</v>
      </c>
      <c r="I11" s="278" t="s">
        <v>68</v>
      </c>
      <c r="J11" s="278" t="s">
        <v>69</v>
      </c>
      <c r="K11" s="279" t="s">
        <v>70</v>
      </c>
      <c r="L11" s="280" t="s">
        <v>25</v>
      </c>
      <c r="M11" s="306" t="s">
        <v>71</v>
      </c>
      <c r="N11" s="307" t="s">
        <v>72</v>
      </c>
    </row>
    <row r="12" spans="1:16" x14ac:dyDescent="0.2">
      <c r="A12" s="524"/>
      <c r="B12" s="53" t="s">
        <v>698</v>
      </c>
      <c r="C12" s="106">
        <v>43083</v>
      </c>
      <c r="D12" s="308" t="s">
        <v>699</v>
      </c>
      <c r="E12" s="308" t="s">
        <v>700</v>
      </c>
      <c r="F12" s="308" t="s">
        <v>77</v>
      </c>
      <c r="G12" s="107">
        <v>6</v>
      </c>
      <c r="H12" s="3"/>
      <c r="I12" s="3"/>
      <c r="J12" s="17"/>
      <c r="K12" s="309">
        <v>114.42</v>
      </c>
      <c r="L12" s="91">
        <f t="shared" ref="L12:L28" si="0">J12*K12</f>
        <v>0</v>
      </c>
      <c r="M12" s="310">
        <f>K12/11.4</f>
        <v>10.036842105263158</v>
      </c>
      <c r="N12" s="87">
        <f>K12/11400*15</f>
        <v>0.15055263157894738</v>
      </c>
      <c r="P12" s="311"/>
    </row>
    <row r="13" spans="1:16" x14ac:dyDescent="0.2">
      <c r="A13" s="524"/>
      <c r="B13" s="53" t="s">
        <v>701</v>
      </c>
      <c r="C13" s="106">
        <v>64999</v>
      </c>
      <c r="D13" s="308" t="s">
        <v>702</v>
      </c>
      <c r="E13" s="308" t="s">
        <v>703</v>
      </c>
      <c r="F13" s="308" t="s">
        <v>77</v>
      </c>
      <c r="G13" s="107">
        <v>8</v>
      </c>
      <c r="H13" s="3"/>
      <c r="I13" s="3"/>
      <c r="J13" s="17"/>
      <c r="K13" s="309">
        <v>79.44</v>
      </c>
      <c r="L13" s="91">
        <f t="shared" si="0"/>
        <v>0</v>
      </c>
      <c r="M13" s="312">
        <f>K13</f>
        <v>79.44</v>
      </c>
      <c r="N13" s="313">
        <f>M13/50</f>
        <v>1.5888</v>
      </c>
    </row>
    <row r="14" spans="1:16" x14ac:dyDescent="0.2">
      <c r="A14" s="524"/>
      <c r="B14" s="472" t="s">
        <v>704</v>
      </c>
      <c r="C14" s="218">
        <v>95857</v>
      </c>
      <c r="D14" s="473" t="s">
        <v>705</v>
      </c>
      <c r="E14" s="473" t="s">
        <v>377</v>
      </c>
      <c r="F14" s="308" t="s">
        <v>77</v>
      </c>
      <c r="G14" s="252">
        <v>4</v>
      </c>
      <c r="H14" s="3"/>
      <c r="I14" s="3"/>
      <c r="J14" s="17"/>
      <c r="K14" s="84">
        <v>60.32</v>
      </c>
      <c r="L14" s="91">
        <f t="shared" si="0"/>
        <v>0</v>
      </c>
      <c r="M14" s="310">
        <f>K14/8.4</f>
        <v>7.1809523809523803</v>
      </c>
      <c r="N14" s="87">
        <f>K14/8400*15</f>
        <v>0.10771428571428571</v>
      </c>
    </row>
    <row r="15" spans="1:16" x14ac:dyDescent="0.2">
      <c r="A15" s="524"/>
      <c r="B15" s="53" t="s">
        <v>706</v>
      </c>
      <c r="C15" s="106">
        <v>34764</v>
      </c>
      <c r="D15" s="107" t="s">
        <v>707</v>
      </c>
      <c r="E15" s="473" t="s">
        <v>361</v>
      </c>
      <c r="F15" s="308" t="s">
        <v>77</v>
      </c>
      <c r="G15" s="107">
        <v>6</v>
      </c>
      <c r="H15" s="3"/>
      <c r="I15" s="3"/>
      <c r="J15" s="17"/>
      <c r="K15" s="309">
        <v>219.24</v>
      </c>
      <c r="L15" s="91">
        <f t="shared" si="0"/>
        <v>0</v>
      </c>
      <c r="M15" s="312">
        <f>K15/6</f>
        <v>36.54</v>
      </c>
      <c r="N15" s="313">
        <f>M15/100</f>
        <v>0.3654</v>
      </c>
    </row>
    <row r="16" spans="1:16" x14ac:dyDescent="0.2">
      <c r="A16" s="524"/>
      <c r="B16" s="53" t="s">
        <v>708</v>
      </c>
      <c r="C16" s="106">
        <v>104755</v>
      </c>
      <c r="D16" s="107" t="s">
        <v>707</v>
      </c>
      <c r="E16" s="107" t="s">
        <v>709</v>
      </c>
      <c r="F16" s="107" t="s">
        <v>77</v>
      </c>
      <c r="G16" s="107" t="s">
        <v>77</v>
      </c>
      <c r="H16" s="3"/>
      <c r="I16" s="3"/>
      <c r="J16" s="17"/>
      <c r="K16" s="309">
        <v>162.47</v>
      </c>
      <c r="L16" s="91">
        <f t="shared" si="0"/>
        <v>0</v>
      </c>
      <c r="M16" s="312"/>
      <c r="N16" s="313"/>
    </row>
    <row r="17" spans="1:16" x14ac:dyDescent="0.2">
      <c r="A17" s="524"/>
      <c r="B17" s="53" t="s">
        <v>710</v>
      </c>
      <c r="C17" s="106">
        <v>958</v>
      </c>
      <c r="D17" s="107" t="s">
        <v>707</v>
      </c>
      <c r="E17" s="107" t="s">
        <v>711</v>
      </c>
      <c r="F17" s="107" t="s">
        <v>77</v>
      </c>
      <c r="G17" s="107">
        <v>6</v>
      </c>
      <c r="H17" s="3"/>
      <c r="I17" s="3"/>
      <c r="J17" s="17"/>
      <c r="K17" s="309">
        <v>165.06</v>
      </c>
      <c r="L17" s="91">
        <f t="shared" si="0"/>
        <v>0</v>
      </c>
      <c r="M17" s="312"/>
      <c r="N17" s="313"/>
    </row>
    <row r="18" spans="1:16" x14ac:dyDescent="0.2">
      <c r="A18" s="524"/>
      <c r="B18" s="53" t="s">
        <v>712</v>
      </c>
      <c r="C18" s="106">
        <v>40616</v>
      </c>
      <c r="D18" s="107" t="s">
        <v>707</v>
      </c>
      <c r="E18" s="107" t="s">
        <v>713</v>
      </c>
      <c r="F18" s="107" t="s">
        <v>77</v>
      </c>
      <c r="G18" s="107">
        <v>1</v>
      </c>
      <c r="H18" s="3"/>
      <c r="I18" s="3"/>
      <c r="J18" s="17"/>
      <c r="K18" s="309">
        <v>61.07</v>
      </c>
      <c r="L18" s="91">
        <f t="shared" si="0"/>
        <v>0</v>
      </c>
      <c r="M18" s="312">
        <f>K18/8.5</f>
        <v>7.1847058823529411</v>
      </c>
      <c r="N18" s="313">
        <f>K18/500</f>
        <v>0.12214</v>
      </c>
    </row>
    <row r="19" spans="1:16" x14ac:dyDescent="0.2">
      <c r="A19" s="524"/>
      <c r="B19" s="99" t="s">
        <v>714</v>
      </c>
      <c r="C19" s="223">
        <v>1455</v>
      </c>
      <c r="D19" s="107" t="s">
        <v>707</v>
      </c>
      <c r="E19" s="308" t="s">
        <v>715</v>
      </c>
      <c r="F19" s="107" t="s">
        <v>77</v>
      </c>
      <c r="G19" s="107">
        <v>6</v>
      </c>
      <c r="H19" s="3"/>
      <c r="I19" s="3"/>
      <c r="J19" s="17"/>
      <c r="K19" s="309">
        <v>160.08000000000001</v>
      </c>
      <c r="L19" s="91">
        <f t="shared" si="0"/>
        <v>0</v>
      </c>
      <c r="M19" s="310">
        <f>K19/8</f>
        <v>20.010000000000002</v>
      </c>
      <c r="N19" s="87">
        <f>K19/8000*15</f>
        <v>0.30015000000000003</v>
      </c>
    </row>
    <row r="20" spans="1:16" x14ac:dyDescent="0.2">
      <c r="A20" s="524"/>
      <c r="B20" s="53" t="s">
        <v>716</v>
      </c>
      <c r="C20" s="106">
        <v>99323</v>
      </c>
      <c r="D20" s="107" t="s">
        <v>707</v>
      </c>
      <c r="E20" s="308" t="s">
        <v>717</v>
      </c>
      <c r="F20" s="308" t="s">
        <v>77</v>
      </c>
      <c r="G20" s="107">
        <v>1</v>
      </c>
      <c r="H20" s="3"/>
      <c r="I20" s="3"/>
      <c r="J20" s="17"/>
      <c r="K20" s="309">
        <v>58.27</v>
      </c>
      <c r="L20" s="91">
        <f t="shared" si="0"/>
        <v>0</v>
      </c>
      <c r="M20" s="312">
        <f>K20/2</f>
        <v>29.135000000000002</v>
      </c>
      <c r="N20" s="313">
        <f>M20/50</f>
        <v>0.5827</v>
      </c>
    </row>
    <row r="21" spans="1:16" x14ac:dyDescent="0.2">
      <c r="A21" s="524"/>
      <c r="B21" s="315" t="s">
        <v>718</v>
      </c>
      <c r="C21" s="106">
        <v>5707</v>
      </c>
      <c r="D21" s="106" t="s">
        <v>719</v>
      </c>
      <c r="E21" s="106" t="s">
        <v>720</v>
      </c>
      <c r="F21" s="106" t="s">
        <v>77</v>
      </c>
      <c r="G21" s="106">
        <v>6</v>
      </c>
      <c r="H21" s="3"/>
      <c r="I21" s="3"/>
      <c r="J21" s="17"/>
      <c r="K21" s="309">
        <v>27.06</v>
      </c>
      <c r="L21" s="91">
        <f t="shared" si="0"/>
        <v>0</v>
      </c>
      <c r="M21" s="310"/>
      <c r="N21" s="87"/>
    </row>
    <row r="22" spans="1:16" x14ac:dyDescent="0.2">
      <c r="A22" s="524"/>
      <c r="B22" s="53" t="s">
        <v>721</v>
      </c>
      <c r="C22" s="106">
        <v>5697</v>
      </c>
      <c r="D22" s="106" t="s">
        <v>719</v>
      </c>
      <c r="E22" s="106" t="s">
        <v>720</v>
      </c>
      <c r="F22" s="106" t="s">
        <v>77</v>
      </c>
      <c r="G22" s="106">
        <v>6</v>
      </c>
      <c r="H22" s="3"/>
      <c r="I22" s="3"/>
      <c r="J22" s="17"/>
      <c r="K22" s="309">
        <v>23.04</v>
      </c>
      <c r="L22" s="91">
        <f t="shared" si="0"/>
        <v>0</v>
      </c>
      <c r="M22" s="310"/>
      <c r="N22" s="87">
        <f>K22/600</f>
        <v>3.8399999999999997E-2</v>
      </c>
    </row>
    <row r="23" spans="1:16" x14ac:dyDescent="0.2">
      <c r="A23" s="524"/>
      <c r="B23" s="474" t="s">
        <v>722</v>
      </c>
      <c r="C23" s="475">
        <v>2847</v>
      </c>
      <c r="D23" s="106" t="s">
        <v>719</v>
      </c>
      <c r="E23" s="475" t="s">
        <v>720</v>
      </c>
      <c r="F23" s="106" t="s">
        <v>77</v>
      </c>
      <c r="G23" s="106">
        <v>6</v>
      </c>
      <c r="H23" s="3"/>
      <c r="I23" s="3"/>
      <c r="J23" s="17"/>
      <c r="K23" s="309">
        <v>23.04</v>
      </c>
      <c r="L23" s="91">
        <f t="shared" si="0"/>
        <v>0</v>
      </c>
      <c r="M23" s="310"/>
      <c r="N23" s="87"/>
    </row>
    <row r="24" spans="1:16" x14ac:dyDescent="0.2">
      <c r="A24" s="524"/>
      <c r="B24" s="474" t="s">
        <v>723</v>
      </c>
      <c r="C24" s="475">
        <v>107623</v>
      </c>
      <c r="D24" s="106" t="s">
        <v>719</v>
      </c>
      <c r="E24" s="475" t="s">
        <v>720</v>
      </c>
      <c r="F24" s="106" t="s">
        <v>77</v>
      </c>
      <c r="G24" s="106">
        <v>6</v>
      </c>
      <c r="H24" s="3"/>
      <c r="I24" s="3"/>
      <c r="J24" s="17"/>
      <c r="K24" s="309">
        <v>27.06</v>
      </c>
      <c r="L24" s="91">
        <f t="shared" si="0"/>
        <v>0</v>
      </c>
      <c r="M24" s="310"/>
      <c r="N24" s="87"/>
    </row>
    <row r="25" spans="1:16" x14ac:dyDescent="0.2">
      <c r="A25" s="524"/>
      <c r="B25" s="474" t="s">
        <v>724</v>
      </c>
      <c r="C25" s="475">
        <v>18709</v>
      </c>
      <c r="D25" s="106" t="s">
        <v>719</v>
      </c>
      <c r="E25" s="475" t="s">
        <v>720</v>
      </c>
      <c r="F25" s="106" t="s">
        <v>77</v>
      </c>
      <c r="G25" s="106">
        <v>6</v>
      </c>
      <c r="H25" s="3"/>
      <c r="I25" s="3"/>
      <c r="J25" s="17"/>
      <c r="K25" s="309">
        <v>27.06</v>
      </c>
      <c r="L25" s="91">
        <f t="shared" si="0"/>
        <v>0</v>
      </c>
      <c r="M25" s="310"/>
      <c r="N25" s="87"/>
    </row>
    <row r="26" spans="1:16" x14ac:dyDescent="0.2">
      <c r="A26" s="524"/>
      <c r="B26" s="474" t="s">
        <v>725</v>
      </c>
      <c r="C26" s="475">
        <v>5703</v>
      </c>
      <c r="D26" s="106" t="s">
        <v>719</v>
      </c>
      <c r="E26" s="475" t="s">
        <v>720</v>
      </c>
      <c r="F26" s="106" t="s">
        <v>77</v>
      </c>
      <c r="G26" s="106">
        <v>6</v>
      </c>
      <c r="H26" s="3"/>
      <c r="I26" s="3"/>
      <c r="J26" s="17"/>
      <c r="K26" s="309">
        <v>27.06</v>
      </c>
      <c r="L26" s="91">
        <f t="shared" si="0"/>
        <v>0</v>
      </c>
      <c r="M26" s="310"/>
      <c r="N26" s="87"/>
    </row>
    <row r="27" spans="1:16" x14ac:dyDescent="0.2">
      <c r="A27" s="524"/>
      <c r="B27" s="474" t="s">
        <v>726</v>
      </c>
      <c r="C27" s="475">
        <v>1779</v>
      </c>
      <c r="D27" s="106" t="s">
        <v>719</v>
      </c>
      <c r="E27" s="475" t="s">
        <v>720</v>
      </c>
      <c r="F27" s="106" t="s">
        <v>77</v>
      </c>
      <c r="G27" s="106">
        <v>6</v>
      </c>
      <c r="H27" s="3"/>
      <c r="I27" s="3"/>
      <c r="J27" s="17"/>
      <c r="K27" s="309">
        <v>27.06</v>
      </c>
      <c r="L27" s="91">
        <f t="shared" si="0"/>
        <v>0</v>
      </c>
      <c r="M27" s="310"/>
      <c r="N27" s="87"/>
    </row>
    <row r="28" spans="1:16" x14ac:dyDescent="0.2">
      <c r="A28" s="524"/>
      <c r="B28" s="53" t="s">
        <v>727</v>
      </c>
      <c r="C28" s="106">
        <v>191400</v>
      </c>
      <c r="D28" s="106" t="s">
        <v>719</v>
      </c>
      <c r="E28" s="106" t="s">
        <v>728</v>
      </c>
      <c r="F28" s="106" t="s">
        <v>77</v>
      </c>
      <c r="G28" s="106">
        <v>1</v>
      </c>
      <c r="H28" s="3"/>
      <c r="I28" s="3"/>
      <c r="J28" s="17"/>
      <c r="K28" s="309">
        <v>64.63</v>
      </c>
      <c r="L28" s="91">
        <f t="shared" si="0"/>
        <v>0</v>
      </c>
      <c r="M28" s="310"/>
      <c r="N28" s="87">
        <f>K28/600</f>
        <v>0.10771666666666666</v>
      </c>
      <c r="P28" s="311"/>
    </row>
    <row r="29" spans="1:16" ht="17" thickBot="1" x14ac:dyDescent="0.25"/>
    <row r="30" spans="1:16" ht="35" thickBot="1" x14ac:dyDescent="0.25">
      <c r="A30" s="524"/>
      <c r="B30" s="316" t="s">
        <v>729</v>
      </c>
      <c r="C30" s="304" t="s">
        <v>65</v>
      </c>
      <c r="D30" s="305" t="s">
        <v>696</v>
      </c>
      <c r="E30" s="305" t="s">
        <v>697</v>
      </c>
      <c r="F30" s="305" t="s">
        <v>348</v>
      </c>
      <c r="G30" s="305" t="s">
        <v>349</v>
      </c>
      <c r="H30" s="278" t="s">
        <v>67</v>
      </c>
      <c r="I30" s="278" t="s">
        <v>68</v>
      </c>
      <c r="J30" s="278" t="s">
        <v>69</v>
      </c>
      <c r="K30" s="279" t="s">
        <v>70</v>
      </c>
      <c r="L30" s="280" t="s">
        <v>25</v>
      </c>
      <c r="M30" s="310"/>
      <c r="N30" s="87"/>
    </row>
    <row r="31" spans="1:16" s="485" customFormat="1" x14ac:dyDescent="0.2">
      <c r="A31" s="524"/>
      <c r="B31" s="498" t="s">
        <v>730</v>
      </c>
      <c r="C31" s="499">
        <v>35513</v>
      </c>
      <c r="D31" s="478" t="s">
        <v>731</v>
      </c>
      <c r="E31" s="478" t="s">
        <v>732</v>
      </c>
      <c r="F31" s="478" t="s">
        <v>77</v>
      </c>
      <c r="G31" s="478">
        <v>6</v>
      </c>
      <c r="H31" s="500"/>
      <c r="I31" s="480"/>
      <c r="J31" s="17"/>
      <c r="K31" s="481">
        <v>20.7</v>
      </c>
      <c r="L31" s="482">
        <f t="shared" ref="L31:L44" si="1">J31*K31</f>
        <v>0</v>
      </c>
      <c r="M31" s="483">
        <f>K31/12</f>
        <v>1.7249999999999999</v>
      </c>
      <c r="N31" s="484">
        <f t="shared" ref="N31:N32" si="2">K31/12000*20</f>
        <v>3.4500000000000003E-2</v>
      </c>
    </row>
    <row r="32" spans="1:16" s="485" customFormat="1" x14ac:dyDescent="0.2">
      <c r="A32" s="524"/>
      <c r="B32" s="498" t="s">
        <v>733</v>
      </c>
      <c r="C32" s="499">
        <v>35519</v>
      </c>
      <c r="D32" s="478" t="s">
        <v>731</v>
      </c>
      <c r="E32" s="478" t="s">
        <v>732</v>
      </c>
      <c r="F32" s="478" t="s">
        <v>77</v>
      </c>
      <c r="G32" s="478">
        <v>6</v>
      </c>
      <c r="H32" s="480"/>
      <c r="I32" s="480"/>
      <c r="J32" s="17"/>
      <c r="K32" s="481">
        <v>20.7</v>
      </c>
      <c r="L32" s="482">
        <f t="shared" si="1"/>
        <v>0</v>
      </c>
      <c r="M32" s="483">
        <f t="shared" ref="M32:M39" si="3">K32/12</f>
        <v>1.7249999999999999</v>
      </c>
      <c r="N32" s="484">
        <f t="shared" si="2"/>
        <v>3.4500000000000003E-2</v>
      </c>
    </row>
    <row r="33" spans="1:17" s="485" customFormat="1" x14ac:dyDescent="0.2">
      <c r="A33" s="524"/>
      <c r="B33" s="477" t="s">
        <v>734</v>
      </c>
      <c r="C33" s="114">
        <v>91616</v>
      </c>
      <c r="D33" s="478" t="s">
        <v>731</v>
      </c>
      <c r="E33" s="478" t="s">
        <v>732</v>
      </c>
      <c r="F33" s="478" t="s">
        <v>77</v>
      </c>
      <c r="G33" s="478">
        <v>6</v>
      </c>
      <c r="H33" s="480"/>
      <c r="I33" s="480"/>
      <c r="J33" s="17"/>
      <c r="K33" s="481">
        <v>20.7</v>
      </c>
      <c r="L33" s="482">
        <f t="shared" si="1"/>
        <v>0</v>
      </c>
      <c r="M33" s="493">
        <f>K33/6</f>
        <v>3.4499999999999997</v>
      </c>
      <c r="N33" s="494">
        <f>M33/100</f>
        <v>3.4499999999999996E-2</v>
      </c>
    </row>
    <row r="34" spans="1:17" s="485" customFormat="1" x14ac:dyDescent="0.2">
      <c r="A34" s="524"/>
      <c r="B34" s="477" t="s">
        <v>735</v>
      </c>
      <c r="C34" s="114">
        <v>18822</v>
      </c>
      <c r="D34" s="478" t="s">
        <v>731</v>
      </c>
      <c r="E34" s="478" t="s">
        <v>732</v>
      </c>
      <c r="F34" s="478" t="s">
        <v>77</v>
      </c>
      <c r="G34" s="478">
        <v>6</v>
      </c>
      <c r="H34" s="480"/>
      <c r="I34" s="480"/>
      <c r="J34" s="17"/>
      <c r="K34" s="481">
        <v>20.7</v>
      </c>
      <c r="L34" s="482">
        <f t="shared" si="1"/>
        <v>0</v>
      </c>
      <c r="M34" s="493">
        <f>K34/6</f>
        <v>3.4499999999999997</v>
      </c>
      <c r="N34" s="494">
        <f>M34/100</f>
        <v>3.4499999999999996E-2</v>
      </c>
    </row>
    <row r="35" spans="1:17" s="485" customFormat="1" x14ac:dyDescent="0.2">
      <c r="A35" s="524"/>
      <c r="B35" s="477" t="s">
        <v>736</v>
      </c>
      <c r="C35" s="114">
        <v>18825</v>
      </c>
      <c r="D35" s="478" t="s">
        <v>731</v>
      </c>
      <c r="E35" s="478" t="s">
        <v>732</v>
      </c>
      <c r="F35" s="478" t="s">
        <v>77</v>
      </c>
      <c r="G35" s="478">
        <v>6</v>
      </c>
      <c r="H35" s="480"/>
      <c r="I35" s="480"/>
      <c r="J35" s="17"/>
      <c r="K35" s="481">
        <v>20.7</v>
      </c>
      <c r="L35" s="482">
        <f t="shared" si="1"/>
        <v>0</v>
      </c>
      <c r="M35" s="493">
        <f>K35/6</f>
        <v>3.4499999999999997</v>
      </c>
      <c r="N35" s="494">
        <f>M35/100</f>
        <v>3.4499999999999996E-2</v>
      </c>
    </row>
    <row r="36" spans="1:17" s="485" customFormat="1" x14ac:dyDescent="0.2">
      <c r="A36" s="524"/>
      <c r="B36" s="477" t="s">
        <v>737</v>
      </c>
      <c r="C36" s="114">
        <v>157889</v>
      </c>
      <c r="D36" s="478" t="s">
        <v>731</v>
      </c>
      <c r="E36" s="478" t="s">
        <v>732</v>
      </c>
      <c r="F36" s="478" t="s">
        <v>77</v>
      </c>
      <c r="G36" s="478">
        <v>6</v>
      </c>
      <c r="H36" s="480"/>
      <c r="I36" s="3"/>
      <c r="J36" s="17"/>
      <c r="K36" s="481">
        <v>31.92</v>
      </c>
      <c r="L36" s="482">
        <f t="shared" si="1"/>
        <v>0</v>
      </c>
      <c r="M36" s="493">
        <f>K36/6</f>
        <v>5.32</v>
      </c>
      <c r="N36" s="494">
        <f>M36/100</f>
        <v>5.3200000000000004E-2</v>
      </c>
    </row>
    <row r="37" spans="1:17" s="485" customFormat="1" x14ac:dyDescent="0.2">
      <c r="A37" s="524"/>
      <c r="B37" s="477" t="s">
        <v>738</v>
      </c>
      <c r="C37" s="114">
        <v>157783</v>
      </c>
      <c r="D37" s="478" t="s">
        <v>739</v>
      </c>
      <c r="E37" s="478" t="s">
        <v>732</v>
      </c>
      <c r="F37" s="478" t="s">
        <v>77</v>
      </c>
      <c r="G37" s="478">
        <v>6</v>
      </c>
      <c r="H37" s="480"/>
      <c r="I37" s="3"/>
      <c r="J37" s="17"/>
      <c r="K37" s="481">
        <v>17.34</v>
      </c>
      <c r="L37" s="482">
        <f t="shared" si="1"/>
        <v>0</v>
      </c>
      <c r="M37" s="483">
        <f t="shared" si="3"/>
        <v>1.4450000000000001</v>
      </c>
      <c r="N37" s="484">
        <f>K37/12000*200</f>
        <v>0.28899999999999998</v>
      </c>
    </row>
    <row r="38" spans="1:17" s="485" customFormat="1" x14ac:dyDescent="0.2">
      <c r="A38" s="524"/>
      <c r="B38" s="477" t="s">
        <v>740</v>
      </c>
      <c r="C38" s="114">
        <v>157784</v>
      </c>
      <c r="D38" s="478" t="s">
        <v>739</v>
      </c>
      <c r="E38" s="478" t="s">
        <v>732</v>
      </c>
      <c r="F38" s="478" t="s">
        <v>77</v>
      </c>
      <c r="G38" s="478">
        <v>6</v>
      </c>
      <c r="H38" s="480"/>
      <c r="I38" s="3"/>
      <c r="J38" s="17"/>
      <c r="K38" s="481">
        <v>17.34</v>
      </c>
      <c r="L38" s="482">
        <f t="shared" si="1"/>
        <v>0</v>
      </c>
      <c r="M38" s="483">
        <f t="shared" si="3"/>
        <v>1.4450000000000001</v>
      </c>
      <c r="N38" s="484">
        <f>K38/12000*200</f>
        <v>0.28899999999999998</v>
      </c>
    </row>
    <row r="39" spans="1:17" s="485" customFormat="1" x14ac:dyDescent="0.2">
      <c r="A39" s="524"/>
      <c r="B39" s="477" t="s">
        <v>741</v>
      </c>
      <c r="C39" s="114">
        <v>7641</v>
      </c>
      <c r="D39" s="478" t="s">
        <v>742</v>
      </c>
      <c r="E39" s="478" t="s">
        <v>732</v>
      </c>
      <c r="F39" s="478" t="s">
        <v>77</v>
      </c>
      <c r="G39" s="478">
        <v>6</v>
      </c>
      <c r="H39" s="480"/>
      <c r="I39" s="3"/>
      <c r="J39" s="17"/>
      <c r="K39" s="481">
        <v>27.66</v>
      </c>
      <c r="L39" s="482">
        <f t="shared" si="1"/>
        <v>0</v>
      </c>
      <c r="M39" s="483">
        <f t="shared" si="3"/>
        <v>2.3050000000000002</v>
      </c>
      <c r="N39" s="484">
        <f>K39/12000*200</f>
        <v>0.46100000000000002</v>
      </c>
    </row>
    <row r="40" spans="1:17" s="485" customFormat="1" x14ac:dyDescent="0.2">
      <c r="A40" s="524"/>
      <c r="B40" s="477" t="s">
        <v>743</v>
      </c>
      <c r="C40" s="114">
        <v>211311</v>
      </c>
      <c r="D40" s="478" t="s">
        <v>739</v>
      </c>
      <c r="E40" s="478" t="s">
        <v>732</v>
      </c>
      <c r="F40" s="478" t="s">
        <v>77</v>
      </c>
      <c r="G40" s="478">
        <v>6</v>
      </c>
      <c r="H40" s="480"/>
      <c r="I40" s="3"/>
      <c r="J40" s="17"/>
      <c r="K40" s="481">
        <v>17.34</v>
      </c>
      <c r="L40" s="482">
        <f t="shared" si="1"/>
        <v>0</v>
      </c>
      <c r="M40" s="483"/>
      <c r="N40" s="484"/>
    </row>
    <row r="41" spans="1:17" x14ac:dyDescent="0.2">
      <c r="A41" s="524"/>
      <c r="B41" s="53" t="s">
        <v>744</v>
      </c>
      <c r="C41" s="106">
        <v>104588</v>
      </c>
      <c r="D41" s="107" t="s">
        <v>742</v>
      </c>
      <c r="E41" s="107" t="s">
        <v>732</v>
      </c>
      <c r="F41" s="478" t="s">
        <v>77</v>
      </c>
      <c r="G41" s="478">
        <v>6</v>
      </c>
      <c r="H41" s="3"/>
      <c r="I41" s="3"/>
      <c r="J41" s="17"/>
      <c r="K41" s="309">
        <v>23.4</v>
      </c>
      <c r="L41" s="482">
        <f t="shared" si="1"/>
        <v>0</v>
      </c>
      <c r="M41" s="310"/>
      <c r="N41" s="87"/>
    </row>
    <row r="42" spans="1:17" x14ac:dyDescent="0.2">
      <c r="A42" s="524"/>
      <c r="B42" s="53" t="s">
        <v>745</v>
      </c>
      <c r="C42" s="106">
        <v>14965</v>
      </c>
      <c r="D42" s="107" t="s">
        <v>746</v>
      </c>
      <c r="E42" s="107" t="s">
        <v>747</v>
      </c>
      <c r="F42" s="478" t="s">
        <v>77</v>
      </c>
      <c r="G42" s="478">
        <v>6</v>
      </c>
      <c r="H42" s="3"/>
      <c r="I42" s="3"/>
      <c r="J42" s="17"/>
      <c r="K42" s="309">
        <v>30.12</v>
      </c>
      <c r="L42" s="482">
        <f t="shared" si="1"/>
        <v>0</v>
      </c>
      <c r="M42" s="310">
        <f>K42/12</f>
        <v>2.5100000000000002</v>
      </c>
      <c r="N42" s="87">
        <f>K42/12000*200</f>
        <v>0.502</v>
      </c>
    </row>
    <row r="43" spans="1:17" x14ac:dyDescent="0.2">
      <c r="A43" s="524"/>
      <c r="B43" s="53" t="s">
        <v>748</v>
      </c>
      <c r="C43" s="106">
        <v>24349</v>
      </c>
      <c r="D43" s="107" t="s">
        <v>731</v>
      </c>
      <c r="E43" s="107" t="s">
        <v>747</v>
      </c>
      <c r="F43" s="478" t="s">
        <v>77</v>
      </c>
      <c r="G43" s="478">
        <v>6</v>
      </c>
      <c r="H43" s="3"/>
      <c r="I43" s="3"/>
      <c r="J43" s="17"/>
      <c r="K43" s="309">
        <v>48.48</v>
      </c>
      <c r="L43" s="91">
        <f t="shared" si="1"/>
        <v>0</v>
      </c>
      <c r="M43" s="310">
        <f>K43/12</f>
        <v>4.04</v>
      </c>
      <c r="N43" s="87">
        <f>K43/12000*200</f>
        <v>0.80799999999999983</v>
      </c>
    </row>
    <row r="44" spans="1:17" ht="17" thickBot="1" x14ac:dyDescent="0.25">
      <c r="A44" s="524"/>
      <c r="B44" s="53" t="s">
        <v>749</v>
      </c>
      <c r="C44" s="106">
        <v>159526</v>
      </c>
      <c r="D44" s="107" t="s">
        <v>731</v>
      </c>
      <c r="E44" s="107" t="s">
        <v>747</v>
      </c>
      <c r="F44" s="478" t="s">
        <v>77</v>
      </c>
      <c r="G44" s="478">
        <v>6</v>
      </c>
      <c r="H44" s="3"/>
      <c r="I44" s="3"/>
      <c r="J44" s="17"/>
      <c r="K44" s="309">
        <v>80.28</v>
      </c>
      <c r="L44" s="91">
        <f t="shared" si="1"/>
        <v>0</v>
      </c>
      <c r="M44" s="310">
        <f>K44/1</f>
        <v>80.28</v>
      </c>
      <c r="N44" s="87">
        <f>K44/1000*5</f>
        <v>0.40140000000000003</v>
      </c>
    </row>
    <row r="45" spans="1:17" ht="17" thickBot="1" x14ac:dyDescent="0.25">
      <c r="A45" s="524"/>
      <c r="B45" s="318"/>
      <c r="C45" s="319"/>
      <c r="D45" s="320"/>
      <c r="E45" s="320"/>
      <c r="F45" s="320"/>
      <c r="G45" s="320"/>
      <c r="H45" s="320"/>
      <c r="I45" s="320"/>
      <c r="J45" s="319"/>
      <c r="K45" s="319"/>
      <c r="L45" s="321">
        <f>SUM(L12:L44)</f>
        <v>0</v>
      </c>
      <c r="M45" s="322"/>
      <c r="N45" s="313"/>
    </row>
    <row r="46" spans="1:17" ht="35" thickBot="1" x14ac:dyDescent="0.25">
      <c r="A46" s="524"/>
      <c r="B46" s="303" t="s">
        <v>750</v>
      </c>
      <c r="C46" s="304" t="s">
        <v>65</v>
      </c>
      <c r="D46" s="305" t="s">
        <v>696</v>
      </c>
      <c r="E46" s="305" t="s">
        <v>697</v>
      </c>
      <c r="F46" s="305" t="s">
        <v>348</v>
      </c>
      <c r="G46" s="305" t="s">
        <v>349</v>
      </c>
      <c r="H46" s="278" t="s">
        <v>67</v>
      </c>
      <c r="I46" s="278" t="s">
        <v>68</v>
      </c>
      <c r="J46" s="278" t="s">
        <v>69</v>
      </c>
      <c r="K46" s="279" t="s">
        <v>70</v>
      </c>
      <c r="L46" s="280" t="s">
        <v>25</v>
      </c>
      <c r="M46" s="306" t="s">
        <v>71</v>
      </c>
      <c r="N46" s="307" t="s">
        <v>72</v>
      </c>
    </row>
    <row r="47" spans="1:17" x14ac:dyDescent="0.2">
      <c r="A47" s="524"/>
      <c r="B47" s="52" t="s">
        <v>751</v>
      </c>
      <c r="C47" s="218">
        <v>109522</v>
      </c>
      <c r="D47" s="252" t="s">
        <v>752</v>
      </c>
      <c r="E47" s="252" t="s">
        <v>753</v>
      </c>
      <c r="F47" s="252" t="s">
        <v>77</v>
      </c>
      <c r="G47" s="252">
        <v>3</v>
      </c>
      <c r="H47" s="9"/>
      <c r="I47" s="3"/>
      <c r="J47" s="17"/>
      <c r="K47" s="323">
        <v>25.65</v>
      </c>
      <c r="L47" s="85">
        <f t="shared" ref="L47:L145" si="4">K47*J47</f>
        <v>0</v>
      </c>
      <c r="M47" s="310">
        <f>K47/9</f>
        <v>2.8499999999999996</v>
      </c>
      <c r="N47" s="87">
        <f>M47/1000*75</f>
        <v>0.21374999999999997</v>
      </c>
      <c r="P47" s="39"/>
      <c r="Q47" s="39"/>
    </row>
    <row r="48" spans="1:17" x14ac:dyDescent="0.2">
      <c r="A48" s="524"/>
      <c r="B48" s="53" t="s">
        <v>754</v>
      </c>
      <c r="C48" s="106">
        <v>504</v>
      </c>
      <c r="D48" s="252" t="s">
        <v>755</v>
      </c>
      <c r="E48" s="107" t="s">
        <v>756</v>
      </c>
      <c r="F48" s="107" t="s">
        <v>77</v>
      </c>
      <c r="G48" s="107">
        <v>3</v>
      </c>
      <c r="H48" s="8"/>
      <c r="I48" s="3"/>
      <c r="J48" s="17"/>
      <c r="K48" s="309">
        <v>31.77</v>
      </c>
      <c r="L48" s="91">
        <f t="shared" si="4"/>
        <v>0</v>
      </c>
      <c r="M48" s="310">
        <f>K48/9.3</f>
        <v>3.4161290322580644</v>
      </c>
      <c r="N48" s="87">
        <f>SUM(K48/9300*75)</f>
        <v>0.25620967741935485</v>
      </c>
      <c r="P48" s="39"/>
    </row>
    <row r="49" spans="1:14" ht="17" thickBot="1" x14ac:dyDescent="0.25">
      <c r="A49" s="524"/>
      <c r="B49" s="228"/>
      <c r="C49" s="525"/>
      <c r="D49" s="526"/>
      <c r="E49" s="527"/>
      <c r="F49" s="527"/>
      <c r="G49" s="527"/>
      <c r="H49" s="528"/>
      <c r="I49" s="470"/>
      <c r="J49" s="529"/>
      <c r="K49" s="476"/>
      <c r="L49" s="91"/>
      <c r="M49" s="310"/>
      <c r="N49" s="87"/>
    </row>
    <row r="50" spans="1:14" ht="35" thickBot="1" x14ac:dyDescent="0.25">
      <c r="A50" s="524"/>
      <c r="B50" s="324" t="s">
        <v>757</v>
      </c>
      <c r="C50" s="304" t="s">
        <v>65</v>
      </c>
      <c r="D50" s="305" t="s">
        <v>696</v>
      </c>
      <c r="E50" s="305" t="s">
        <v>697</v>
      </c>
      <c r="F50" s="305" t="s">
        <v>348</v>
      </c>
      <c r="G50" s="305" t="s">
        <v>349</v>
      </c>
      <c r="H50" s="278" t="s">
        <v>67</v>
      </c>
      <c r="I50" s="278" t="s">
        <v>68</v>
      </c>
      <c r="J50" s="278" t="s">
        <v>69</v>
      </c>
      <c r="K50" s="279" t="s">
        <v>70</v>
      </c>
      <c r="L50" s="280" t="s">
        <v>25</v>
      </c>
      <c r="M50" s="310"/>
      <c r="N50" s="87"/>
    </row>
    <row r="51" spans="1:14" x14ac:dyDescent="0.2">
      <c r="A51" s="524"/>
      <c r="B51" s="53" t="s">
        <v>758</v>
      </c>
      <c r="C51" s="106">
        <v>159685</v>
      </c>
      <c r="D51" s="107" t="s">
        <v>448</v>
      </c>
      <c r="E51" s="107" t="s">
        <v>759</v>
      </c>
      <c r="F51" s="107" t="s">
        <v>466</v>
      </c>
      <c r="G51" s="107"/>
      <c r="H51" s="3"/>
      <c r="I51" s="3"/>
      <c r="J51" s="17"/>
      <c r="K51" s="309">
        <v>2.2400000000000002</v>
      </c>
      <c r="L51" s="91">
        <f t="shared" si="4"/>
        <v>0</v>
      </c>
      <c r="M51" s="310">
        <f>K51/2.5</f>
        <v>0.89600000000000013</v>
      </c>
      <c r="N51" s="87">
        <f>K51/2500*0.5</f>
        <v>4.4800000000000005E-4</v>
      </c>
    </row>
    <row r="52" spans="1:14" x14ac:dyDescent="0.2">
      <c r="A52" s="524"/>
      <c r="B52" s="53" t="s">
        <v>760</v>
      </c>
      <c r="C52" s="106">
        <v>132222</v>
      </c>
      <c r="D52" s="107" t="s">
        <v>761</v>
      </c>
      <c r="E52" s="107" t="s">
        <v>762</v>
      </c>
      <c r="F52" s="107" t="s">
        <v>466</v>
      </c>
      <c r="G52" s="107"/>
      <c r="H52" s="3"/>
      <c r="I52" s="3"/>
      <c r="J52" s="17"/>
      <c r="K52" s="309">
        <v>4.21</v>
      </c>
      <c r="L52" s="91">
        <f t="shared" si="4"/>
        <v>0</v>
      </c>
      <c r="M52" s="310">
        <f>K52/0.5</f>
        <v>8.42</v>
      </c>
      <c r="N52" s="87">
        <f>K52/500*0.5</f>
        <v>4.2100000000000002E-3</v>
      </c>
    </row>
    <row r="53" spans="1:14" x14ac:dyDescent="0.2">
      <c r="A53" s="524"/>
      <c r="B53" s="53" t="s">
        <v>763</v>
      </c>
      <c r="C53" s="106">
        <v>213618</v>
      </c>
      <c r="D53" s="107" t="s">
        <v>764</v>
      </c>
      <c r="E53" s="107" t="s">
        <v>703</v>
      </c>
      <c r="F53" s="107" t="s">
        <v>466</v>
      </c>
      <c r="G53" s="107"/>
      <c r="H53" s="3"/>
      <c r="I53" s="3"/>
      <c r="J53" s="17"/>
      <c r="K53" s="309">
        <v>6.43</v>
      </c>
      <c r="L53" s="91">
        <f t="shared" si="4"/>
        <v>0</v>
      </c>
      <c r="M53" s="310">
        <f>K53/10</f>
        <v>0.64300000000000002</v>
      </c>
      <c r="N53" s="87">
        <f>K53/10000*15</f>
        <v>9.6450000000000008E-3</v>
      </c>
    </row>
    <row r="54" spans="1:14" x14ac:dyDescent="0.2">
      <c r="A54" s="524"/>
      <c r="B54" s="53" t="s">
        <v>765</v>
      </c>
      <c r="C54" s="106">
        <v>65001</v>
      </c>
      <c r="D54" s="107" t="s">
        <v>766</v>
      </c>
      <c r="E54" s="107" t="s">
        <v>703</v>
      </c>
      <c r="F54" s="107" t="s">
        <v>466</v>
      </c>
      <c r="G54" s="107"/>
      <c r="H54" s="3"/>
      <c r="I54" s="3"/>
      <c r="J54" s="17"/>
      <c r="K54" s="309">
        <v>9.8800000000000008</v>
      </c>
      <c r="L54" s="91">
        <f t="shared" si="4"/>
        <v>0</v>
      </c>
      <c r="M54" s="310"/>
      <c r="N54" s="87"/>
    </row>
    <row r="55" spans="1:14" x14ac:dyDescent="0.2">
      <c r="A55" s="524"/>
      <c r="B55" s="53" t="s">
        <v>767</v>
      </c>
      <c r="C55" s="106">
        <v>65002</v>
      </c>
      <c r="D55" s="107" t="s">
        <v>766</v>
      </c>
      <c r="E55" s="107" t="s">
        <v>703</v>
      </c>
      <c r="F55" s="107" t="s">
        <v>77</v>
      </c>
      <c r="G55" s="107">
        <v>8</v>
      </c>
      <c r="H55" s="3"/>
      <c r="I55" s="3"/>
      <c r="J55" s="17"/>
      <c r="K55" s="309">
        <v>42.56</v>
      </c>
      <c r="L55" s="91">
        <f t="shared" si="4"/>
        <v>0</v>
      </c>
      <c r="M55" s="310">
        <f t="shared" ref="M55:M57" si="5">K55/10</f>
        <v>4.2560000000000002</v>
      </c>
      <c r="N55" s="87">
        <f>K55/10000*50</f>
        <v>0.21280000000000002</v>
      </c>
    </row>
    <row r="56" spans="1:14" x14ac:dyDescent="0.2">
      <c r="A56" s="524"/>
      <c r="B56" s="53" t="s">
        <v>768</v>
      </c>
      <c r="C56" s="106">
        <v>248</v>
      </c>
      <c r="D56" s="107" t="s">
        <v>769</v>
      </c>
      <c r="E56" s="107" t="s">
        <v>770</v>
      </c>
      <c r="F56" s="107" t="s">
        <v>466</v>
      </c>
      <c r="G56" s="107"/>
      <c r="H56" s="3"/>
      <c r="I56" s="3"/>
      <c r="J56" s="17"/>
      <c r="K56" s="309">
        <v>15.92</v>
      </c>
      <c r="L56" s="91">
        <f t="shared" si="4"/>
        <v>0</v>
      </c>
      <c r="M56" s="310">
        <f>K56/1</f>
        <v>15.92</v>
      </c>
      <c r="N56" s="87">
        <f>K56/6000*1</f>
        <v>2.6533333333333335E-3</v>
      </c>
    </row>
    <row r="57" spans="1:14" x14ac:dyDescent="0.2">
      <c r="A57" s="524"/>
      <c r="B57" s="53" t="s">
        <v>771</v>
      </c>
      <c r="C57" s="106">
        <v>65006</v>
      </c>
      <c r="D57" s="107" t="s">
        <v>766</v>
      </c>
      <c r="E57" s="107" t="s">
        <v>703</v>
      </c>
      <c r="F57" s="107" t="s">
        <v>466</v>
      </c>
      <c r="G57" s="107"/>
      <c r="H57" s="3"/>
      <c r="I57" s="3"/>
      <c r="J57" s="17"/>
      <c r="K57" s="309">
        <v>3.73</v>
      </c>
      <c r="L57" s="91">
        <f t="shared" si="4"/>
        <v>0</v>
      </c>
      <c r="M57" s="310">
        <f t="shared" si="5"/>
        <v>0.373</v>
      </c>
      <c r="N57" s="87">
        <f>K57/10000*50</f>
        <v>1.865E-2</v>
      </c>
    </row>
    <row r="58" spans="1:14" x14ac:dyDescent="0.2">
      <c r="A58" s="524"/>
      <c r="B58" s="53" t="s">
        <v>772</v>
      </c>
      <c r="C58" s="106">
        <v>65008</v>
      </c>
      <c r="D58" s="107" t="s">
        <v>766</v>
      </c>
      <c r="E58" s="107" t="s">
        <v>703</v>
      </c>
      <c r="F58" s="107" t="s">
        <v>466</v>
      </c>
      <c r="G58" s="107"/>
      <c r="H58" s="3"/>
      <c r="I58" s="3"/>
      <c r="J58" s="17"/>
      <c r="K58" s="309">
        <v>3.95</v>
      </c>
      <c r="L58" s="91">
        <f t="shared" si="4"/>
        <v>0</v>
      </c>
      <c r="M58" s="310">
        <f>K58/6</f>
        <v>0.65833333333333333</v>
      </c>
      <c r="N58" s="87">
        <f>K58/6000*50</f>
        <v>3.291666666666667E-2</v>
      </c>
    </row>
    <row r="59" spans="1:14" ht="17" thickBot="1" x14ac:dyDescent="0.25">
      <c r="A59" s="524"/>
      <c r="B59" s="53" t="s">
        <v>773</v>
      </c>
      <c r="C59" s="106">
        <v>144285</v>
      </c>
      <c r="D59" s="107"/>
      <c r="E59" s="107" t="s">
        <v>770</v>
      </c>
      <c r="F59" s="107" t="s">
        <v>466</v>
      </c>
      <c r="G59" s="107"/>
      <c r="H59" s="3"/>
      <c r="I59" s="3"/>
      <c r="J59" s="17"/>
      <c r="K59" s="309">
        <v>3.49</v>
      </c>
      <c r="L59" s="91">
        <f t="shared" si="4"/>
        <v>0</v>
      </c>
      <c r="M59" s="310">
        <f>K59/10</f>
        <v>0.34900000000000003</v>
      </c>
      <c r="N59" s="87">
        <f>K59/6000*1</f>
        <v>5.8166666666666675E-4</v>
      </c>
    </row>
    <row r="60" spans="1:14" ht="35" thickBot="1" x14ac:dyDescent="0.25">
      <c r="B60" s="324" t="s">
        <v>774</v>
      </c>
      <c r="C60" s="304" t="s">
        <v>65</v>
      </c>
      <c r="D60" s="305" t="s">
        <v>696</v>
      </c>
      <c r="E60" s="305" t="s">
        <v>697</v>
      </c>
      <c r="F60" s="305" t="s">
        <v>348</v>
      </c>
      <c r="G60" s="305" t="s">
        <v>349</v>
      </c>
      <c r="H60" s="278" t="s">
        <v>67</v>
      </c>
      <c r="I60" s="278" t="s">
        <v>68</v>
      </c>
      <c r="J60" s="278" t="s">
        <v>69</v>
      </c>
      <c r="K60" s="279" t="s">
        <v>70</v>
      </c>
      <c r="L60" s="280" t="s">
        <v>25</v>
      </c>
      <c r="M60" s="310"/>
      <c r="N60" s="87"/>
    </row>
    <row r="61" spans="1:14" ht="17" x14ac:dyDescent="0.2">
      <c r="A61" s="524"/>
      <c r="B61" s="487" t="s">
        <v>775</v>
      </c>
      <c r="C61" s="488">
        <v>198337</v>
      </c>
      <c r="D61" s="488" t="s">
        <v>776</v>
      </c>
      <c r="E61" s="488" t="s">
        <v>777</v>
      </c>
      <c r="F61" s="327" t="s">
        <v>77</v>
      </c>
      <c r="G61" s="327">
        <v>1</v>
      </c>
      <c r="H61" s="489"/>
      <c r="I61" s="489"/>
      <c r="J61" s="501"/>
      <c r="K61" s="491">
        <v>43.07</v>
      </c>
      <c r="L61" s="91">
        <f t="shared" si="4"/>
        <v>0</v>
      </c>
      <c r="M61" s="310"/>
      <c r="N61" s="87"/>
    </row>
    <row r="62" spans="1:14" ht="17" x14ac:dyDescent="0.2">
      <c r="A62" s="524"/>
      <c r="B62" s="487" t="s">
        <v>778</v>
      </c>
      <c r="C62" s="488">
        <v>7949</v>
      </c>
      <c r="D62" s="488" t="s">
        <v>776</v>
      </c>
      <c r="E62" s="488" t="s">
        <v>779</v>
      </c>
      <c r="F62" s="327" t="s">
        <v>77</v>
      </c>
      <c r="G62" s="327">
        <v>1</v>
      </c>
      <c r="H62" s="489"/>
      <c r="I62" s="489"/>
      <c r="J62" s="501"/>
      <c r="K62" s="491">
        <v>25.9</v>
      </c>
      <c r="L62" s="91">
        <f t="shared" si="4"/>
        <v>0</v>
      </c>
      <c r="M62" s="310"/>
      <c r="N62" s="87"/>
    </row>
    <row r="63" spans="1:14" x14ac:dyDescent="0.2">
      <c r="A63" s="524"/>
      <c r="B63" s="348" t="s">
        <v>780</v>
      </c>
      <c r="C63" s="223">
        <v>88973</v>
      </c>
      <c r="D63" s="327" t="s">
        <v>776</v>
      </c>
      <c r="E63" s="327" t="s">
        <v>781</v>
      </c>
      <c r="F63" s="327" t="s">
        <v>77</v>
      </c>
      <c r="G63" s="327">
        <v>1</v>
      </c>
      <c r="H63" s="492"/>
      <c r="I63" s="490"/>
      <c r="J63" s="501"/>
      <c r="K63" s="491">
        <v>35.31</v>
      </c>
      <c r="L63" s="91">
        <f t="shared" si="4"/>
        <v>0</v>
      </c>
      <c r="M63" s="310">
        <f>K63/4</f>
        <v>8.8275000000000006</v>
      </c>
      <c r="N63" s="87">
        <f>K63/4000*30</f>
        <v>0.26482500000000003</v>
      </c>
    </row>
    <row r="64" spans="1:14" x14ac:dyDescent="0.2">
      <c r="A64" s="524"/>
      <c r="B64" s="348" t="s">
        <v>782</v>
      </c>
      <c r="C64" s="223">
        <v>141230</v>
      </c>
      <c r="D64" s="327" t="s">
        <v>783</v>
      </c>
      <c r="E64" s="327" t="s">
        <v>717</v>
      </c>
      <c r="F64" s="327" t="s">
        <v>77</v>
      </c>
      <c r="G64" s="327">
        <v>1</v>
      </c>
      <c r="H64" s="492"/>
      <c r="I64" s="490"/>
      <c r="J64" s="501"/>
      <c r="K64" s="491">
        <v>18.63</v>
      </c>
      <c r="L64" s="91">
        <f t="shared" si="4"/>
        <v>0</v>
      </c>
      <c r="M64" s="310"/>
      <c r="N64" s="87"/>
    </row>
    <row r="65" spans="1:14" x14ac:dyDescent="0.2">
      <c r="A65" s="524"/>
      <c r="B65" s="348" t="s">
        <v>784</v>
      </c>
      <c r="C65" s="223">
        <v>141229</v>
      </c>
      <c r="D65" s="327" t="s">
        <v>783</v>
      </c>
      <c r="E65" s="327" t="s">
        <v>717</v>
      </c>
      <c r="F65" s="327" t="s">
        <v>77</v>
      </c>
      <c r="G65" s="327">
        <v>1</v>
      </c>
      <c r="H65" s="492"/>
      <c r="I65" s="490"/>
      <c r="J65" s="501"/>
      <c r="K65" s="491">
        <v>18.63</v>
      </c>
      <c r="L65" s="91">
        <f t="shared" si="4"/>
        <v>0</v>
      </c>
      <c r="M65" s="310"/>
      <c r="N65" s="87"/>
    </row>
    <row r="66" spans="1:14" x14ac:dyDescent="0.2">
      <c r="A66" s="524"/>
      <c r="B66" s="348" t="s">
        <v>785</v>
      </c>
      <c r="C66" s="223">
        <v>107645</v>
      </c>
      <c r="D66" s="327" t="s">
        <v>786</v>
      </c>
      <c r="E66" s="327" t="s">
        <v>787</v>
      </c>
      <c r="F66" s="327" t="s">
        <v>77</v>
      </c>
      <c r="G66" s="327">
        <v>1</v>
      </c>
      <c r="H66" s="492"/>
      <c r="I66" s="490"/>
      <c r="J66" s="501"/>
      <c r="K66" s="491">
        <v>20.52</v>
      </c>
      <c r="L66" s="91">
        <f t="shared" si="4"/>
        <v>0</v>
      </c>
      <c r="M66" s="310"/>
      <c r="N66" s="87"/>
    </row>
    <row r="67" spans="1:14" x14ac:dyDescent="0.2">
      <c r="A67" s="524"/>
      <c r="B67" s="348" t="s">
        <v>788</v>
      </c>
      <c r="C67" s="223">
        <v>138594</v>
      </c>
      <c r="D67" s="327" t="s">
        <v>786</v>
      </c>
      <c r="E67" s="327" t="s">
        <v>787</v>
      </c>
      <c r="F67" s="327" t="s">
        <v>77</v>
      </c>
      <c r="G67" s="327">
        <v>1</v>
      </c>
      <c r="H67" s="492"/>
      <c r="I67" s="490"/>
      <c r="J67" s="501"/>
      <c r="K67" s="491">
        <v>23</v>
      </c>
      <c r="L67" s="91">
        <f t="shared" si="4"/>
        <v>0</v>
      </c>
      <c r="M67" s="310"/>
      <c r="N67" s="87"/>
    </row>
    <row r="68" spans="1:14" x14ac:dyDescent="0.2">
      <c r="A68" s="524"/>
      <c r="B68" s="348" t="s">
        <v>789</v>
      </c>
      <c r="C68" s="223">
        <v>174067</v>
      </c>
      <c r="D68" s="327" t="s">
        <v>786</v>
      </c>
      <c r="E68" s="327" t="s">
        <v>717</v>
      </c>
      <c r="F68" s="327" t="s">
        <v>77</v>
      </c>
      <c r="G68" s="327">
        <v>1</v>
      </c>
      <c r="H68" s="492"/>
      <c r="I68" s="490"/>
      <c r="J68" s="501"/>
      <c r="K68" s="491">
        <v>27.54</v>
      </c>
      <c r="L68" s="91">
        <f t="shared" si="4"/>
        <v>0</v>
      </c>
      <c r="M68" s="310"/>
      <c r="N68" s="87"/>
    </row>
    <row r="69" spans="1:14" x14ac:dyDescent="0.2">
      <c r="A69" s="524"/>
      <c r="B69" s="348" t="s">
        <v>790</v>
      </c>
      <c r="C69" s="223">
        <v>26157</v>
      </c>
      <c r="D69" s="327" t="s">
        <v>791</v>
      </c>
      <c r="E69" s="327" t="s">
        <v>792</v>
      </c>
      <c r="F69" s="327" t="s">
        <v>77</v>
      </c>
      <c r="G69" s="327">
        <v>1</v>
      </c>
      <c r="H69" s="492"/>
      <c r="I69" s="490"/>
      <c r="J69" s="501"/>
      <c r="K69" s="491">
        <v>105.15</v>
      </c>
      <c r="L69" s="91">
        <f t="shared" si="4"/>
        <v>0</v>
      </c>
      <c r="M69" s="310"/>
      <c r="N69" s="87"/>
    </row>
    <row r="70" spans="1:14" x14ac:dyDescent="0.2">
      <c r="A70" s="524"/>
      <c r="B70" s="53" t="s">
        <v>793</v>
      </c>
      <c r="C70" s="106">
        <v>1553</v>
      </c>
      <c r="D70" s="107" t="s">
        <v>776</v>
      </c>
      <c r="E70" s="107" t="s">
        <v>794</v>
      </c>
      <c r="F70" s="327" t="s">
        <v>77</v>
      </c>
      <c r="G70" s="327">
        <v>20</v>
      </c>
      <c r="H70" s="8"/>
      <c r="I70" s="3"/>
      <c r="J70" s="17"/>
      <c r="K70" s="309">
        <v>64.8</v>
      </c>
      <c r="L70" s="91">
        <f t="shared" si="4"/>
        <v>0</v>
      </c>
      <c r="M70" s="310">
        <f>K70/2.4</f>
        <v>27</v>
      </c>
      <c r="N70" s="87">
        <f>K70/2400*5</f>
        <v>0.13500000000000001</v>
      </c>
    </row>
    <row r="71" spans="1:14" x14ac:dyDescent="0.2">
      <c r="A71" s="524"/>
      <c r="B71" s="53" t="s">
        <v>795</v>
      </c>
      <c r="C71" s="106">
        <v>7933</v>
      </c>
      <c r="D71" s="107" t="s">
        <v>776</v>
      </c>
      <c r="E71" s="107" t="s">
        <v>796</v>
      </c>
      <c r="F71" s="327" t="s">
        <v>77</v>
      </c>
      <c r="G71" s="327">
        <v>1</v>
      </c>
      <c r="H71" s="8"/>
      <c r="I71" s="3"/>
      <c r="J71" s="17"/>
      <c r="K71" s="309">
        <v>23.49</v>
      </c>
      <c r="L71" s="91">
        <f t="shared" si="4"/>
        <v>0</v>
      </c>
      <c r="M71" s="310">
        <f>K71/2.4</f>
        <v>9.7874999999999996</v>
      </c>
      <c r="N71" s="87">
        <f>K71/2400*5</f>
        <v>4.8937499999999995E-2</v>
      </c>
    </row>
    <row r="72" spans="1:14" x14ac:dyDescent="0.2">
      <c r="A72" s="524"/>
      <c r="B72" s="53" t="s">
        <v>797</v>
      </c>
      <c r="C72" s="106">
        <v>128558</v>
      </c>
      <c r="D72" s="107" t="s">
        <v>776</v>
      </c>
      <c r="E72" s="107" t="s">
        <v>798</v>
      </c>
      <c r="F72" s="327" t="s">
        <v>77</v>
      </c>
      <c r="G72" s="327">
        <v>18</v>
      </c>
      <c r="H72" s="8"/>
      <c r="I72" s="3"/>
      <c r="J72" s="17"/>
      <c r="K72" s="309">
        <v>52.74</v>
      </c>
      <c r="L72" s="91">
        <f t="shared" si="4"/>
        <v>0</v>
      </c>
      <c r="M72" s="310">
        <f>K72/4.5</f>
        <v>11.72</v>
      </c>
      <c r="N72" s="87">
        <f>K72/4500*5</f>
        <v>5.8600000000000006E-2</v>
      </c>
    </row>
    <row r="73" spans="1:14" x14ac:dyDescent="0.2">
      <c r="A73" s="524"/>
      <c r="B73" s="53" t="s">
        <v>799</v>
      </c>
      <c r="C73" s="106">
        <v>85</v>
      </c>
      <c r="D73" s="107" t="s">
        <v>776</v>
      </c>
      <c r="E73" s="107" t="s">
        <v>800</v>
      </c>
      <c r="F73" s="327" t="s">
        <v>77</v>
      </c>
      <c r="G73" s="327">
        <v>20</v>
      </c>
      <c r="H73" s="8"/>
      <c r="I73" s="3"/>
      <c r="J73" s="17"/>
      <c r="K73" s="309">
        <v>59.4</v>
      </c>
      <c r="L73" s="91">
        <f t="shared" si="4"/>
        <v>0</v>
      </c>
      <c r="M73" s="310">
        <f>K73/5</f>
        <v>11.879999999999999</v>
      </c>
      <c r="N73" s="87">
        <f>K73/5000*5</f>
        <v>5.9400000000000001E-2</v>
      </c>
    </row>
    <row r="74" spans="1:14" x14ac:dyDescent="0.2">
      <c r="A74" s="524"/>
      <c r="B74" s="53" t="s">
        <v>801</v>
      </c>
      <c r="C74" s="106">
        <v>72018</v>
      </c>
      <c r="D74" s="107" t="s">
        <v>776</v>
      </c>
      <c r="E74" s="107" t="s">
        <v>802</v>
      </c>
      <c r="F74" s="327" t="s">
        <v>77</v>
      </c>
      <c r="G74" s="327">
        <v>12</v>
      </c>
      <c r="H74" s="8"/>
      <c r="I74" s="3"/>
      <c r="J74" s="17"/>
      <c r="K74" s="309">
        <v>48.72</v>
      </c>
      <c r="L74" s="91">
        <f t="shared" si="4"/>
        <v>0</v>
      </c>
      <c r="M74" s="310"/>
      <c r="N74" s="87"/>
    </row>
    <row r="75" spans="1:14" x14ac:dyDescent="0.2">
      <c r="A75" s="524"/>
      <c r="B75" s="53" t="s">
        <v>803</v>
      </c>
      <c r="C75" s="106">
        <v>128080</v>
      </c>
      <c r="D75" s="107" t="s">
        <v>776</v>
      </c>
      <c r="E75" s="107" t="s">
        <v>802</v>
      </c>
      <c r="F75" s="327" t="s">
        <v>77</v>
      </c>
      <c r="G75" s="327">
        <v>12</v>
      </c>
      <c r="H75" s="8"/>
      <c r="I75" s="3"/>
      <c r="J75" s="17"/>
      <c r="K75" s="309">
        <v>38.880000000000003</v>
      </c>
      <c r="L75" s="91">
        <f t="shared" si="4"/>
        <v>0</v>
      </c>
      <c r="M75" s="310"/>
      <c r="N75" s="87"/>
    </row>
    <row r="76" spans="1:14" x14ac:dyDescent="0.2">
      <c r="A76" s="524"/>
      <c r="B76" s="53" t="s">
        <v>804</v>
      </c>
      <c r="C76" s="106">
        <v>59301</v>
      </c>
      <c r="D76" s="107" t="s">
        <v>776</v>
      </c>
      <c r="E76" s="107" t="s">
        <v>805</v>
      </c>
      <c r="F76" s="327" t="s">
        <v>77</v>
      </c>
      <c r="G76" s="327">
        <v>10</v>
      </c>
      <c r="H76" s="8"/>
      <c r="I76" s="3"/>
      <c r="J76" s="17"/>
      <c r="K76" s="309">
        <v>30.2</v>
      </c>
      <c r="L76" s="91">
        <f t="shared" si="4"/>
        <v>0</v>
      </c>
      <c r="M76" s="310"/>
      <c r="N76" s="87"/>
    </row>
    <row r="77" spans="1:14" x14ac:dyDescent="0.2">
      <c r="A77" s="524"/>
      <c r="B77" s="53" t="s">
        <v>806</v>
      </c>
      <c r="C77" s="106">
        <v>30244</v>
      </c>
      <c r="D77" s="107" t="s">
        <v>807</v>
      </c>
      <c r="E77" s="107" t="s">
        <v>808</v>
      </c>
      <c r="F77" s="327" t="s">
        <v>77</v>
      </c>
      <c r="G77" s="327">
        <v>12</v>
      </c>
      <c r="H77" s="8"/>
      <c r="I77" s="3"/>
      <c r="J77" s="17"/>
      <c r="K77" s="309">
        <v>15.84</v>
      </c>
      <c r="L77" s="91">
        <f t="shared" si="4"/>
        <v>0</v>
      </c>
      <c r="M77" s="310"/>
      <c r="N77" s="87"/>
    </row>
    <row r="78" spans="1:14" x14ac:dyDescent="0.2">
      <c r="A78" s="524"/>
      <c r="B78" s="53" t="s">
        <v>809</v>
      </c>
      <c r="C78" s="106">
        <v>94</v>
      </c>
      <c r="D78" s="107" t="s">
        <v>776</v>
      </c>
      <c r="E78" s="107" t="s">
        <v>810</v>
      </c>
      <c r="F78" s="327" t="s">
        <v>77</v>
      </c>
      <c r="G78" s="327">
        <v>20</v>
      </c>
      <c r="H78" s="8"/>
      <c r="I78" s="3"/>
      <c r="J78" s="17"/>
      <c r="K78" s="309">
        <v>26.2</v>
      </c>
      <c r="L78" s="91">
        <f t="shared" si="4"/>
        <v>0</v>
      </c>
      <c r="M78" s="310">
        <f>K78/2.5</f>
        <v>10.48</v>
      </c>
      <c r="N78" s="87">
        <f>K78/2500*5</f>
        <v>5.2400000000000002E-2</v>
      </c>
    </row>
    <row r="79" spans="1:14" ht="17" thickBot="1" x14ac:dyDescent="0.25">
      <c r="A79" s="524"/>
      <c r="B79" s="53" t="s">
        <v>811</v>
      </c>
      <c r="C79" s="106">
        <v>39980</v>
      </c>
      <c r="D79" s="107" t="s">
        <v>812</v>
      </c>
      <c r="E79" s="107" t="s">
        <v>813</v>
      </c>
      <c r="F79" s="327" t="s">
        <v>77</v>
      </c>
      <c r="G79" s="327">
        <v>1</v>
      </c>
      <c r="H79" s="8"/>
      <c r="I79" s="3"/>
      <c r="J79" s="17"/>
      <c r="K79" s="309">
        <v>39.64</v>
      </c>
      <c r="L79" s="91">
        <f t="shared" si="4"/>
        <v>0</v>
      </c>
      <c r="M79" s="310"/>
      <c r="N79" s="87">
        <f>K79/400</f>
        <v>9.9100000000000008E-2</v>
      </c>
    </row>
    <row r="80" spans="1:14" ht="35" thickBot="1" x14ac:dyDescent="0.25">
      <c r="B80" s="324" t="s">
        <v>814</v>
      </c>
      <c r="C80" s="304" t="s">
        <v>65</v>
      </c>
      <c r="D80" s="305" t="s">
        <v>696</v>
      </c>
      <c r="E80" s="305" t="s">
        <v>697</v>
      </c>
      <c r="F80" s="305" t="s">
        <v>348</v>
      </c>
      <c r="G80" s="305" t="s">
        <v>349</v>
      </c>
      <c r="H80" s="278" t="s">
        <v>67</v>
      </c>
      <c r="I80" s="278" t="s">
        <v>68</v>
      </c>
      <c r="J80" s="278" t="s">
        <v>69</v>
      </c>
      <c r="K80" s="279" t="s">
        <v>70</v>
      </c>
      <c r="L80" s="280" t="s">
        <v>25</v>
      </c>
      <c r="M80" s="310"/>
      <c r="N80" s="87"/>
    </row>
    <row r="81" spans="1:14" x14ac:dyDescent="0.2">
      <c r="A81" s="524"/>
      <c r="B81" s="53" t="s">
        <v>815</v>
      </c>
      <c r="C81" s="106">
        <v>165080</v>
      </c>
      <c r="D81" s="107" t="s">
        <v>351</v>
      </c>
      <c r="E81" s="107" t="s">
        <v>435</v>
      </c>
      <c r="F81" s="107" t="s">
        <v>190</v>
      </c>
      <c r="G81" s="107">
        <v>1</v>
      </c>
      <c r="H81" s="8"/>
      <c r="I81" s="3"/>
      <c r="J81" s="17"/>
      <c r="K81" s="309">
        <v>42.23</v>
      </c>
      <c r="L81" s="91">
        <f t="shared" si="4"/>
        <v>0</v>
      </c>
      <c r="M81" s="312">
        <f>K81/12</f>
        <v>3.5191666666666666</v>
      </c>
      <c r="N81" s="313">
        <f>M81/1000*50</f>
        <v>0.17595833333333333</v>
      </c>
    </row>
    <row r="82" spans="1:14" s="485" customFormat="1" ht="17" thickBot="1" x14ac:dyDescent="0.25">
      <c r="A82" s="524"/>
      <c r="B82" s="477" t="s">
        <v>816</v>
      </c>
      <c r="C82" s="114">
        <v>127383</v>
      </c>
      <c r="D82" s="107" t="s">
        <v>351</v>
      </c>
      <c r="E82" s="478" t="s">
        <v>817</v>
      </c>
      <c r="F82" s="478" t="s">
        <v>190</v>
      </c>
      <c r="G82" s="478">
        <v>1</v>
      </c>
      <c r="H82" s="479"/>
      <c r="I82" s="480"/>
      <c r="J82" s="17"/>
      <c r="K82" s="481">
        <v>29.27</v>
      </c>
      <c r="L82" s="482">
        <f t="shared" si="4"/>
        <v>0</v>
      </c>
      <c r="M82" s="493">
        <f>K82/10</f>
        <v>2.927</v>
      </c>
      <c r="N82" s="494">
        <f>M82/1000*50</f>
        <v>0.14635000000000001</v>
      </c>
    </row>
    <row r="83" spans="1:14" ht="35" thickBot="1" x14ac:dyDescent="0.25">
      <c r="B83" s="324" t="s">
        <v>818</v>
      </c>
      <c r="C83" s="304" t="s">
        <v>65</v>
      </c>
      <c r="D83" s="305" t="s">
        <v>696</v>
      </c>
      <c r="E83" s="305" t="s">
        <v>697</v>
      </c>
      <c r="F83" s="305" t="s">
        <v>348</v>
      </c>
      <c r="G83" s="305" t="s">
        <v>349</v>
      </c>
      <c r="H83" s="278" t="s">
        <v>67</v>
      </c>
      <c r="I83" s="278" t="s">
        <v>68</v>
      </c>
      <c r="J83" s="278" t="s">
        <v>69</v>
      </c>
      <c r="K83" s="279" t="s">
        <v>70</v>
      </c>
      <c r="L83" s="280" t="s">
        <v>25</v>
      </c>
      <c r="M83" s="310"/>
      <c r="N83" s="87"/>
    </row>
    <row r="84" spans="1:14" x14ac:dyDescent="0.2">
      <c r="A84" s="524"/>
      <c r="B84" s="53" t="s">
        <v>819</v>
      </c>
      <c r="C84" s="106">
        <v>1024</v>
      </c>
      <c r="D84" s="107" t="s">
        <v>820</v>
      </c>
      <c r="E84" s="107" t="s">
        <v>821</v>
      </c>
      <c r="F84" s="107" t="s">
        <v>77</v>
      </c>
      <c r="G84" s="107">
        <v>1</v>
      </c>
      <c r="H84" s="8"/>
      <c r="I84" s="3"/>
      <c r="J84" s="17"/>
      <c r="K84" s="309">
        <v>59.54</v>
      </c>
      <c r="L84" s="91">
        <f t="shared" si="4"/>
        <v>0</v>
      </c>
      <c r="M84" s="310">
        <f>K84/6</f>
        <v>9.9233333333333338</v>
      </c>
      <c r="N84" s="87">
        <f>K84/6000*50</f>
        <v>0.49616666666666664</v>
      </c>
    </row>
    <row r="85" spans="1:14" x14ac:dyDescent="0.2">
      <c r="A85" s="524"/>
      <c r="B85" s="53" t="s">
        <v>822</v>
      </c>
      <c r="C85" s="106">
        <v>1369</v>
      </c>
      <c r="D85" s="107" t="s">
        <v>820</v>
      </c>
      <c r="E85" s="107" t="s">
        <v>821</v>
      </c>
      <c r="F85" s="107" t="s">
        <v>77</v>
      </c>
      <c r="G85" s="107">
        <v>1</v>
      </c>
      <c r="H85" s="8"/>
      <c r="I85" s="3"/>
      <c r="J85" s="17"/>
      <c r="K85" s="309">
        <v>79.19</v>
      </c>
      <c r="L85" s="91">
        <f t="shared" si="4"/>
        <v>0</v>
      </c>
      <c r="M85" s="310">
        <f t="shared" ref="M85:M95" si="6">K85/6</f>
        <v>13.198333333333332</v>
      </c>
      <c r="N85" s="87">
        <f>K85/6000*50</f>
        <v>0.6599166666666666</v>
      </c>
    </row>
    <row r="86" spans="1:14" x14ac:dyDescent="0.2">
      <c r="A86" s="524"/>
      <c r="B86" s="53" t="s">
        <v>823</v>
      </c>
      <c r="C86" s="106">
        <v>6833</v>
      </c>
      <c r="D86" s="107" t="s">
        <v>820</v>
      </c>
      <c r="E86" s="107" t="s">
        <v>821</v>
      </c>
      <c r="F86" s="107" t="s">
        <v>77</v>
      </c>
      <c r="G86" s="107">
        <v>1</v>
      </c>
      <c r="H86" s="8"/>
      <c r="I86" s="3"/>
      <c r="J86" s="17"/>
      <c r="K86" s="309">
        <v>58.2</v>
      </c>
      <c r="L86" s="91">
        <f t="shared" si="4"/>
        <v>0</v>
      </c>
      <c r="M86" s="310">
        <f t="shared" si="6"/>
        <v>9.7000000000000011</v>
      </c>
      <c r="N86" s="87">
        <f>K86/6000*50</f>
        <v>0.48499999999999999</v>
      </c>
    </row>
    <row r="87" spans="1:14" x14ac:dyDescent="0.2">
      <c r="A87" s="524"/>
      <c r="B87" s="53" t="s">
        <v>824</v>
      </c>
      <c r="C87" s="106">
        <v>149</v>
      </c>
      <c r="D87" s="107" t="s">
        <v>820</v>
      </c>
      <c r="E87" s="107" t="s">
        <v>821</v>
      </c>
      <c r="F87" s="107" t="s">
        <v>77</v>
      </c>
      <c r="G87" s="107">
        <v>1</v>
      </c>
      <c r="H87" s="8"/>
      <c r="I87" s="3"/>
      <c r="J87" s="17"/>
      <c r="K87" s="309">
        <v>71.91</v>
      </c>
      <c r="L87" s="91">
        <f t="shared" si="4"/>
        <v>0</v>
      </c>
      <c r="M87" s="310">
        <f t="shared" si="6"/>
        <v>11.984999999999999</v>
      </c>
      <c r="N87" s="87">
        <f t="shared" ref="N87:N95" si="7">K87/6000*50</f>
        <v>0.59924999999999995</v>
      </c>
    </row>
    <row r="88" spans="1:14" x14ac:dyDescent="0.2">
      <c r="A88" s="524"/>
      <c r="B88" s="53" t="s">
        <v>825</v>
      </c>
      <c r="C88" s="106">
        <v>201178</v>
      </c>
      <c r="D88" s="107" t="s">
        <v>826</v>
      </c>
      <c r="E88" s="107" t="s">
        <v>827</v>
      </c>
      <c r="F88" s="107" t="s">
        <v>77</v>
      </c>
      <c r="G88" s="107">
        <v>1</v>
      </c>
      <c r="H88" s="8"/>
      <c r="I88" s="3"/>
      <c r="J88" s="17"/>
      <c r="K88" s="309">
        <v>42.78</v>
      </c>
      <c r="L88" s="91">
        <f t="shared" si="4"/>
        <v>0</v>
      </c>
      <c r="M88" s="310">
        <f>K88/12</f>
        <v>3.5649999999999999</v>
      </c>
      <c r="N88" s="87">
        <f>K88/12000*50</f>
        <v>0.17824999999999999</v>
      </c>
    </row>
    <row r="89" spans="1:14" x14ac:dyDescent="0.2">
      <c r="A89" s="524"/>
      <c r="B89" s="53" t="s">
        <v>828</v>
      </c>
      <c r="C89" s="106">
        <v>80519</v>
      </c>
      <c r="D89" s="107" t="s">
        <v>829</v>
      </c>
      <c r="E89" s="107" t="s">
        <v>703</v>
      </c>
      <c r="F89" s="107" t="s">
        <v>77</v>
      </c>
      <c r="G89" s="107">
        <v>1</v>
      </c>
      <c r="H89" s="8"/>
      <c r="I89" s="3"/>
      <c r="J89" s="17"/>
      <c r="K89" s="309">
        <v>64.17</v>
      </c>
      <c r="L89" s="91">
        <f t="shared" si="4"/>
        <v>0</v>
      </c>
      <c r="M89" s="310"/>
      <c r="N89" s="87"/>
    </row>
    <row r="90" spans="1:14" x14ac:dyDescent="0.2">
      <c r="A90" s="524"/>
      <c r="B90" s="53" t="s">
        <v>830</v>
      </c>
      <c r="C90" s="106">
        <v>2857</v>
      </c>
      <c r="D90" s="107" t="s">
        <v>820</v>
      </c>
      <c r="E90" s="107" t="s">
        <v>821</v>
      </c>
      <c r="F90" s="107" t="s">
        <v>77</v>
      </c>
      <c r="G90" s="107">
        <v>1</v>
      </c>
      <c r="H90" s="8"/>
      <c r="I90" s="3"/>
      <c r="J90" s="17"/>
      <c r="K90" s="309">
        <v>90.18</v>
      </c>
      <c r="L90" s="91">
        <f t="shared" si="4"/>
        <v>0</v>
      </c>
      <c r="M90" s="310">
        <f t="shared" si="6"/>
        <v>15.030000000000001</v>
      </c>
      <c r="N90" s="87">
        <f t="shared" si="7"/>
        <v>0.75150000000000006</v>
      </c>
    </row>
    <row r="91" spans="1:14" x14ac:dyDescent="0.2">
      <c r="A91" s="524"/>
      <c r="B91" s="53" t="s">
        <v>831</v>
      </c>
      <c r="C91" s="106">
        <v>135425</v>
      </c>
      <c r="D91" s="107" t="s">
        <v>766</v>
      </c>
      <c r="E91" s="107" t="s">
        <v>832</v>
      </c>
      <c r="F91" s="107" t="s">
        <v>77</v>
      </c>
      <c r="G91" s="107">
        <v>1</v>
      </c>
      <c r="H91" s="8"/>
      <c r="I91" s="3"/>
      <c r="J91" s="17"/>
      <c r="K91" s="309">
        <v>23.44</v>
      </c>
      <c r="L91" s="91">
        <f t="shared" si="4"/>
        <v>0</v>
      </c>
      <c r="M91" s="310">
        <f>K91/10</f>
        <v>2.3440000000000003</v>
      </c>
      <c r="N91" s="87">
        <f>K91/10000*75</f>
        <v>0.17580000000000001</v>
      </c>
    </row>
    <row r="92" spans="1:14" x14ac:dyDescent="0.2">
      <c r="A92" s="524"/>
      <c r="B92" s="53" t="s">
        <v>833</v>
      </c>
      <c r="C92" s="106">
        <v>6017</v>
      </c>
      <c r="D92" s="107" t="s">
        <v>820</v>
      </c>
      <c r="E92" s="107" t="s">
        <v>821</v>
      </c>
      <c r="F92" s="107" t="s">
        <v>77</v>
      </c>
      <c r="G92" s="107">
        <v>1</v>
      </c>
      <c r="H92" s="8"/>
      <c r="I92" s="3"/>
      <c r="J92" s="17"/>
      <c r="K92" s="309">
        <v>69.38</v>
      </c>
      <c r="L92" s="91">
        <f t="shared" si="4"/>
        <v>0</v>
      </c>
      <c r="M92" s="310">
        <f t="shared" si="6"/>
        <v>11.563333333333333</v>
      </c>
      <c r="N92" s="87">
        <f t="shared" si="7"/>
        <v>0.57816666666666661</v>
      </c>
    </row>
    <row r="93" spans="1:14" x14ac:dyDescent="0.2">
      <c r="A93" s="524"/>
      <c r="B93" s="53" t="s">
        <v>834</v>
      </c>
      <c r="C93" s="106">
        <v>2868</v>
      </c>
      <c r="D93" s="107" t="s">
        <v>820</v>
      </c>
      <c r="E93" s="107" t="s">
        <v>821</v>
      </c>
      <c r="F93" s="107" t="s">
        <v>77</v>
      </c>
      <c r="G93" s="107">
        <v>1</v>
      </c>
      <c r="H93" s="8"/>
      <c r="I93" s="3"/>
      <c r="J93" s="17"/>
      <c r="K93" s="309">
        <v>80.47</v>
      </c>
      <c r="L93" s="91">
        <f t="shared" si="4"/>
        <v>0</v>
      </c>
      <c r="M93" s="310">
        <f t="shared" si="6"/>
        <v>13.411666666666667</v>
      </c>
      <c r="N93" s="87">
        <f t="shared" si="7"/>
        <v>0.67058333333333331</v>
      </c>
    </row>
    <row r="94" spans="1:14" x14ac:dyDescent="0.2">
      <c r="A94" s="524"/>
      <c r="B94" s="53" t="s">
        <v>835</v>
      </c>
      <c r="C94" s="106">
        <v>2511</v>
      </c>
      <c r="D94" s="107" t="s">
        <v>820</v>
      </c>
      <c r="E94" s="107" t="s">
        <v>821</v>
      </c>
      <c r="F94" s="107" t="s">
        <v>77</v>
      </c>
      <c r="G94" s="107">
        <v>1</v>
      </c>
      <c r="H94" s="8"/>
      <c r="I94" s="3"/>
      <c r="J94" s="17"/>
      <c r="K94" s="309">
        <v>79.48</v>
      </c>
      <c r="L94" s="91">
        <f t="shared" si="4"/>
        <v>0</v>
      </c>
      <c r="M94" s="310"/>
      <c r="N94" s="87"/>
    </row>
    <row r="95" spans="1:14" x14ac:dyDescent="0.2">
      <c r="A95" s="524"/>
      <c r="B95" s="53" t="s">
        <v>836</v>
      </c>
      <c r="C95" s="106">
        <v>5987</v>
      </c>
      <c r="D95" s="107" t="s">
        <v>820</v>
      </c>
      <c r="E95" s="107" t="s">
        <v>821</v>
      </c>
      <c r="F95" s="107" t="s">
        <v>77</v>
      </c>
      <c r="G95" s="107">
        <v>1</v>
      </c>
      <c r="H95" s="8"/>
      <c r="I95" s="3"/>
      <c r="J95" s="17"/>
      <c r="K95" s="309">
        <v>63.88</v>
      </c>
      <c r="L95" s="91">
        <f t="shared" si="4"/>
        <v>0</v>
      </c>
      <c r="M95" s="310">
        <f t="shared" si="6"/>
        <v>10.646666666666667</v>
      </c>
      <c r="N95" s="87">
        <f t="shared" si="7"/>
        <v>0.53233333333333333</v>
      </c>
    </row>
    <row r="96" spans="1:14" ht="17" thickBot="1" x14ac:dyDescent="0.25">
      <c r="A96" s="524"/>
      <c r="B96" s="53" t="s">
        <v>837</v>
      </c>
      <c r="C96" s="106">
        <v>5082</v>
      </c>
      <c r="D96" s="107" t="s">
        <v>838</v>
      </c>
      <c r="E96" s="107" t="s">
        <v>839</v>
      </c>
      <c r="F96" s="107" t="s">
        <v>77</v>
      </c>
      <c r="G96" s="107">
        <v>1</v>
      </c>
      <c r="H96" s="8"/>
      <c r="I96" s="3"/>
      <c r="J96" s="17"/>
      <c r="K96" s="309">
        <v>37.14</v>
      </c>
      <c r="L96" s="91">
        <f t="shared" si="4"/>
        <v>0</v>
      </c>
      <c r="M96" s="91">
        <f t="shared" ref="M96" si="8">L96*K96</f>
        <v>0</v>
      </c>
      <c r="N96" s="91">
        <f t="shared" ref="N96" si="9">M96*L96</f>
        <v>0</v>
      </c>
    </row>
    <row r="97" spans="1:14" ht="35" thickBot="1" x14ac:dyDescent="0.25">
      <c r="B97" s="324" t="s">
        <v>840</v>
      </c>
      <c r="C97" s="304" t="s">
        <v>65</v>
      </c>
      <c r="D97" s="305" t="s">
        <v>696</v>
      </c>
      <c r="E97" s="305" t="s">
        <v>697</v>
      </c>
      <c r="F97" s="305" t="s">
        <v>348</v>
      </c>
      <c r="G97" s="305" t="s">
        <v>349</v>
      </c>
      <c r="H97" s="278" t="s">
        <v>67</v>
      </c>
      <c r="I97" s="278" t="s">
        <v>68</v>
      </c>
      <c r="J97" s="278" t="s">
        <v>69</v>
      </c>
      <c r="K97" s="279" t="s">
        <v>70</v>
      </c>
      <c r="L97" s="280" t="s">
        <v>25</v>
      </c>
      <c r="M97" s="310"/>
      <c r="N97" s="87"/>
    </row>
    <row r="98" spans="1:14" x14ac:dyDescent="0.2">
      <c r="A98" s="524"/>
      <c r="B98" s="53" t="s">
        <v>841</v>
      </c>
      <c r="C98" s="106">
        <v>134346</v>
      </c>
      <c r="D98" s="107" t="s">
        <v>842</v>
      </c>
      <c r="E98" s="107" t="s">
        <v>843</v>
      </c>
      <c r="F98" s="107" t="s">
        <v>77</v>
      </c>
      <c r="G98" s="107">
        <v>1</v>
      </c>
      <c r="H98" s="8"/>
      <c r="I98" s="3"/>
      <c r="J98" s="17"/>
      <c r="K98" s="309">
        <v>41.04</v>
      </c>
      <c r="L98" s="91">
        <f t="shared" si="4"/>
        <v>0</v>
      </c>
      <c r="M98" s="310">
        <f>K98/12.5</f>
        <v>3.2831999999999999</v>
      </c>
      <c r="N98" s="87">
        <f>K98/12500*50</f>
        <v>0.16416</v>
      </c>
    </row>
    <row r="99" spans="1:14" x14ac:dyDescent="0.2">
      <c r="A99" s="524"/>
      <c r="B99" s="53" t="s">
        <v>844</v>
      </c>
      <c r="C99" s="106">
        <v>2908</v>
      </c>
      <c r="D99" s="107" t="s">
        <v>845</v>
      </c>
      <c r="E99" s="107" t="s">
        <v>832</v>
      </c>
      <c r="F99" s="107" t="s">
        <v>190</v>
      </c>
      <c r="G99" s="107">
        <v>1</v>
      </c>
      <c r="H99" s="8"/>
      <c r="I99" s="3"/>
      <c r="J99" s="17"/>
      <c r="K99" s="309">
        <v>40.64</v>
      </c>
      <c r="L99" s="91">
        <f t="shared" si="4"/>
        <v>0</v>
      </c>
      <c r="M99" s="310">
        <f>K99/10</f>
        <v>4.0640000000000001</v>
      </c>
      <c r="N99" s="87">
        <f>K99/10000*50</f>
        <v>0.20319999999999999</v>
      </c>
    </row>
    <row r="100" spans="1:14" x14ac:dyDescent="0.2">
      <c r="A100" s="524"/>
      <c r="B100" s="53" t="s">
        <v>846</v>
      </c>
      <c r="C100" s="106">
        <v>104942</v>
      </c>
      <c r="D100" s="107" t="s">
        <v>845</v>
      </c>
      <c r="E100" s="107" t="s">
        <v>847</v>
      </c>
      <c r="F100" s="107" t="s">
        <v>190</v>
      </c>
      <c r="G100" s="107">
        <v>1</v>
      </c>
      <c r="H100" s="8"/>
      <c r="I100" s="3"/>
      <c r="J100" s="17"/>
      <c r="K100" s="309">
        <v>91.85</v>
      </c>
      <c r="L100" s="91">
        <f t="shared" si="4"/>
        <v>0</v>
      </c>
      <c r="M100" s="310">
        <f>K100/12</f>
        <v>7.6541666666666659</v>
      </c>
      <c r="N100" s="87">
        <f>K100/12000*50</f>
        <v>0.38270833333333332</v>
      </c>
    </row>
    <row r="101" spans="1:14" x14ac:dyDescent="0.2">
      <c r="A101" s="524"/>
      <c r="B101" s="53" t="s">
        <v>848</v>
      </c>
      <c r="C101" s="106">
        <v>271</v>
      </c>
      <c r="D101" s="107" t="s">
        <v>845</v>
      </c>
      <c r="E101" s="107" t="s">
        <v>832</v>
      </c>
      <c r="F101" s="107" t="s">
        <v>190</v>
      </c>
      <c r="G101" s="107">
        <v>1</v>
      </c>
      <c r="H101" s="8"/>
      <c r="I101" s="3"/>
      <c r="J101" s="17"/>
      <c r="K101" s="309">
        <v>49.39</v>
      </c>
      <c r="L101" s="91">
        <f t="shared" si="4"/>
        <v>0</v>
      </c>
      <c r="M101" s="310"/>
      <c r="N101" s="87"/>
    </row>
    <row r="102" spans="1:14" x14ac:dyDescent="0.2">
      <c r="A102" s="524"/>
      <c r="B102" s="53" t="s">
        <v>849</v>
      </c>
      <c r="C102" s="106">
        <v>2123</v>
      </c>
      <c r="D102" s="107" t="s">
        <v>845</v>
      </c>
      <c r="E102" s="107" t="s">
        <v>832</v>
      </c>
      <c r="F102" s="107" t="s">
        <v>190</v>
      </c>
      <c r="G102" s="107">
        <v>1</v>
      </c>
      <c r="H102" s="8"/>
      <c r="I102" s="3"/>
      <c r="J102" s="17"/>
      <c r="K102" s="309">
        <v>55.95</v>
      </c>
      <c r="L102" s="91">
        <f t="shared" si="4"/>
        <v>0</v>
      </c>
      <c r="M102" s="310"/>
      <c r="N102" s="87"/>
    </row>
    <row r="103" spans="1:14" x14ac:dyDescent="0.2">
      <c r="A103" s="524"/>
      <c r="B103" s="53" t="s">
        <v>850</v>
      </c>
      <c r="C103" s="106">
        <v>2994</v>
      </c>
      <c r="D103" s="107" t="s">
        <v>845</v>
      </c>
      <c r="E103" s="107" t="s">
        <v>832</v>
      </c>
      <c r="F103" s="107" t="s">
        <v>190</v>
      </c>
      <c r="G103" s="107">
        <v>1</v>
      </c>
      <c r="H103" s="8"/>
      <c r="I103" s="3"/>
      <c r="J103" s="17"/>
      <c r="K103" s="309">
        <v>46.73</v>
      </c>
      <c r="L103" s="91">
        <f t="shared" si="4"/>
        <v>0</v>
      </c>
      <c r="M103" s="310"/>
      <c r="N103" s="87"/>
    </row>
    <row r="104" spans="1:14" x14ac:dyDescent="0.2">
      <c r="A104" s="524"/>
      <c r="B104" s="53" t="s">
        <v>851</v>
      </c>
      <c r="C104" s="106">
        <v>213606</v>
      </c>
      <c r="D104" s="107" t="s">
        <v>555</v>
      </c>
      <c r="E104" s="107" t="s">
        <v>847</v>
      </c>
      <c r="F104" s="107" t="s">
        <v>190</v>
      </c>
      <c r="G104" s="107">
        <v>1</v>
      </c>
      <c r="H104" s="8"/>
      <c r="I104" s="3"/>
      <c r="J104" s="17"/>
      <c r="K104" s="309">
        <v>70.86</v>
      </c>
      <c r="L104" s="91">
        <f t="shared" si="4"/>
        <v>0</v>
      </c>
      <c r="M104" s="310"/>
      <c r="N104" s="87"/>
    </row>
    <row r="105" spans="1:14" x14ac:dyDescent="0.2">
      <c r="A105" s="524"/>
      <c r="B105" s="53" t="s">
        <v>852</v>
      </c>
      <c r="C105" s="106">
        <v>19797</v>
      </c>
      <c r="D105" s="107" t="s">
        <v>845</v>
      </c>
      <c r="E105" s="107" t="s">
        <v>832</v>
      </c>
      <c r="F105" s="107" t="s">
        <v>190</v>
      </c>
      <c r="G105" s="107">
        <v>1</v>
      </c>
      <c r="H105" s="8"/>
      <c r="I105" s="3"/>
      <c r="J105" s="17"/>
      <c r="K105" s="309">
        <v>43.17</v>
      </c>
      <c r="L105" s="91">
        <f t="shared" si="4"/>
        <v>0</v>
      </c>
      <c r="M105" s="310">
        <f>K105/12</f>
        <v>3.5975000000000001</v>
      </c>
      <c r="N105" s="87">
        <f>K105/12000*50</f>
        <v>0.17987500000000001</v>
      </c>
    </row>
    <row r="106" spans="1:14" x14ac:dyDescent="0.2">
      <c r="A106" s="524"/>
      <c r="B106" s="53" t="s">
        <v>853</v>
      </c>
      <c r="C106" s="106">
        <v>2174</v>
      </c>
      <c r="D106" s="107" t="s">
        <v>845</v>
      </c>
      <c r="E106" s="107" t="s">
        <v>832</v>
      </c>
      <c r="F106" s="107" t="s">
        <v>190</v>
      </c>
      <c r="G106" s="107">
        <v>1</v>
      </c>
      <c r="H106" s="8"/>
      <c r="I106" s="3"/>
      <c r="J106" s="17"/>
      <c r="K106" s="309">
        <v>39.950000000000003</v>
      </c>
      <c r="L106" s="91">
        <f t="shared" si="4"/>
        <v>0</v>
      </c>
      <c r="M106" s="310">
        <f>K106/10</f>
        <v>3.9950000000000001</v>
      </c>
      <c r="N106" s="87">
        <f>K106/10000*50</f>
        <v>0.19975000000000001</v>
      </c>
    </row>
    <row r="107" spans="1:14" x14ac:dyDescent="0.2">
      <c r="A107" s="524"/>
      <c r="B107" s="53" t="s">
        <v>854</v>
      </c>
      <c r="C107" s="106">
        <v>8295</v>
      </c>
      <c r="D107" s="107" t="s">
        <v>555</v>
      </c>
      <c r="E107" s="107" t="s">
        <v>832</v>
      </c>
      <c r="F107" s="107" t="s">
        <v>190</v>
      </c>
      <c r="G107" s="107">
        <v>1</v>
      </c>
      <c r="H107" s="8"/>
      <c r="I107" s="3"/>
      <c r="J107" s="17"/>
      <c r="K107" s="309">
        <v>158.03</v>
      </c>
      <c r="L107" s="91">
        <f t="shared" si="4"/>
        <v>0</v>
      </c>
      <c r="M107" s="310"/>
      <c r="N107" s="87"/>
    </row>
    <row r="108" spans="1:14" x14ac:dyDescent="0.2">
      <c r="A108" s="524"/>
      <c r="B108" s="53" t="s">
        <v>855</v>
      </c>
      <c r="C108" s="106">
        <v>102286</v>
      </c>
      <c r="D108" s="107" t="s">
        <v>555</v>
      </c>
      <c r="E108" s="107" t="s">
        <v>832</v>
      </c>
      <c r="F108" s="107" t="s">
        <v>190</v>
      </c>
      <c r="G108" s="107">
        <v>1</v>
      </c>
      <c r="H108" s="8"/>
      <c r="I108" s="3"/>
      <c r="J108" s="17"/>
      <c r="K108" s="309">
        <v>103</v>
      </c>
      <c r="L108" s="91">
        <f t="shared" si="4"/>
        <v>0</v>
      </c>
      <c r="M108" s="310"/>
      <c r="N108" s="87"/>
    </row>
    <row r="109" spans="1:14" x14ac:dyDescent="0.2">
      <c r="A109" s="524"/>
      <c r="B109" s="53" t="s">
        <v>856</v>
      </c>
      <c r="C109" s="106">
        <v>123087</v>
      </c>
      <c r="D109" s="107" t="s">
        <v>555</v>
      </c>
      <c r="E109" s="107" t="s">
        <v>832</v>
      </c>
      <c r="F109" s="107" t="s">
        <v>190</v>
      </c>
      <c r="G109" s="107">
        <v>1</v>
      </c>
      <c r="H109" s="8"/>
      <c r="I109" s="3"/>
      <c r="J109" s="17"/>
      <c r="K109" s="309">
        <v>90.21</v>
      </c>
      <c r="L109" s="91">
        <f t="shared" si="4"/>
        <v>0</v>
      </c>
      <c r="M109" s="310"/>
      <c r="N109" s="87"/>
    </row>
    <row r="110" spans="1:14" x14ac:dyDescent="0.2">
      <c r="A110" s="524"/>
      <c r="B110" s="53" t="s">
        <v>857</v>
      </c>
      <c r="C110" s="106">
        <v>134318</v>
      </c>
      <c r="D110" s="107" t="s">
        <v>555</v>
      </c>
      <c r="E110" s="107" t="s">
        <v>847</v>
      </c>
      <c r="F110" s="107" t="s">
        <v>190</v>
      </c>
      <c r="G110" s="107">
        <v>1</v>
      </c>
      <c r="H110" s="8"/>
      <c r="I110" s="3"/>
      <c r="J110" s="17"/>
      <c r="K110" s="309">
        <v>81.87</v>
      </c>
      <c r="L110" s="91">
        <f t="shared" si="4"/>
        <v>0</v>
      </c>
      <c r="M110" s="310"/>
      <c r="N110" s="87"/>
    </row>
    <row r="111" spans="1:14" x14ac:dyDescent="0.2">
      <c r="A111" s="524"/>
      <c r="B111" s="53" t="s">
        <v>858</v>
      </c>
      <c r="C111" s="106">
        <v>104970</v>
      </c>
      <c r="D111" s="107" t="s">
        <v>845</v>
      </c>
      <c r="E111" s="107" t="s">
        <v>832</v>
      </c>
      <c r="F111" s="107" t="s">
        <v>190</v>
      </c>
      <c r="G111" s="107">
        <v>1</v>
      </c>
      <c r="H111" s="8"/>
      <c r="I111" s="3"/>
      <c r="J111" s="17"/>
      <c r="K111" s="309">
        <v>43.17</v>
      </c>
      <c r="L111" s="91">
        <f t="shared" si="4"/>
        <v>0</v>
      </c>
      <c r="M111" s="310">
        <f>K111/10</f>
        <v>4.3170000000000002</v>
      </c>
      <c r="N111" s="87">
        <f>K111/10000*50</f>
        <v>0.21585000000000001</v>
      </c>
    </row>
    <row r="112" spans="1:14" x14ac:dyDescent="0.2">
      <c r="A112" s="524"/>
      <c r="B112" s="282" t="s">
        <v>859</v>
      </c>
      <c r="C112" s="165">
        <v>6824</v>
      </c>
      <c r="D112" s="166" t="s">
        <v>860</v>
      </c>
      <c r="E112" s="166" t="s">
        <v>861</v>
      </c>
      <c r="F112" s="107" t="s">
        <v>77</v>
      </c>
      <c r="G112" s="107">
        <v>1</v>
      </c>
      <c r="H112" s="8"/>
      <c r="I112" s="3"/>
      <c r="J112" s="17"/>
      <c r="K112" s="309">
        <v>50.22</v>
      </c>
      <c r="L112" s="91">
        <f t="shared" si="4"/>
        <v>0</v>
      </c>
      <c r="M112" s="310"/>
      <c r="N112" s="87"/>
    </row>
    <row r="113" spans="1:14" x14ac:dyDescent="0.2">
      <c r="A113" s="524"/>
      <c r="B113" s="282" t="s">
        <v>862</v>
      </c>
      <c r="C113" s="165">
        <v>12428</v>
      </c>
      <c r="D113" s="166" t="s">
        <v>699</v>
      </c>
      <c r="E113" s="166" t="s">
        <v>863</v>
      </c>
      <c r="F113" s="107" t="s">
        <v>77</v>
      </c>
      <c r="G113" s="107">
        <v>1</v>
      </c>
      <c r="H113" s="8"/>
      <c r="I113" s="3"/>
      <c r="J113" s="17"/>
      <c r="K113" s="309">
        <v>38.450000000000003</v>
      </c>
      <c r="L113" s="91">
        <f t="shared" si="4"/>
        <v>0</v>
      </c>
      <c r="M113" s="310"/>
      <c r="N113" s="87"/>
    </row>
    <row r="114" spans="1:14" x14ac:dyDescent="0.2">
      <c r="A114" s="524"/>
      <c r="B114" s="282" t="s">
        <v>864</v>
      </c>
      <c r="C114" s="165">
        <v>21882</v>
      </c>
      <c r="D114" s="166" t="s">
        <v>699</v>
      </c>
      <c r="E114" s="166" t="s">
        <v>863</v>
      </c>
      <c r="F114" s="107" t="s">
        <v>77</v>
      </c>
      <c r="G114" s="107">
        <v>1</v>
      </c>
      <c r="H114" s="8"/>
      <c r="I114" s="3"/>
      <c r="J114" s="17"/>
      <c r="K114" s="309">
        <v>38.380000000000003</v>
      </c>
      <c r="L114" s="91">
        <f t="shared" si="4"/>
        <v>0</v>
      </c>
      <c r="M114" s="310"/>
      <c r="N114" s="87"/>
    </row>
    <row r="115" spans="1:14" x14ac:dyDescent="0.2">
      <c r="A115" s="524"/>
      <c r="B115" s="33" t="s">
        <v>865</v>
      </c>
      <c r="C115" s="165">
        <v>6365</v>
      </c>
      <c r="D115" s="166" t="s">
        <v>860</v>
      </c>
      <c r="E115" s="166" t="s">
        <v>863</v>
      </c>
      <c r="F115" s="107" t="s">
        <v>77</v>
      </c>
      <c r="G115" s="107">
        <v>1</v>
      </c>
      <c r="H115" s="8"/>
      <c r="I115" s="3"/>
      <c r="J115" s="17"/>
      <c r="K115" s="309">
        <v>44.17</v>
      </c>
      <c r="L115" s="91">
        <f t="shared" si="4"/>
        <v>0</v>
      </c>
      <c r="M115" s="310"/>
      <c r="N115" s="87"/>
    </row>
    <row r="116" spans="1:14" ht="17" thickBot="1" x14ac:dyDescent="0.25">
      <c r="A116" s="524"/>
      <c r="B116" s="228" t="s">
        <v>866</v>
      </c>
      <c r="C116" s="106">
        <v>52774</v>
      </c>
      <c r="D116" s="107" t="s">
        <v>555</v>
      </c>
      <c r="E116" s="107" t="s">
        <v>867</v>
      </c>
      <c r="F116" s="107" t="s">
        <v>77</v>
      </c>
      <c r="G116" s="107">
        <v>1</v>
      </c>
      <c r="H116" s="8"/>
      <c r="I116" s="3"/>
      <c r="J116" s="17"/>
      <c r="K116" s="309">
        <v>177.44</v>
      </c>
      <c r="L116" s="91">
        <f t="shared" si="4"/>
        <v>0</v>
      </c>
      <c r="M116" s="310"/>
      <c r="N116" s="87"/>
    </row>
    <row r="117" spans="1:14" ht="35" thickBot="1" x14ac:dyDescent="0.25">
      <c r="B117" s="324" t="s">
        <v>868</v>
      </c>
      <c r="C117" s="304" t="s">
        <v>65</v>
      </c>
      <c r="D117" s="305" t="s">
        <v>696</v>
      </c>
      <c r="E117" s="305" t="s">
        <v>697</v>
      </c>
      <c r="F117" s="305" t="s">
        <v>348</v>
      </c>
      <c r="G117" s="305" t="s">
        <v>349</v>
      </c>
      <c r="H117" s="278" t="s">
        <v>67</v>
      </c>
      <c r="I117" s="278" t="s">
        <v>68</v>
      </c>
      <c r="J117" s="278" t="s">
        <v>69</v>
      </c>
      <c r="K117" s="279" t="s">
        <v>70</v>
      </c>
      <c r="L117" s="280" t="s">
        <v>25</v>
      </c>
      <c r="M117" s="310"/>
      <c r="N117" s="87"/>
    </row>
    <row r="118" spans="1:14" x14ac:dyDescent="0.2">
      <c r="A118" s="524"/>
      <c r="B118" s="53" t="s">
        <v>869</v>
      </c>
      <c r="C118" s="106">
        <v>102759</v>
      </c>
      <c r="D118" s="107" t="s">
        <v>731</v>
      </c>
      <c r="E118" s="107" t="s">
        <v>870</v>
      </c>
      <c r="F118" s="107" t="s">
        <v>190</v>
      </c>
      <c r="G118" s="107">
        <v>1</v>
      </c>
      <c r="H118" s="8"/>
      <c r="I118" s="3"/>
      <c r="J118" s="17"/>
      <c r="K118" s="309">
        <v>22.79</v>
      </c>
      <c r="L118" s="91">
        <f t="shared" ref="L118" si="10">K118*J118</f>
        <v>0</v>
      </c>
      <c r="M118" s="310"/>
      <c r="N118" s="87"/>
    </row>
    <row r="119" spans="1:14" x14ac:dyDescent="0.2">
      <c r="A119" s="524"/>
      <c r="B119" s="53" t="s">
        <v>871</v>
      </c>
      <c r="C119" s="106">
        <v>116089</v>
      </c>
      <c r="D119" s="107" t="s">
        <v>860</v>
      </c>
      <c r="E119" s="107" t="s">
        <v>872</v>
      </c>
      <c r="F119" s="107" t="s">
        <v>873</v>
      </c>
      <c r="G119" s="107">
        <v>1</v>
      </c>
      <c r="H119" s="8"/>
      <c r="I119" s="3"/>
      <c r="J119" s="17"/>
      <c r="K119" s="309">
        <v>34.67</v>
      </c>
      <c r="L119" s="91">
        <f>K119*J119</f>
        <v>0</v>
      </c>
      <c r="M119" s="310">
        <f>K119/5</f>
        <v>6.9340000000000002</v>
      </c>
      <c r="N119" s="87">
        <f>K119/5000*20</f>
        <v>0.13868</v>
      </c>
    </row>
    <row r="120" spans="1:14" x14ac:dyDescent="0.2">
      <c r="A120" s="524"/>
      <c r="B120" s="53" t="s">
        <v>874</v>
      </c>
      <c r="C120" s="106">
        <v>3325</v>
      </c>
      <c r="D120" s="107" t="s">
        <v>875</v>
      </c>
      <c r="E120" s="107" t="s">
        <v>876</v>
      </c>
      <c r="F120" s="107" t="s">
        <v>77</v>
      </c>
      <c r="G120" s="107">
        <v>1</v>
      </c>
      <c r="H120" s="8"/>
      <c r="I120" s="3"/>
      <c r="J120" s="17"/>
      <c r="K120" s="309">
        <v>119.88</v>
      </c>
      <c r="L120" s="91">
        <f t="shared" ref="L120:L128" si="11">K120*J120</f>
        <v>0</v>
      </c>
      <c r="M120" s="310"/>
      <c r="N120" s="87"/>
    </row>
    <row r="121" spans="1:14" x14ac:dyDescent="0.2">
      <c r="A121" s="524"/>
      <c r="B121" s="53" t="s">
        <v>877</v>
      </c>
      <c r="C121" s="106">
        <v>116088</v>
      </c>
      <c r="D121" s="107" t="s">
        <v>860</v>
      </c>
      <c r="E121" s="107" t="s">
        <v>872</v>
      </c>
      <c r="F121" s="107" t="s">
        <v>873</v>
      </c>
      <c r="G121" s="107">
        <v>6</v>
      </c>
      <c r="H121" s="8"/>
      <c r="I121" s="3"/>
      <c r="J121" s="17"/>
      <c r="K121" s="309">
        <v>32.94</v>
      </c>
      <c r="L121" s="91">
        <f t="shared" si="11"/>
        <v>0</v>
      </c>
      <c r="M121" s="310">
        <f>K121/5</f>
        <v>6.5879999999999992</v>
      </c>
      <c r="N121" s="87">
        <f>K121/5000*10</f>
        <v>6.5879999999999994E-2</v>
      </c>
    </row>
    <row r="122" spans="1:14" x14ac:dyDescent="0.2">
      <c r="A122" s="524"/>
      <c r="B122" s="53" t="s">
        <v>878</v>
      </c>
      <c r="C122" s="106">
        <v>84645</v>
      </c>
      <c r="D122" s="107" t="s">
        <v>860</v>
      </c>
      <c r="E122" s="107" t="s">
        <v>879</v>
      </c>
      <c r="F122" s="107" t="s">
        <v>880</v>
      </c>
      <c r="G122" s="107">
        <v>6</v>
      </c>
      <c r="H122" s="8"/>
      <c r="I122" s="3"/>
      <c r="J122" s="17"/>
      <c r="K122" s="309">
        <v>36.29</v>
      </c>
      <c r="L122" s="91">
        <f t="shared" si="11"/>
        <v>0</v>
      </c>
      <c r="M122" s="310"/>
      <c r="N122" s="87"/>
    </row>
    <row r="123" spans="1:14" x14ac:dyDescent="0.2">
      <c r="A123" s="524"/>
      <c r="B123" s="53" t="s">
        <v>881</v>
      </c>
      <c r="C123" s="106">
        <v>84649</v>
      </c>
      <c r="D123" s="107" t="s">
        <v>860</v>
      </c>
      <c r="E123" s="107" t="s">
        <v>879</v>
      </c>
      <c r="F123" s="107" t="s">
        <v>880</v>
      </c>
      <c r="G123" s="107">
        <v>6</v>
      </c>
      <c r="H123" s="8"/>
      <c r="I123" s="3"/>
      <c r="J123" s="17"/>
      <c r="K123" s="309">
        <v>36.29</v>
      </c>
      <c r="L123" s="91">
        <f t="shared" si="11"/>
        <v>0</v>
      </c>
      <c r="M123" s="310"/>
      <c r="N123" s="87"/>
    </row>
    <row r="124" spans="1:14" x14ac:dyDescent="0.2">
      <c r="A124" s="524"/>
      <c r="B124" s="53" t="s">
        <v>882</v>
      </c>
      <c r="C124" s="106">
        <v>84644</v>
      </c>
      <c r="D124" s="107" t="s">
        <v>860</v>
      </c>
      <c r="E124" s="107" t="s">
        <v>879</v>
      </c>
      <c r="F124" s="107" t="s">
        <v>880</v>
      </c>
      <c r="G124" s="107">
        <v>6</v>
      </c>
      <c r="H124" s="8"/>
      <c r="I124" s="3"/>
      <c r="J124" s="17"/>
      <c r="K124" s="309">
        <v>36.29</v>
      </c>
      <c r="L124" s="91">
        <f t="shared" si="11"/>
        <v>0</v>
      </c>
      <c r="M124" s="310"/>
      <c r="N124" s="87"/>
    </row>
    <row r="125" spans="1:14" x14ac:dyDescent="0.2">
      <c r="A125" s="524"/>
      <c r="B125" s="53" t="s">
        <v>883</v>
      </c>
      <c r="C125" s="106">
        <v>84646</v>
      </c>
      <c r="D125" s="107" t="s">
        <v>860</v>
      </c>
      <c r="E125" s="107" t="s">
        <v>884</v>
      </c>
      <c r="F125" s="107" t="s">
        <v>880</v>
      </c>
      <c r="G125" s="107">
        <v>6</v>
      </c>
      <c r="H125" s="8"/>
      <c r="I125" s="3"/>
      <c r="J125" s="17"/>
      <c r="K125" s="309">
        <v>36.29</v>
      </c>
      <c r="L125" s="91">
        <f t="shared" si="11"/>
        <v>0</v>
      </c>
      <c r="M125" s="310"/>
      <c r="N125" s="87"/>
    </row>
    <row r="126" spans="1:14" x14ac:dyDescent="0.2">
      <c r="A126" s="524"/>
      <c r="B126" s="53" t="s">
        <v>885</v>
      </c>
      <c r="C126" s="106">
        <v>84648</v>
      </c>
      <c r="D126" s="107" t="s">
        <v>860</v>
      </c>
      <c r="E126" s="107" t="s">
        <v>879</v>
      </c>
      <c r="F126" s="107" t="s">
        <v>880</v>
      </c>
      <c r="G126" s="107">
        <v>6</v>
      </c>
      <c r="H126" s="8"/>
      <c r="I126" s="3"/>
      <c r="J126" s="17"/>
      <c r="K126" s="309">
        <v>36.29</v>
      </c>
      <c r="L126" s="91">
        <f t="shared" si="11"/>
        <v>0</v>
      </c>
      <c r="M126" s="310"/>
      <c r="N126" s="87"/>
    </row>
    <row r="127" spans="1:14" x14ac:dyDescent="0.2">
      <c r="A127" s="524"/>
      <c r="B127" s="53" t="s">
        <v>886</v>
      </c>
      <c r="C127" s="106">
        <v>84651</v>
      </c>
      <c r="D127" s="107" t="s">
        <v>860</v>
      </c>
      <c r="E127" s="107" t="s">
        <v>879</v>
      </c>
      <c r="F127" s="107" t="s">
        <v>880</v>
      </c>
      <c r="G127" s="107">
        <v>6</v>
      </c>
      <c r="H127" s="8"/>
      <c r="I127" s="3"/>
      <c r="J127" s="17"/>
      <c r="K127" s="309">
        <v>36.29</v>
      </c>
      <c r="L127" s="91">
        <f t="shared" si="11"/>
        <v>0</v>
      </c>
      <c r="M127" s="310"/>
      <c r="N127" s="87"/>
    </row>
    <row r="128" spans="1:14" ht="17" thickBot="1" x14ac:dyDescent="0.25">
      <c r="A128" s="524"/>
      <c r="B128" s="53" t="s">
        <v>887</v>
      </c>
      <c r="C128" s="106">
        <v>84647</v>
      </c>
      <c r="D128" s="107" t="s">
        <v>860</v>
      </c>
      <c r="E128" s="107" t="s">
        <v>879</v>
      </c>
      <c r="F128" s="107" t="s">
        <v>880</v>
      </c>
      <c r="G128" s="107">
        <v>6</v>
      </c>
      <c r="H128" s="8"/>
      <c r="I128" s="3"/>
      <c r="J128" s="17"/>
      <c r="K128" s="309">
        <v>36.29</v>
      </c>
      <c r="L128" s="91">
        <f t="shared" si="11"/>
        <v>0</v>
      </c>
      <c r="M128" s="310"/>
      <c r="N128" s="87"/>
    </row>
    <row r="129" spans="1:14" ht="35" thickBot="1" x14ac:dyDescent="0.25">
      <c r="B129" s="324" t="s">
        <v>888</v>
      </c>
      <c r="C129" s="304" t="s">
        <v>65</v>
      </c>
      <c r="D129" s="305" t="s">
        <v>696</v>
      </c>
      <c r="E129" s="305" t="s">
        <v>697</v>
      </c>
      <c r="F129" s="305" t="s">
        <v>348</v>
      </c>
      <c r="G129" s="305" t="s">
        <v>349</v>
      </c>
      <c r="H129" s="278" t="s">
        <v>67</v>
      </c>
      <c r="I129" s="278" t="s">
        <v>68</v>
      </c>
      <c r="J129" s="278" t="s">
        <v>69</v>
      </c>
      <c r="K129" s="279" t="s">
        <v>70</v>
      </c>
      <c r="L129" s="280" t="s">
        <v>25</v>
      </c>
      <c r="M129" s="310"/>
      <c r="N129" s="87"/>
    </row>
    <row r="130" spans="1:14" x14ac:dyDescent="0.2">
      <c r="A130" s="524"/>
      <c r="B130" s="53" t="s">
        <v>889</v>
      </c>
      <c r="C130" s="106">
        <v>89647</v>
      </c>
      <c r="D130" s="107" t="s">
        <v>890</v>
      </c>
      <c r="E130" s="107" t="s">
        <v>827</v>
      </c>
      <c r="F130" s="107" t="s">
        <v>466</v>
      </c>
      <c r="G130" s="107">
        <v>1</v>
      </c>
      <c r="H130" s="8"/>
      <c r="I130" s="3"/>
      <c r="J130" s="17"/>
      <c r="K130" s="309">
        <v>6.4</v>
      </c>
      <c r="L130" s="91">
        <f t="shared" si="4"/>
        <v>0</v>
      </c>
      <c r="M130" s="310">
        <f>K130/3</f>
        <v>2.1333333333333333</v>
      </c>
      <c r="N130" s="87">
        <f>K130/3000*20</f>
        <v>4.2666666666666672E-2</v>
      </c>
    </row>
    <row r="131" spans="1:14" x14ac:dyDescent="0.2">
      <c r="A131" s="524"/>
      <c r="B131" s="53" t="s">
        <v>891</v>
      </c>
      <c r="C131" s="106">
        <v>21734</v>
      </c>
      <c r="D131" s="107" t="s">
        <v>892</v>
      </c>
      <c r="E131" s="107" t="s">
        <v>893</v>
      </c>
      <c r="F131" s="107" t="s">
        <v>466</v>
      </c>
      <c r="G131" s="107">
        <v>1</v>
      </c>
      <c r="H131" s="8"/>
      <c r="I131" s="3"/>
      <c r="J131" s="17"/>
      <c r="K131" s="309">
        <v>9.2899999999999991</v>
      </c>
      <c r="L131" s="91">
        <f t="shared" si="4"/>
        <v>0</v>
      </c>
      <c r="M131" s="310"/>
      <c r="N131" s="87"/>
    </row>
    <row r="132" spans="1:14" x14ac:dyDescent="0.2">
      <c r="A132" s="524"/>
      <c r="B132" s="53" t="s">
        <v>894</v>
      </c>
      <c r="C132" s="106">
        <v>159711</v>
      </c>
      <c r="D132" s="107" t="s">
        <v>895</v>
      </c>
      <c r="E132" s="107" t="s">
        <v>377</v>
      </c>
      <c r="F132" s="107" t="s">
        <v>896</v>
      </c>
      <c r="G132" s="107">
        <v>1</v>
      </c>
      <c r="H132" s="8"/>
      <c r="I132" s="3"/>
      <c r="J132" s="17"/>
      <c r="K132" s="309">
        <v>11.74</v>
      </c>
      <c r="L132" s="91">
        <f t="shared" si="4"/>
        <v>0</v>
      </c>
      <c r="M132" s="310">
        <f t="shared" ref="M132:M136" si="12">K132/3</f>
        <v>3.9133333333333336</v>
      </c>
      <c r="N132" s="87">
        <f>K132/3000*20</f>
        <v>7.8266666666666679E-2</v>
      </c>
    </row>
    <row r="133" spans="1:14" x14ac:dyDescent="0.2">
      <c r="A133" s="524"/>
      <c r="B133" s="53" t="s">
        <v>897</v>
      </c>
      <c r="C133" s="106">
        <v>33195</v>
      </c>
      <c r="D133" s="107" t="s">
        <v>895</v>
      </c>
      <c r="E133" s="107" t="s">
        <v>732</v>
      </c>
      <c r="F133" s="107" t="s">
        <v>896</v>
      </c>
      <c r="G133" s="107">
        <v>1</v>
      </c>
      <c r="H133" s="8"/>
      <c r="I133" s="3"/>
      <c r="J133" s="17"/>
      <c r="K133" s="309">
        <v>12.06</v>
      </c>
      <c r="L133" s="91">
        <f t="shared" si="4"/>
        <v>0</v>
      </c>
      <c r="M133" s="310">
        <f t="shared" si="12"/>
        <v>4.0200000000000005</v>
      </c>
      <c r="N133" s="87">
        <f>K133/3000*20</f>
        <v>8.0399999999999999E-2</v>
      </c>
    </row>
    <row r="134" spans="1:14" x14ac:dyDescent="0.2">
      <c r="A134" s="524"/>
      <c r="B134" s="53" t="s">
        <v>898</v>
      </c>
      <c r="C134" s="106">
        <v>37781</v>
      </c>
      <c r="D134" s="107" t="s">
        <v>448</v>
      </c>
      <c r="E134" s="107" t="s">
        <v>747</v>
      </c>
      <c r="F134" s="107" t="s">
        <v>896</v>
      </c>
      <c r="G134" s="107">
        <v>1</v>
      </c>
      <c r="H134" s="8"/>
      <c r="I134" s="3"/>
      <c r="J134" s="17"/>
      <c r="K134" s="309">
        <v>4.97</v>
      </c>
      <c r="L134" s="91">
        <f t="shared" si="4"/>
        <v>0</v>
      </c>
      <c r="M134" s="310"/>
      <c r="N134" s="87"/>
    </row>
    <row r="135" spans="1:14" x14ac:dyDescent="0.2">
      <c r="A135" s="524"/>
      <c r="B135" s="53" t="s">
        <v>899</v>
      </c>
      <c r="C135" s="106">
        <v>4362</v>
      </c>
      <c r="D135" s="107" t="s">
        <v>895</v>
      </c>
      <c r="E135" s="107" t="s">
        <v>900</v>
      </c>
      <c r="F135" s="107" t="s">
        <v>896</v>
      </c>
      <c r="G135" s="107">
        <v>1</v>
      </c>
      <c r="H135" s="8"/>
      <c r="I135" s="3"/>
      <c r="J135" s="17"/>
      <c r="K135" s="309">
        <v>5.41</v>
      </c>
      <c r="L135" s="91">
        <f t="shared" si="4"/>
        <v>0</v>
      </c>
      <c r="M135" s="310"/>
      <c r="N135" s="87"/>
    </row>
    <row r="136" spans="1:14" x14ac:dyDescent="0.2">
      <c r="A136" s="524"/>
      <c r="B136" s="53" t="s">
        <v>901</v>
      </c>
      <c r="C136" s="106">
        <v>6695</v>
      </c>
      <c r="D136" s="107" t="s">
        <v>895</v>
      </c>
      <c r="E136" s="107" t="s">
        <v>732</v>
      </c>
      <c r="F136" s="107" t="s">
        <v>896</v>
      </c>
      <c r="G136" s="107">
        <v>1</v>
      </c>
      <c r="H136" s="8"/>
      <c r="I136" s="3"/>
      <c r="J136" s="17"/>
      <c r="K136" s="309">
        <v>9.9600000000000009</v>
      </c>
      <c r="L136" s="91">
        <f t="shared" si="4"/>
        <v>0</v>
      </c>
      <c r="M136" s="310">
        <f t="shared" si="12"/>
        <v>3.3200000000000003</v>
      </c>
      <c r="N136" s="87">
        <f>K136/3000*20</f>
        <v>6.6400000000000015E-2</v>
      </c>
    </row>
    <row r="137" spans="1:14" x14ac:dyDescent="0.2">
      <c r="A137" s="524"/>
      <c r="B137" s="53" t="s">
        <v>902</v>
      </c>
      <c r="C137" s="106">
        <v>149843</v>
      </c>
      <c r="D137" s="107" t="s">
        <v>529</v>
      </c>
      <c r="E137" s="107" t="s">
        <v>867</v>
      </c>
      <c r="F137" s="107" t="s">
        <v>903</v>
      </c>
      <c r="G137" s="107">
        <v>1</v>
      </c>
      <c r="H137" s="8"/>
      <c r="I137" s="3"/>
      <c r="J137" s="17"/>
      <c r="K137" s="309">
        <v>64.48</v>
      </c>
      <c r="L137" s="91">
        <f t="shared" si="4"/>
        <v>0</v>
      </c>
      <c r="M137" s="310">
        <f>K137/15</f>
        <v>4.2986666666666666</v>
      </c>
      <c r="N137" s="87">
        <f>K137/15000*2</f>
        <v>8.5973333333333336E-3</v>
      </c>
    </row>
    <row r="138" spans="1:14" x14ac:dyDescent="0.2">
      <c r="A138" s="524"/>
      <c r="B138" s="53" t="s">
        <v>904</v>
      </c>
      <c r="C138" s="106">
        <v>69310</v>
      </c>
      <c r="D138" s="107" t="s">
        <v>555</v>
      </c>
      <c r="E138" s="107" t="s">
        <v>905</v>
      </c>
      <c r="F138" s="107">
        <v>1</v>
      </c>
      <c r="G138" s="107">
        <v>4</v>
      </c>
      <c r="H138" s="8"/>
      <c r="I138" s="3"/>
      <c r="J138" s="17"/>
      <c r="K138" s="309">
        <v>39.61</v>
      </c>
      <c r="L138" s="91">
        <f t="shared" si="4"/>
        <v>0</v>
      </c>
      <c r="M138" s="310"/>
      <c r="N138" s="87"/>
    </row>
    <row r="139" spans="1:14" x14ac:dyDescent="0.2">
      <c r="A139" s="524"/>
      <c r="B139" s="53"/>
      <c r="C139" s="106"/>
      <c r="D139" s="107" t="s">
        <v>812</v>
      </c>
      <c r="E139" s="107"/>
      <c r="F139" s="107"/>
      <c r="G139" s="107"/>
      <c r="H139" s="8"/>
      <c r="I139" s="3"/>
      <c r="J139" s="17"/>
      <c r="K139" s="309"/>
      <c r="L139" s="91">
        <f t="shared" si="4"/>
        <v>0</v>
      </c>
      <c r="M139" s="310"/>
      <c r="N139" s="87"/>
    </row>
    <row r="140" spans="1:14" x14ac:dyDescent="0.2">
      <c r="A140" s="524"/>
      <c r="B140" s="53" t="s">
        <v>906</v>
      </c>
      <c r="C140" s="106">
        <v>39675</v>
      </c>
      <c r="D140" s="107" t="s">
        <v>907</v>
      </c>
      <c r="E140" s="107" t="s">
        <v>863</v>
      </c>
      <c r="F140" s="107" t="s">
        <v>908</v>
      </c>
      <c r="G140" s="107">
        <v>1</v>
      </c>
      <c r="H140" s="8"/>
      <c r="I140" s="3"/>
      <c r="J140" s="17"/>
      <c r="K140" s="309">
        <v>34.61</v>
      </c>
      <c r="L140" s="91">
        <f t="shared" si="4"/>
        <v>0</v>
      </c>
      <c r="M140" s="310"/>
      <c r="N140" s="87"/>
    </row>
    <row r="141" spans="1:14" x14ac:dyDescent="0.2">
      <c r="A141" s="524"/>
      <c r="B141" s="53"/>
      <c r="C141" s="106"/>
      <c r="D141" s="107"/>
      <c r="E141" s="107"/>
      <c r="F141" s="107"/>
      <c r="G141" s="107"/>
      <c r="H141" s="8"/>
      <c r="I141" s="3"/>
      <c r="J141" s="17"/>
      <c r="K141" s="309"/>
      <c r="L141" s="91"/>
      <c r="M141" s="310"/>
      <c r="N141" s="87"/>
    </row>
    <row r="142" spans="1:14" x14ac:dyDescent="0.2">
      <c r="A142" s="524"/>
      <c r="B142" s="53" t="s">
        <v>909</v>
      </c>
      <c r="C142" s="106">
        <v>16195</v>
      </c>
      <c r="D142" s="107" t="s">
        <v>731</v>
      </c>
      <c r="E142" s="107" t="s">
        <v>910</v>
      </c>
      <c r="F142" s="107" t="s">
        <v>77</v>
      </c>
      <c r="G142" s="107">
        <v>4</v>
      </c>
      <c r="H142" s="8"/>
      <c r="I142" s="3"/>
      <c r="J142" s="17"/>
      <c r="K142" s="309">
        <v>37.96</v>
      </c>
      <c r="L142" s="91">
        <f t="shared" si="4"/>
        <v>0</v>
      </c>
      <c r="M142" s="310"/>
      <c r="N142" s="87"/>
    </row>
    <row r="143" spans="1:14" x14ac:dyDescent="0.2">
      <c r="A143" s="524"/>
      <c r="B143" s="53" t="s">
        <v>911</v>
      </c>
      <c r="C143" s="106">
        <v>170768</v>
      </c>
      <c r="D143" s="107" t="s">
        <v>731</v>
      </c>
      <c r="E143" s="107" t="s">
        <v>910</v>
      </c>
      <c r="F143" s="107" t="s">
        <v>77</v>
      </c>
      <c r="G143" s="107">
        <v>4</v>
      </c>
      <c r="H143" s="8"/>
      <c r="I143" s="3"/>
      <c r="J143" s="17"/>
      <c r="K143" s="309">
        <v>37.96</v>
      </c>
      <c r="L143" s="91">
        <f t="shared" si="4"/>
        <v>0</v>
      </c>
      <c r="M143" s="310"/>
      <c r="N143" s="87"/>
    </row>
    <row r="144" spans="1:14" x14ac:dyDescent="0.2">
      <c r="A144" s="524"/>
      <c r="B144" s="53" t="s">
        <v>912</v>
      </c>
      <c r="C144" s="106">
        <v>16193</v>
      </c>
      <c r="D144" s="107" t="s">
        <v>731</v>
      </c>
      <c r="E144" s="107" t="s">
        <v>910</v>
      </c>
      <c r="F144" s="107" t="s">
        <v>77</v>
      </c>
      <c r="G144" s="107">
        <v>4</v>
      </c>
      <c r="H144" s="8"/>
      <c r="I144" s="3"/>
      <c r="J144" s="17"/>
      <c r="K144" s="309">
        <v>37.96</v>
      </c>
      <c r="L144" s="91">
        <f t="shared" si="4"/>
        <v>0</v>
      </c>
      <c r="M144" s="310">
        <f>K144/2</f>
        <v>18.98</v>
      </c>
      <c r="N144" s="87">
        <f>K144/2000*2</f>
        <v>3.7960000000000001E-2</v>
      </c>
    </row>
    <row r="145" spans="1:14" x14ac:dyDescent="0.2">
      <c r="A145" s="524"/>
      <c r="B145" s="53" t="s">
        <v>913</v>
      </c>
      <c r="C145" s="106">
        <v>12970</v>
      </c>
      <c r="D145" s="107" t="s">
        <v>731</v>
      </c>
      <c r="E145" s="107" t="s">
        <v>910</v>
      </c>
      <c r="F145" s="107" t="s">
        <v>77</v>
      </c>
      <c r="G145" s="107">
        <v>4</v>
      </c>
      <c r="H145" s="8"/>
      <c r="I145" s="3"/>
      <c r="J145" s="17"/>
      <c r="K145" s="309">
        <v>37.96</v>
      </c>
      <c r="L145" s="91">
        <f t="shared" si="4"/>
        <v>0</v>
      </c>
      <c r="M145" s="310">
        <f>K145/1</f>
        <v>37.96</v>
      </c>
      <c r="N145" s="87">
        <f>K145/1000*2</f>
        <v>7.5920000000000001E-2</v>
      </c>
    </row>
    <row r="146" spans="1:14" x14ac:dyDescent="0.2">
      <c r="A146" s="524"/>
      <c r="B146" s="53" t="s">
        <v>914</v>
      </c>
      <c r="C146" s="106">
        <v>16197</v>
      </c>
      <c r="D146" s="107" t="s">
        <v>731</v>
      </c>
      <c r="E146" s="107" t="s">
        <v>910</v>
      </c>
      <c r="F146" s="107" t="s">
        <v>77</v>
      </c>
      <c r="G146" s="107">
        <v>4</v>
      </c>
      <c r="H146" s="8"/>
      <c r="I146" s="3"/>
      <c r="J146" s="17"/>
      <c r="K146" s="309">
        <v>37.96</v>
      </c>
      <c r="L146" s="91">
        <f t="shared" ref="L146:L147" si="13">K146*J146</f>
        <v>0</v>
      </c>
      <c r="M146" s="310"/>
      <c r="N146" s="87"/>
    </row>
    <row r="147" spans="1:14" x14ac:dyDescent="0.2">
      <c r="A147" s="524"/>
      <c r="B147" s="53" t="s">
        <v>915</v>
      </c>
      <c r="C147" s="106">
        <v>16192</v>
      </c>
      <c r="D147" s="107" t="s">
        <v>731</v>
      </c>
      <c r="E147" s="107" t="s">
        <v>910</v>
      </c>
      <c r="F147" s="107" t="s">
        <v>77</v>
      </c>
      <c r="G147" s="107">
        <v>4</v>
      </c>
      <c r="H147" s="8"/>
      <c r="I147" s="3"/>
      <c r="J147" s="17"/>
      <c r="K147" s="309">
        <v>37.96</v>
      </c>
      <c r="L147" s="91">
        <f t="shared" si="13"/>
        <v>0</v>
      </c>
      <c r="M147" s="310"/>
      <c r="N147" s="87"/>
    </row>
    <row r="148" spans="1:14" ht="17" thickBot="1" x14ac:dyDescent="0.25">
      <c r="A148" s="524"/>
      <c r="B148" s="53" t="s">
        <v>916</v>
      </c>
      <c r="C148" s="106">
        <v>12971</v>
      </c>
      <c r="D148" s="107" t="s">
        <v>731</v>
      </c>
      <c r="E148" s="107" t="s">
        <v>910</v>
      </c>
      <c r="F148" s="107" t="s">
        <v>77</v>
      </c>
      <c r="G148" s="107">
        <v>4</v>
      </c>
      <c r="H148" s="8"/>
      <c r="I148" s="470"/>
      <c r="J148" s="17"/>
      <c r="K148" s="309">
        <v>37.96</v>
      </c>
      <c r="L148" s="91">
        <f t="shared" ref="L148" si="14">K148*J148</f>
        <v>0</v>
      </c>
      <c r="M148" s="310"/>
      <c r="N148" s="87"/>
    </row>
    <row r="149" spans="1:14" ht="35" thickBot="1" x14ac:dyDescent="0.25">
      <c r="B149" s="324" t="s">
        <v>917</v>
      </c>
      <c r="C149" s="304" t="s">
        <v>65</v>
      </c>
      <c r="D149" s="305" t="s">
        <v>696</v>
      </c>
      <c r="E149" s="305" t="s">
        <v>697</v>
      </c>
      <c r="F149" s="305" t="s">
        <v>348</v>
      </c>
      <c r="G149" s="305" t="s">
        <v>349</v>
      </c>
      <c r="H149" s="278" t="s">
        <v>67</v>
      </c>
      <c r="I149" s="278" t="s">
        <v>68</v>
      </c>
      <c r="J149" s="278" t="s">
        <v>69</v>
      </c>
      <c r="K149" s="279" t="s">
        <v>70</v>
      </c>
      <c r="L149" s="280" t="s">
        <v>25</v>
      </c>
      <c r="M149" s="310"/>
      <c r="N149" s="87"/>
    </row>
    <row r="150" spans="1:14" x14ac:dyDescent="0.2">
      <c r="A150" s="524"/>
      <c r="B150" s="53" t="s">
        <v>918</v>
      </c>
      <c r="C150" s="106">
        <v>137082</v>
      </c>
      <c r="D150" s="107" t="s">
        <v>351</v>
      </c>
      <c r="E150" s="107" t="s">
        <v>377</v>
      </c>
      <c r="F150" s="107" t="s">
        <v>77</v>
      </c>
      <c r="G150" s="107">
        <v>6</v>
      </c>
      <c r="H150" s="8"/>
      <c r="I150" s="3"/>
      <c r="J150" s="17"/>
      <c r="K150" s="309">
        <v>66.12</v>
      </c>
      <c r="L150" s="91">
        <f t="shared" ref="L150:L210" si="15">K150*J150</f>
        <v>0</v>
      </c>
      <c r="M150" s="310">
        <f>K150/1.02</f>
        <v>64.82352941176471</v>
      </c>
      <c r="N150" s="87">
        <f>K150/1020*50</f>
        <v>3.2411764705882353</v>
      </c>
    </row>
    <row r="151" spans="1:14" x14ac:dyDescent="0.2">
      <c r="A151" s="524"/>
      <c r="B151" s="53" t="s">
        <v>919</v>
      </c>
      <c r="C151" s="106">
        <v>130087</v>
      </c>
      <c r="D151" s="107" t="s">
        <v>920</v>
      </c>
      <c r="E151" s="107" t="s">
        <v>921</v>
      </c>
      <c r="F151" s="107" t="s">
        <v>77</v>
      </c>
      <c r="G151" s="107">
        <v>6</v>
      </c>
      <c r="H151" s="8"/>
      <c r="I151" s="3"/>
      <c r="J151" s="17"/>
      <c r="K151" s="309">
        <v>90.78</v>
      </c>
      <c r="L151" s="91">
        <f t="shared" si="15"/>
        <v>0</v>
      </c>
      <c r="M151" s="310">
        <f>K151/11.22</f>
        <v>8.0909090909090899</v>
      </c>
      <c r="N151" s="87">
        <f>K151/11200*50</f>
        <v>0.40526785714285718</v>
      </c>
    </row>
    <row r="152" spans="1:14" s="485" customFormat="1" ht="17" thickBot="1" x14ac:dyDescent="0.25">
      <c r="A152" s="524"/>
      <c r="B152" s="477" t="s">
        <v>922</v>
      </c>
      <c r="C152" s="114">
        <v>71785</v>
      </c>
      <c r="D152" s="478" t="s">
        <v>351</v>
      </c>
      <c r="E152" s="478" t="s">
        <v>923</v>
      </c>
      <c r="F152" s="107" t="s">
        <v>77</v>
      </c>
      <c r="G152" s="478">
        <v>12</v>
      </c>
      <c r="H152" s="479"/>
      <c r="I152" s="480"/>
      <c r="J152" s="17"/>
      <c r="K152" s="481">
        <v>61.56</v>
      </c>
      <c r="L152" s="91">
        <f t="shared" si="15"/>
        <v>0</v>
      </c>
      <c r="M152" s="483">
        <f>K152/2.88</f>
        <v>21.375</v>
      </c>
      <c r="N152" s="484">
        <f>K152/2880*50</f>
        <v>1.0687500000000001</v>
      </c>
    </row>
    <row r="153" spans="1:14" ht="35" thickBot="1" x14ac:dyDescent="0.25">
      <c r="B153" s="324" t="s">
        <v>924</v>
      </c>
      <c r="C153" s="304" t="s">
        <v>65</v>
      </c>
      <c r="D153" s="305" t="s">
        <v>696</v>
      </c>
      <c r="E153" s="305" t="s">
        <v>697</v>
      </c>
      <c r="F153" s="305" t="s">
        <v>348</v>
      </c>
      <c r="G153" s="305" t="s">
        <v>349</v>
      </c>
      <c r="H153" s="278" t="s">
        <v>67</v>
      </c>
      <c r="I153" s="278" t="s">
        <v>68</v>
      </c>
      <c r="J153" s="278" t="s">
        <v>69</v>
      </c>
      <c r="K153" s="279" t="s">
        <v>70</v>
      </c>
      <c r="L153" s="280" t="s">
        <v>25</v>
      </c>
      <c r="M153" s="310"/>
      <c r="N153" s="87"/>
    </row>
    <row r="154" spans="1:14" x14ac:dyDescent="0.2">
      <c r="A154" s="524"/>
      <c r="B154" s="477" t="s">
        <v>925</v>
      </c>
      <c r="C154" s="114">
        <v>64992</v>
      </c>
      <c r="D154" s="478" t="s">
        <v>351</v>
      </c>
      <c r="E154" s="478" t="s">
        <v>377</v>
      </c>
      <c r="F154" s="478" t="s">
        <v>190</v>
      </c>
      <c r="G154" s="478">
        <v>8</v>
      </c>
      <c r="H154" s="479"/>
      <c r="I154" s="480"/>
      <c r="J154" s="17"/>
      <c r="K154" s="481">
        <v>4.21</v>
      </c>
      <c r="L154" s="91">
        <f t="shared" si="15"/>
        <v>0</v>
      </c>
      <c r="M154" s="310">
        <f>K154/3</f>
        <v>1.4033333333333333</v>
      </c>
      <c r="N154" s="87">
        <f>K154/3000*5</f>
        <v>7.0166666666666658E-3</v>
      </c>
    </row>
    <row r="155" spans="1:14" x14ac:dyDescent="0.2">
      <c r="A155" s="524"/>
      <c r="B155" s="477" t="s">
        <v>926</v>
      </c>
      <c r="C155" s="591">
        <v>53435</v>
      </c>
      <c r="D155" s="478" t="s">
        <v>731</v>
      </c>
      <c r="E155" s="478" t="s">
        <v>395</v>
      </c>
      <c r="F155" s="478" t="s">
        <v>190</v>
      </c>
      <c r="G155" s="478">
        <v>1</v>
      </c>
      <c r="H155" s="479"/>
      <c r="I155" s="480"/>
      <c r="J155" s="17"/>
      <c r="K155" s="481">
        <v>22.84</v>
      </c>
      <c r="L155" s="91">
        <f>K155*J155</f>
        <v>0</v>
      </c>
      <c r="M155" s="310"/>
      <c r="N155" s="87"/>
    </row>
    <row r="156" spans="1:14" x14ac:dyDescent="0.2">
      <c r="A156" s="524"/>
      <c r="B156" s="477" t="s">
        <v>927</v>
      </c>
      <c r="C156" s="114">
        <v>56339</v>
      </c>
      <c r="D156" s="478" t="s">
        <v>351</v>
      </c>
      <c r="E156" s="478" t="s">
        <v>817</v>
      </c>
      <c r="F156" s="478" t="s">
        <v>190</v>
      </c>
      <c r="G156" s="478">
        <v>1</v>
      </c>
      <c r="H156" s="479"/>
      <c r="I156" s="480"/>
      <c r="J156" s="17"/>
      <c r="K156" s="481">
        <v>12.71</v>
      </c>
      <c r="L156" s="91">
        <f t="shared" si="15"/>
        <v>0</v>
      </c>
      <c r="M156" s="310">
        <f>K156/12.5</f>
        <v>1.0168000000000001</v>
      </c>
      <c r="N156" s="87">
        <f>K156/12500*20</f>
        <v>2.0336E-2</v>
      </c>
    </row>
    <row r="157" spans="1:14" x14ac:dyDescent="0.2">
      <c r="A157" s="524"/>
      <c r="B157" s="477" t="s">
        <v>928</v>
      </c>
      <c r="C157" s="114">
        <v>204891</v>
      </c>
      <c r="D157" s="478" t="s">
        <v>351</v>
      </c>
      <c r="E157" s="478" t="s">
        <v>929</v>
      </c>
      <c r="F157" s="478" t="s">
        <v>190</v>
      </c>
      <c r="G157" s="478">
        <v>1</v>
      </c>
      <c r="H157" s="479"/>
      <c r="I157" s="480"/>
      <c r="J157" s="17"/>
      <c r="K157" s="481">
        <v>2.72</v>
      </c>
      <c r="L157" s="91">
        <f t="shared" si="15"/>
        <v>0</v>
      </c>
      <c r="M157" s="310"/>
      <c r="N157" s="87"/>
    </row>
    <row r="158" spans="1:14" x14ac:dyDescent="0.2">
      <c r="A158" s="524"/>
      <c r="B158" s="477" t="s">
        <v>930</v>
      </c>
      <c r="C158" s="114">
        <v>56340</v>
      </c>
      <c r="D158" s="478" t="s">
        <v>351</v>
      </c>
      <c r="E158" s="478" t="s">
        <v>817</v>
      </c>
      <c r="F158" s="478" t="s">
        <v>190</v>
      </c>
      <c r="G158" s="478">
        <v>1</v>
      </c>
      <c r="H158" s="479"/>
      <c r="I158" s="480"/>
      <c r="J158" s="17"/>
      <c r="K158" s="481">
        <v>13.25</v>
      </c>
      <c r="L158" s="91">
        <f t="shared" si="15"/>
        <v>0</v>
      </c>
      <c r="M158" s="310"/>
      <c r="N158" s="87"/>
    </row>
    <row r="159" spans="1:14" ht="17" thickBot="1" x14ac:dyDescent="0.25">
      <c r="A159" s="524"/>
      <c r="B159" s="477" t="s">
        <v>931</v>
      </c>
      <c r="C159" s="114">
        <v>56657</v>
      </c>
      <c r="D159" s="478" t="s">
        <v>932</v>
      </c>
      <c r="E159" s="478" t="s">
        <v>929</v>
      </c>
      <c r="F159" s="478" t="s">
        <v>245</v>
      </c>
      <c r="G159" s="478">
        <v>1</v>
      </c>
      <c r="H159" s="479"/>
      <c r="I159" s="480"/>
      <c r="J159" s="17"/>
      <c r="K159" s="481">
        <v>4.2699999999999996</v>
      </c>
      <c r="L159" s="91">
        <f t="shared" si="15"/>
        <v>0</v>
      </c>
      <c r="M159" s="310"/>
      <c r="N159" s="87"/>
    </row>
    <row r="160" spans="1:14" ht="35" thickBot="1" x14ac:dyDescent="0.25">
      <c r="B160" s="324" t="s">
        <v>933</v>
      </c>
      <c r="C160" s="304" t="s">
        <v>65</v>
      </c>
      <c r="D160" s="305" t="s">
        <v>696</v>
      </c>
      <c r="E160" s="305" t="s">
        <v>697</v>
      </c>
      <c r="F160" s="305" t="s">
        <v>348</v>
      </c>
      <c r="G160" s="305" t="s">
        <v>349</v>
      </c>
      <c r="H160" s="278" t="s">
        <v>67</v>
      </c>
      <c r="I160" s="278" t="s">
        <v>68</v>
      </c>
      <c r="J160" s="278" t="s">
        <v>69</v>
      </c>
      <c r="K160" s="279" t="s">
        <v>70</v>
      </c>
      <c r="L160" s="280" t="s">
        <v>25</v>
      </c>
      <c r="M160" s="310"/>
      <c r="N160" s="87"/>
    </row>
    <row r="161" spans="1:14" x14ac:dyDescent="0.2">
      <c r="A161" s="524"/>
      <c r="B161" s="477" t="s">
        <v>934</v>
      </c>
      <c r="C161" s="114">
        <v>206532</v>
      </c>
      <c r="D161" s="478" t="s">
        <v>351</v>
      </c>
      <c r="E161" s="478" t="s">
        <v>355</v>
      </c>
      <c r="F161" s="478" t="s">
        <v>77</v>
      </c>
      <c r="G161" s="478">
        <v>3</v>
      </c>
      <c r="H161" s="479"/>
      <c r="I161" s="480"/>
      <c r="J161" s="17"/>
      <c r="K161" s="481">
        <v>29.16</v>
      </c>
      <c r="L161" s="91">
        <f t="shared" si="15"/>
        <v>0</v>
      </c>
      <c r="M161" s="310">
        <f>K161/9</f>
        <v>3.24</v>
      </c>
      <c r="N161" s="87">
        <f>K161/9000*50</f>
        <v>0.16199999999999998</v>
      </c>
    </row>
    <row r="162" spans="1:14" x14ac:dyDescent="0.2">
      <c r="A162" s="524"/>
      <c r="B162" s="477" t="s">
        <v>935</v>
      </c>
      <c r="C162" s="114">
        <v>137558</v>
      </c>
      <c r="D162" s="478" t="s">
        <v>936</v>
      </c>
      <c r="E162" s="478" t="s">
        <v>355</v>
      </c>
      <c r="F162" s="478" t="s">
        <v>77</v>
      </c>
      <c r="G162" s="478">
        <v>3</v>
      </c>
      <c r="H162" s="479"/>
      <c r="I162" s="480"/>
      <c r="J162" s="17"/>
      <c r="K162" s="481">
        <v>32.4</v>
      </c>
      <c r="L162" s="91">
        <f t="shared" si="15"/>
        <v>0</v>
      </c>
      <c r="M162" s="310">
        <f>K162/9</f>
        <v>3.5999999999999996</v>
      </c>
      <c r="N162" s="87">
        <f>K162/9000*50</f>
        <v>0.18</v>
      </c>
    </row>
    <row r="163" spans="1:14" x14ac:dyDescent="0.2">
      <c r="A163" s="524"/>
      <c r="B163" s="477" t="s">
        <v>937</v>
      </c>
      <c r="C163" s="114">
        <v>149967</v>
      </c>
      <c r="D163" s="478" t="s">
        <v>936</v>
      </c>
      <c r="E163" s="478" t="s">
        <v>938</v>
      </c>
      <c r="F163" s="478" t="s">
        <v>77</v>
      </c>
      <c r="G163" s="478">
        <v>3</v>
      </c>
      <c r="H163" s="479"/>
      <c r="I163" s="480"/>
      <c r="J163" s="17"/>
      <c r="K163" s="481">
        <v>39.21</v>
      </c>
      <c r="L163" s="91">
        <f t="shared" si="15"/>
        <v>0</v>
      </c>
      <c r="M163" s="310">
        <f>K163/9</f>
        <v>4.3566666666666665</v>
      </c>
      <c r="N163" s="87">
        <f>K163/9000*50</f>
        <v>0.21783333333333332</v>
      </c>
    </row>
    <row r="164" spans="1:14" x14ac:dyDescent="0.2">
      <c r="A164" s="524"/>
      <c r="B164" s="477" t="s">
        <v>939</v>
      </c>
      <c r="C164" s="114">
        <v>147364</v>
      </c>
      <c r="D164" s="478" t="s">
        <v>936</v>
      </c>
      <c r="E164" s="478" t="s">
        <v>938</v>
      </c>
      <c r="F164" s="478" t="s">
        <v>77</v>
      </c>
      <c r="G164" s="478">
        <v>3</v>
      </c>
      <c r="H164" s="479"/>
      <c r="I164" s="480"/>
      <c r="J164" s="17"/>
      <c r="K164" s="481">
        <v>89.58</v>
      </c>
      <c r="L164" s="91">
        <f t="shared" si="15"/>
        <v>0</v>
      </c>
      <c r="M164" s="310">
        <f>K164/2.25</f>
        <v>39.813333333333333</v>
      </c>
      <c r="N164" s="87">
        <f>K164/2550*50</f>
        <v>1.756470588235294</v>
      </c>
    </row>
    <row r="165" spans="1:14" x14ac:dyDescent="0.2">
      <c r="A165" s="524"/>
      <c r="B165" s="477" t="s">
        <v>940</v>
      </c>
      <c r="C165" s="114">
        <v>48681</v>
      </c>
      <c r="D165" s="478" t="s">
        <v>752</v>
      </c>
      <c r="E165" s="478" t="s">
        <v>938</v>
      </c>
      <c r="F165" s="478" t="s">
        <v>77</v>
      </c>
      <c r="G165" s="478">
        <v>3</v>
      </c>
      <c r="H165" s="479"/>
      <c r="I165" s="480"/>
      <c r="J165" s="17"/>
      <c r="K165" s="481">
        <v>31.74</v>
      </c>
      <c r="L165" s="91">
        <f t="shared" si="15"/>
        <v>0</v>
      </c>
      <c r="M165" s="310">
        <f t="shared" ref="M165:M174" si="16">K165/9</f>
        <v>3.5266666666666664</v>
      </c>
      <c r="N165" s="87">
        <f t="shared" ref="N165:N174" si="17">K165/9000*50</f>
        <v>0.17633333333333334</v>
      </c>
    </row>
    <row r="166" spans="1:14" x14ac:dyDescent="0.2">
      <c r="A166" s="524"/>
      <c r="B166" s="477" t="s">
        <v>941</v>
      </c>
      <c r="C166" s="114">
        <v>129406</v>
      </c>
      <c r="D166" s="478" t="s">
        <v>936</v>
      </c>
      <c r="E166" s="478" t="s">
        <v>938</v>
      </c>
      <c r="F166" s="478" t="s">
        <v>77</v>
      </c>
      <c r="G166" s="478">
        <v>3</v>
      </c>
      <c r="H166" s="479"/>
      <c r="I166" s="480"/>
      <c r="J166" s="17"/>
      <c r="K166" s="481">
        <v>33.51</v>
      </c>
      <c r="L166" s="91">
        <f t="shared" si="15"/>
        <v>0</v>
      </c>
      <c r="M166" s="310"/>
      <c r="N166" s="87"/>
    </row>
    <row r="167" spans="1:14" x14ac:dyDescent="0.2">
      <c r="A167" s="524"/>
      <c r="B167" s="477" t="s">
        <v>942</v>
      </c>
      <c r="C167" s="114">
        <v>24900</v>
      </c>
      <c r="D167" s="478" t="s">
        <v>752</v>
      </c>
      <c r="E167" s="478" t="s">
        <v>938</v>
      </c>
      <c r="F167" s="478" t="s">
        <v>77</v>
      </c>
      <c r="G167" s="478">
        <v>3</v>
      </c>
      <c r="H167" s="479"/>
      <c r="I167" s="480"/>
      <c r="J167" s="17"/>
      <c r="K167" s="481">
        <v>33.299999999999997</v>
      </c>
      <c r="L167" s="91">
        <f t="shared" si="15"/>
        <v>0</v>
      </c>
      <c r="M167" s="310"/>
      <c r="N167" s="87"/>
    </row>
    <row r="168" spans="1:14" x14ac:dyDescent="0.2">
      <c r="A168" s="524"/>
      <c r="B168" s="477" t="s">
        <v>943</v>
      </c>
      <c r="C168" s="114">
        <v>138869</v>
      </c>
      <c r="D168" s="478" t="s">
        <v>936</v>
      </c>
      <c r="E168" s="478" t="s">
        <v>938</v>
      </c>
      <c r="F168" s="478" t="s">
        <v>77</v>
      </c>
      <c r="G168" s="478">
        <v>3</v>
      </c>
      <c r="H168" s="479"/>
      <c r="I168" s="480"/>
      <c r="J168" s="17"/>
      <c r="K168" s="481">
        <v>34.26</v>
      </c>
      <c r="L168" s="91">
        <f t="shared" si="15"/>
        <v>0</v>
      </c>
      <c r="M168" s="310">
        <f t="shared" si="16"/>
        <v>3.8066666666666666</v>
      </c>
      <c r="N168" s="87">
        <f t="shared" si="17"/>
        <v>0.19033333333333333</v>
      </c>
    </row>
    <row r="169" spans="1:14" x14ac:dyDescent="0.2">
      <c r="A169" s="524"/>
      <c r="B169" s="477" t="s">
        <v>944</v>
      </c>
      <c r="C169" s="114">
        <v>129974</v>
      </c>
      <c r="D169" s="478" t="s">
        <v>936</v>
      </c>
      <c r="E169" s="478" t="s">
        <v>938</v>
      </c>
      <c r="F169" s="478" t="s">
        <v>77</v>
      </c>
      <c r="G169" s="478">
        <v>3</v>
      </c>
      <c r="H169" s="479"/>
      <c r="I169" s="480"/>
      <c r="J169" s="17"/>
      <c r="K169" s="481">
        <v>36.33</v>
      </c>
      <c r="L169" s="91">
        <f t="shared" si="15"/>
        <v>0</v>
      </c>
      <c r="M169" s="310">
        <f t="shared" si="16"/>
        <v>4.0366666666666662</v>
      </c>
      <c r="N169" s="87">
        <f t="shared" si="17"/>
        <v>0.20183333333333334</v>
      </c>
    </row>
    <row r="170" spans="1:14" x14ac:dyDescent="0.2">
      <c r="A170" s="524"/>
      <c r="B170" s="477" t="s">
        <v>945</v>
      </c>
      <c r="C170" s="114">
        <v>139094</v>
      </c>
      <c r="D170" s="478" t="s">
        <v>936</v>
      </c>
      <c r="E170" s="478" t="s">
        <v>946</v>
      </c>
      <c r="F170" s="478" t="s">
        <v>77</v>
      </c>
      <c r="G170" s="478">
        <v>6</v>
      </c>
      <c r="H170" s="479"/>
      <c r="I170" s="480"/>
      <c r="J170" s="17"/>
      <c r="K170" s="481">
        <v>56.04</v>
      </c>
      <c r="L170" s="91">
        <f t="shared" si="15"/>
        <v>0</v>
      </c>
      <c r="M170" s="310"/>
      <c r="N170" s="87"/>
    </row>
    <row r="171" spans="1:14" x14ac:dyDescent="0.2">
      <c r="A171" s="524"/>
      <c r="B171" s="477" t="s">
        <v>947</v>
      </c>
      <c r="C171" s="114">
        <v>139092</v>
      </c>
      <c r="D171" s="478" t="s">
        <v>936</v>
      </c>
      <c r="E171" s="478" t="s">
        <v>948</v>
      </c>
      <c r="F171" s="478" t="s">
        <v>77</v>
      </c>
      <c r="G171" s="478">
        <v>6</v>
      </c>
      <c r="H171" s="479"/>
      <c r="I171" s="480"/>
      <c r="J171" s="17"/>
      <c r="K171" s="481">
        <v>51.84</v>
      </c>
      <c r="L171" s="91">
        <f t="shared" si="15"/>
        <v>0</v>
      </c>
      <c r="M171" s="310">
        <f t="shared" si="16"/>
        <v>5.7600000000000007</v>
      </c>
      <c r="N171" s="87">
        <f t="shared" si="17"/>
        <v>0.28800000000000003</v>
      </c>
    </row>
    <row r="172" spans="1:14" x14ac:dyDescent="0.2">
      <c r="A172" s="524"/>
      <c r="B172" s="53" t="s">
        <v>949</v>
      </c>
      <c r="C172" s="106">
        <v>2323</v>
      </c>
      <c r="D172" s="107" t="s">
        <v>950</v>
      </c>
      <c r="E172" s="107" t="s">
        <v>355</v>
      </c>
      <c r="F172" s="478" t="s">
        <v>77</v>
      </c>
      <c r="G172" s="478">
        <v>3</v>
      </c>
      <c r="H172" s="8"/>
      <c r="I172" s="3"/>
      <c r="J172" s="17"/>
      <c r="K172" s="309">
        <v>43.56</v>
      </c>
      <c r="L172" s="91">
        <f t="shared" si="15"/>
        <v>0</v>
      </c>
      <c r="M172" s="310">
        <f t="shared" si="16"/>
        <v>4.84</v>
      </c>
      <c r="N172" s="87">
        <f t="shared" si="17"/>
        <v>0.24200000000000002</v>
      </c>
    </row>
    <row r="173" spans="1:14" x14ac:dyDescent="0.2">
      <c r="A173" s="524"/>
      <c r="B173" s="53" t="s">
        <v>951</v>
      </c>
      <c r="C173" s="106">
        <v>26176</v>
      </c>
      <c r="D173" s="107" t="s">
        <v>950</v>
      </c>
      <c r="E173" s="107" t="s">
        <v>938</v>
      </c>
      <c r="F173" s="478" t="s">
        <v>77</v>
      </c>
      <c r="G173" s="478">
        <v>3</v>
      </c>
      <c r="H173" s="8"/>
      <c r="I173" s="3"/>
      <c r="J173" s="17"/>
      <c r="K173" s="309">
        <v>82.65</v>
      </c>
      <c r="L173" s="91">
        <f t="shared" si="15"/>
        <v>0</v>
      </c>
      <c r="M173" s="310">
        <f t="shared" si="16"/>
        <v>9.1833333333333336</v>
      </c>
      <c r="N173" s="87">
        <f t="shared" si="17"/>
        <v>0.45916666666666667</v>
      </c>
    </row>
    <row r="174" spans="1:14" ht="17" thickBot="1" x14ac:dyDescent="0.25">
      <c r="A174" s="524"/>
      <c r="B174" s="53" t="s">
        <v>952</v>
      </c>
      <c r="C174" s="106">
        <v>138871</v>
      </c>
      <c r="D174" s="107" t="s">
        <v>936</v>
      </c>
      <c r="E174" s="107" t="s">
        <v>355</v>
      </c>
      <c r="F174" s="478" t="s">
        <v>77</v>
      </c>
      <c r="G174" s="478">
        <v>3</v>
      </c>
      <c r="H174" s="8"/>
      <c r="I174" s="3"/>
      <c r="J174" s="17"/>
      <c r="K174" s="309">
        <v>33.51</v>
      </c>
      <c r="L174" s="91">
        <f t="shared" si="15"/>
        <v>0</v>
      </c>
      <c r="M174" s="310">
        <f t="shared" si="16"/>
        <v>3.7233333333333332</v>
      </c>
      <c r="N174" s="87">
        <f t="shared" si="17"/>
        <v>0.18616666666666667</v>
      </c>
    </row>
    <row r="175" spans="1:14" ht="35" thickBot="1" x14ac:dyDescent="0.25">
      <c r="B175" s="324" t="s">
        <v>953</v>
      </c>
      <c r="C175" s="304" t="s">
        <v>65</v>
      </c>
      <c r="D175" s="305" t="s">
        <v>696</v>
      </c>
      <c r="E175" s="305" t="s">
        <v>697</v>
      </c>
      <c r="F175" s="305" t="s">
        <v>348</v>
      </c>
      <c r="G175" s="305" t="s">
        <v>349</v>
      </c>
      <c r="H175" s="278" t="s">
        <v>67</v>
      </c>
      <c r="I175" s="278" t="s">
        <v>68</v>
      </c>
      <c r="J175" s="278" t="s">
        <v>69</v>
      </c>
      <c r="K175" s="279" t="s">
        <v>70</v>
      </c>
      <c r="L175" s="280" t="s">
        <v>25</v>
      </c>
      <c r="M175" s="310"/>
      <c r="N175" s="87"/>
    </row>
    <row r="176" spans="1:14" x14ac:dyDescent="0.2">
      <c r="A176" s="524"/>
      <c r="B176" s="53" t="s">
        <v>954</v>
      </c>
      <c r="C176" s="106">
        <v>64000</v>
      </c>
      <c r="D176" s="107" t="s">
        <v>351</v>
      </c>
      <c r="E176" s="107" t="s">
        <v>703</v>
      </c>
      <c r="F176" s="107" t="s">
        <v>77</v>
      </c>
      <c r="G176" s="107">
        <v>8</v>
      </c>
      <c r="H176" s="8"/>
      <c r="I176" s="3"/>
      <c r="J176" s="17"/>
      <c r="K176" s="309">
        <v>133.52000000000001</v>
      </c>
      <c r="L176" s="91">
        <f t="shared" si="15"/>
        <v>0</v>
      </c>
      <c r="M176" s="310">
        <f>K176/10</f>
        <v>13.352</v>
      </c>
      <c r="N176" s="87">
        <f>K176/10000*25</f>
        <v>0.33380000000000004</v>
      </c>
    </row>
    <row r="177" spans="1:14" x14ac:dyDescent="0.2">
      <c r="A177" s="524"/>
      <c r="B177" s="53" t="s">
        <v>955</v>
      </c>
      <c r="C177" s="106">
        <v>52893</v>
      </c>
      <c r="D177" s="107" t="s">
        <v>826</v>
      </c>
      <c r="E177" s="107" t="s">
        <v>956</v>
      </c>
      <c r="F177" s="107" t="s">
        <v>77</v>
      </c>
      <c r="G177" s="107">
        <v>1</v>
      </c>
      <c r="H177" s="8"/>
      <c r="I177" s="3"/>
      <c r="J177" s="17"/>
      <c r="K177" s="309">
        <v>73.44</v>
      </c>
      <c r="L177" s="91">
        <f t="shared" ref="L177:L178" si="18">K177*J177</f>
        <v>0</v>
      </c>
      <c r="M177" s="310"/>
      <c r="N177" s="87"/>
    </row>
    <row r="178" spans="1:14" x14ac:dyDescent="0.2">
      <c r="A178" s="524"/>
      <c r="B178" s="53" t="s">
        <v>957</v>
      </c>
      <c r="C178" s="106">
        <v>64941</v>
      </c>
      <c r="D178" s="107" t="s">
        <v>351</v>
      </c>
      <c r="E178" s="107" t="s">
        <v>703</v>
      </c>
      <c r="F178" s="107" t="s">
        <v>77</v>
      </c>
      <c r="G178" s="107">
        <v>8</v>
      </c>
      <c r="H178" s="8"/>
      <c r="I178" s="3"/>
      <c r="J178" s="17"/>
      <c r="K178" s="309">
        <v>113.6</v>
      </c>
      <c r="L178" s="91">
        <f t="shared" si="18"/>
        <v>0</v>
      </c>
      <c r="M178" s="310"/>
      <c r="N178" s="87"/>
    </row>
    <row r="179" spans="1:14" x14ac:dyDescent="0.2">
      <c r="A179" s="524"/>
      <c r="B179" s="53" t="s">
        <v>958</v>
      </c>
      <c r="C179" s="106">
        <v>64942</v>
      </c>
      <c r="D179" s="107" t="s">
        <v>351</v>
      </c>
      <c r="E179" s="107" t="s">
        <v>703</v>
      </c>
      <c r="F179" s="107" t="s">
        <v>77</v>
      </c>
      <c r="G179" s="107">
        <v>8</v>
      </c>
      <c r="H179" s="8"/>
      <c r="I179" s="3"/>
      <c r="J179" s="17"/>
      <c r="K179" s="309">
        <v>67.84</v>
      </c>
      <c r="L179" s="91">
        <f>K179*J179</f>
        <v>0</v>
      </c>
      <c r="M179" s="310">
        <f>K179/10</f>
        <v>6.7840000000000007</v>
      </c>
      <c r="N179" s="87">
        <f>K179/10000*25</f>
        <v>0.1696</v>
      </c>
    </row>
    <row r="180" spans="1:14" x14ac:dyDescent="0.2">
      <c r="A180" s="524"/>
      <c r="B180" s="53" t="s">
        <v>959</v>
      </c>
      <c r="C180" s="106">
        <v>64943</v>
      </c>
      <c r="D180" s="107" t="s">
        <v>351</v>
      </c>
      <c r="E180" s="107" t="s">
        <v>703</v>
      </c>
      <c r="F180" s="107" t="s">
        <v>77</v>
      </c>
      <c r="G180" s="107">
        <v>8</v>
      </c>
      <c r="H180" s="8"/>
      <c r="I180" s="3"/>
      <c r="J180" s="17"/>
      <c r="K180" s="309">
        <v>34.159999999999997</v>
      </c>
      <c r="L180" s="91">
        <f t="shared" si="15"/>
        <v>0</v>
      </c>
      <c r="M180" s="310">
        <f>K180/10</f>
        <v>3.4159999999999995</v>
      </c>
      <c r="N180" s="87">
        <f>K180/10000*25</f>
        <v>8.539999999999999E-2</v>
      </c>
    </row>
    <row r="181" spans="1:14" x14ac:dyDescent="0.2">
      <c r="A181" s="524"/>
      <c r="B181" s="53" t="s">
        <v>960</v>
      </c>
      <c r="C181" s="106">
        <v>25193</v>
      </c>
      <c r="D181" s="107" t="s">
        <v>826</v>
      </c>
      <c r="E181" s="107" t="s">
        <v>703</v>
      </c>
      <c r="F181" s="107" t="s">
        <v>77</v>
      </c>
      <c r="G181" s="107">
        <v>10</v>
      </c>
      <c r="H181" s="8"/>
      <c r="I181" s="3"/>
      <c r="J181" s="17"/>
      <c r="K181" s="309">
        <v>64.3</v>
      </c>
      <c r="L181" s="91">
        <f t="shared" si="15"/>
        <v>0</v>
      </c>
      <c r="M181" s="310">
        <f>K181/10</f>
        <v>6.43</v>
      </c>
      <c r="N181" s="87">
        <f>K181/10000*25</f>
        <v>0.16075</v>
      </c>
    </row>
    <row r="182" spans="1:14" ht="17" thickBot="1" x14ac:dyDescent="0.25">
      <c r="A182" s="524"/>
      <c r="B182" s="53" t="s">
        <v>961</v>
      </c>
      <c r="C182" s="106">
        <v>64949</v>
      </c>
      <c r="D182" s="107" t="s">
        <v>351</v>
      </c>
      <c r="E182" s="107" t="s">
        <v>703</v>
      </c>
      <c r="F182" s="107" t="s">
        <v>77</v>
      </c>
      <c r="G182" s="107">
        <v>8</v>
      </c>
      <c r="H182" s="8"/>
      <c r="I182" s="3"/>
      <c r="J182" s="17"/>
      <c r="K182" s="309">
        <v>47.52</v>
      </c>
      <c r="L182" s="91">
        <f t="shared" si="15"/>
        <v>0</v>
      </c>
      <c r="M182" s="310">
        <f>K182/10</f>
        <v>4.7520000000000007</v>
      </c>
      <c r="N182" s="87">
        <f>K182/10000*25</f>
        <v>0.1188</v>
      </c>
    </row>
    <row r="183" spans="1:14" ht="35" thickBot="1" x14ac:dyDescent="0.25">
      <c r="B183" s="324" t="s">
        <v>962</v>
      </c>
      <c r="C183" s="304" t="s">
        <v>65</v>
      </c>
      <c r="D183" s="305" t="s">
        <v>696</v>
      </c>
      <c r="E183" s="305" t="s">
        <v>697</v>
      </c>
      <c r="F183" s="305" t="s">
        <v>348</v>
      </c>
      <c r="G183" s="305" t="s">
        <v>349</v>
      </c>
      <c r="H183" s="278" t="s">
        <v>67</v>
      </c>
      <c r="I183" s="278" t="s">
        <v>68</v>
      </c>
      <c r="J183" s="278" t="s">
        <v>69</v>
      </c>
      <c r="K183" s="279" t="s">
        <v>70</v>
      </c>
      <c r="L183" s="280" t="s">
        <v>25</v>
      </c>
      <c r="M183" s="310"/>
      <c r="N183" s="87"/>
    </row>
    <row r="184" spans="1:14" x14ac:dyDescent="0.2">
      <c r="A184" s="524"/>
      <c r="B184" s="53" t="s">
        <v>963</v>
      </c>
      <c r="C184" s="106">
        <v>14088</v>
      </c>
      <c r="D184" s="107" t="s">
        <v>964</v>
      </c>
      <c r="E184" s="107" t="s">
        <v>361</v>
      </c>
      <c r="F184" s="107" t="s">
        <v>77</v>
      </c>
      <c r="G184" s="107">
        <v>6</v>
      </c>
      <c r="H184" s="8"/>
      <c r="I184" s="3"/>
      <c r="J184" s="17"/>
      <c r="K184" s="309">
        <v>155.52000000000001</v>
      </c>
      <c r="L184" s="91">
        <f t="shared" si="15"/>
        <v>0</v>
      </c>
      <c r="M184" s="310">
        <f>K184/2</f>
        <v>77.760000000000005</v>
      </c>
      <c r="N184" s="87">
        <f>K184/2000*25</f>
        <v>1.9440000000000002</v>
      </c>
    </row>
    <row r="185" spans="1:14" x14ac:dyDescent="0.2">
      <c r="A185" s="524"/>
      <c r="B185" s="502" t="s">
        <v>965</v>
      </c>
      <c r="C185" s="100">
        <v>72254</v>
      </c>
      <c r="D185" s="107" t="s">
        <v>966</v>
      </c>
      <c r="E185" s="107" t="s">
        <v>456</v>
      </c>
      <c r="F185" s="107" t="s">
        <v>77</v>
      </c>
      <c r="G185" s="107">
        <v>8</v>
      </c>
      <c r="H185" s="8"/>
      <c r="I185" s="3"/>
      <c r="J185" s="17"/>
      <c r="K185" s="317">
        <v>60.8</v>
      </c>
      <c r="L185" s="91">
        <f t="shared" si="15"/>
        <v>0</v>
      </c>
      <c r="M185" s="310"/>
      <c r="N185" s="87"/>
    </row>
    <row r="186" spans="1:14" x14ac:dyDescent="0.2">
      <c r="A186" s="524"/>
      <c r="B186" s="53" t="s">
        <v>967</v>
      </c>
      <c r="C186" s="106" t="s">
        <v>968</v>
      </c>
      <c r="D186" s="107" t="s">
        <v>969</v>
      </c>
      <c r="E186" s="107" t="s">
        <v>970</v>
      </c>
      <c r="F186" s="107" t="s">
        <v>77</v>
      </c>
      <c r="G186" s="107">
        <v>6</v>
      </c>
      <c r="H186" s="8"/>
      <c r="I186" s="3"/>
      <c r="J186" s="17"/>
      <c r="K186" s="309">
        <v>79.92</v>
      </c>
      <c r="L186" s="91">
        <f t="shared" si="15"/>
        <v>0</v>
      </c>
      <c r="M186" s="310">
        <f>K186/2</f>
        <v>39.96</v>
      </c>
      <c r="N186" s="87">
        <f>K186/2000*10</f>
        <v>0.39960000000000001</v>
      </c>
    </row>
    <row r="187" spans="1:14" x14ac:dyDescent="0.2">
      <c r="A187" s="524"/>
      <c r="B187" s="53" t="s">
        <v>971</v>
      </c>
      <c r="C187" s="106">
        <v>57577</v>
      </c>
      <c r="D187" s="107" t="s">
        <v>752</v>
      </c>
      <c r="E187" s="107" t="s">
        <v>355</v>
      </c>
      <c r="F187" s="107" t="s">
        <v>77</v>
      </c>
      <c r="G187" s="107">
        <v>3</v>
      </c>
      <c r="H187" s="8"/>
      <c r="I187" s="3"/>
      <c r="J187" s="17"/>
      <c r="K187" s="309">
        <v>30.45</v>
      </c>
      <c r="L187" s="91">
        <f t="shared" si="15"/>
        <v>0</v>
      </c>
      <c r="M187" s="310">
        <f>K187/9</f>
        <v>3.3833333333333333</v>
      </c>
      <c r="N187" s="87">
        <f>K187/2000*25</f>
        <v>0.38062499999999999</v>
      </c>
    </row>
    <row r="188" spans="1:14" x14ac:dyDescent="0.2">
      <c r="A188" s="524"/>
      <c r="B188" s="53" t="s">
        <v>972</v>
      </c>
      <c r="C188" s="106">
        <v>104807</v>
      </c>
      <c r="D188" s="107" t="s">
        <v>752</v>
      </c>
      <c r="E188" s="107" t="s">
        <v>973</v>
      </c>
      <c r="F188" s="107" t="s">
        <v>77</v>
      </c>
      <c r="G188" s="107">
        <v>3</v>
      </c>
      <c r="H188" s="8"/>
      <c r="I188" s="3"/>
      <c r="J188" s="17"/>
      <c r="K188" s="309">
        <v>32.85</v>
      </c>
      <c r="L188" s="91">
        <f t="shared" si="15"/>
        <v>0</v>
      </c>
      <c r="M188" s="310"/>
      <c r="N188" s="87"/>
    </row>
    <row r="189" spans="1:14" x14ac:dyDescent="0.2">
      <c r="A189" s="524"/>
      <c r="B189" s="53" t="s">
        <v>974</v>
      </c>
      <c r="C189" s="106">
        <v>162607</v>
      </c>
      <c r="D189" s="107" t="s">
        <v>485</v>
      </c>
      <c r="E189" s="107" t="s">
        <v>975</v>
      </c>
      <c r="F189" s="107" t="s">
        <v>77</v>
      </c>
      <c r="G189" s="107">
        <v>6</v>
      </c>
      <c r="H189" s="8"/>
      <c r="I189" s="3"/>
      <c r="J189" s="17"/>
      <c r="K189" s="309">
        <v>139.68</v>
      </c>
      <c r="L189" s="91">
        <f t="shared" si="15"/>
        <v>0</v>
      </c>
      <c r="M189" s="310">
        <f>K189/2</f>
        <v>69.84</v>
      </c>
      <c r="N189" s="87">
        <f>K189/9000*25</f>
        <v>0.38800000000000001</v>
      </c>
    </row>
    <row r="190" spans="1:14" x14ac:dyDescent="0.2">
      <c r="A190" s="524"/>
      <c r="B190" s="53" t="s">
        <v>976</v>
      </c>
      <c r="C190" s="106">
        <v>181926</v>
      </c>
      <c r="D190" s="107" t="s">
        <v>977</v>
      </c>
      <c r="E190" s="107" t="s">
        <v>978</v>
      </c>
      <c r="F190" s="107" t="s">
        <v>77</v>
      </c>
      <c r="G190" s="107">
        <v>6</v>
      </c>
      <c r="H190" s="8"/>
      <c r="I190" s="3"/>
      <c r="J190" s="17"/>
      <c r="K190" s="309">
        <v>50.76</v>
      </c>
      <c r="L190" s="91">
        <f t="shared" si="15"/>
        <v>0</v>
      </c>
      <c r="M190" s="310"/>
      <c r="N190" s="87"/>
    </row>
    <row r="191" spans="1:14" x14ac:dyDescent="0.2">
      <c r="A191" s="524"/>
      <c r="B191" s="53" t="s">
        <v>979</v>
      </c>
      <c r="C191" s="106">
        <v>78585</v>
      </c>
      <c r="D191" s="107" t="s">
        <v>752</v>
      </c>
      <c r="E191" s="107" t="s">
        <v>980</v>
      </c>
      <c r="F191" s="107" t="s">
        <v>77</v>
      </c>
      <c r="G191" s="107">
        <v>6</v>
      </c>
      <c r="H191" s="8"/>
      <c r="I191" s="3"/>
      <c r="J191" s="17"/>
      <c r="K191" s="309">
        <v>79.319999999999993</v>
      </c>
      <c r="L191" s="91">
        <f t="shared" si="15"/>
        <v>0</v>
      </c>
      <c r="M191" s="310">
        <f>K191/13.2</f>
        <v>6.0090909090909088</v>
      </c>
      <c r="N191" s="87">
        <f>K191/13200*25</f>
        <v>0.15022727272727271</v>
      </c>
    </row>
    <row r="192" spans="1:14" x14ac:dyDescent="0.2">
      <c r="A192" s="524"/>
      <c r="B192" s="53" t="s">
        <v>981</v>
      </c>
      <c r="C192" s="106">
        <v>6530</v>
      </c>
      <c r="D192" s="107" t="s">
        <v>977</v>
      </c>
      <c r="E192" s="107" t="s">
        <v>982</v>
      </c>
      <c r="F192" s="107" t="s">
        <v>77</v>
      </c>
      <c r="G192" s="107">
        <v>6</v>
      </c>
      <c r="H192" s="8"/>
      <c r="I192" s="3"/>
      <c r="J192" s="17"/>
      <c r="K192" s="309">
        <v>55.08</v>
      </c>
      <c r="L192" s="91">
        <f t="shared" si="15"/>
        <v>0</v>
      </c>
      <c r="M192" s="310">
        <f>K192/9</f>
        <v>6.12</v>
      </c>
      <c r="N192" s="87">
        <f>K192/9000*25</f>
        <v>0.153</v>
      </c>
    </row>
    <row r="193" spans="1:14" x14ac:dyDescent="0.2">
      <c r="A193" s="524"/>
      <c r="B193" s="53" t="s">
        <v>983</v>
      </c>
      <c r="C193" s="106">
        <v>800</v>
      </c>
      <c r="D193" s="107" t="s">
        <v>892</v>
      </c>
      <c r="E193" s="107" t="s">
        <v>984</v>
      </c>
      <c r="F193" s="107" t="s">
        <v>77</v>
      </c>
      <c r="G193" s="107">
        <v>6</v>
      </c>
      <c r="H193" s="8"/>
      <c r="I193" s="3"/>
      <c r="J193" s="17"/>
      <c r="K193" s="309">
        <v>106.98</v>
      </c>
      <c r="L193" s="91">
        <f>K193*J193</f>
        <v>0</v>
      </c>
      <c r="M193" s="310">
        <f>K193/4.5</f>
        <v>23.773333333333333</v>
      </c>
      <c r="N193" s="87">
        <f>K193/4500*15</f>
        <v>0.35660000000000003</v>
      </c>
    </row>
    <row r="194" spans="1:14" x14ac:dyDescent="0.2">
      <c r="A194" s="524"/>
      <c r="B194" s="53" t="s">
        <v>985</v>
      </c>
      <c r="C194" s="106">
        <v>210784</v>
      </c>
      <c r="D194" s="107" t="s">
        <v>969</v>
      </c>
      <c r="E194" s="107" t="s">
        <v>980</v>
      </c>
      <c r="F194" s="107" t="s">
        <v>77</v>
      </c>
      <c r="G194" s="107">
        <v>6</v>
      </c>
      <c r="H194" s="8"/>
      <c r="I194" s="3"/>
      <c r="J194" s="17"/>
      <c r="K194" s="309">
        <v>60.48</v>
      </c>
      <c r="L194" s="91">
        <f t="shared" si="15"/>
        <v>0</v>
      </c>
      <c r="M194" s="310">
        <f>K194/12</f>
        <v>5.04</v>
      </c>
      <c r="N194" s="87">
        <f>K194/12000*25</f>
        <v>0.12599999999999997</v>
      </c>
    </row>
    <row r="195" spans="1:14" x14ac:dyDescent="0.2">
      <c r="A195" s="524"/>
      <c r="B195" s="53" t="s">
        <v>986</v>
      </c>
      <c r="C195" s="106">
        <v>21907</v>
      </c>
      <c r="D195" s="107" t="s">
        <v>987</v>
      </c>
      <c r="E195" s="107" t="s">
        <v>988</v>
      </c>
      <c r="F195" s="107" t="s">
        <v>77</v>
      </c>
      <c r="G195" s="107">
        <v>6</v>
      </c>
      <c r="H195" s="8"/>
      <c r="I195" s="3"/>
      <c r="J195" s="17"/>
      <c r="K195" s="309">
        <v>65.34</v>
      </c>
      <c r="L195" s="91">
        <f t="shared" si="15"/>
        <v>0</v>
      </c>
      <c r="M195" s="310">
        <f>K195/15.6</f>
        <v>4.1884615384615387</v>
      </c>
      <c r="N195" s="87">
        <f>K195/15600*15</f>
        <v>6.2826923076923072E-2</v>
      </c>
    </row>
    <row r="196" spans="1:14" x14ac:dyDescent="0.2">
      <c r="A196" s="524"/>
      <c r="B196" s="53" t="s">
        <v>989</v>
      </c>
      <c r="C196" s="106">
        <v>161172</v>
      </c>
      <c r="D196" s="107" t="s">
        <v>990</v>
      </c>
      <c r="E196" s="107" t="s">
        <v>991</v>
      </c>
      <c r="F196" s="107" t="s">
        <v>77</v>
      </c>
      <c r="G196" s="107">
        <v>6</v>
      </c>
      <c r="H196" s="8"/>
      <c r="I196" s="3"/>
      <c r="J196" s="17"/>
      <c r="K196" s="309">
        <v>150.47999999999999</v>
      </c>
      <c r="L196" s="91"/>
      <c r="M196" s="310"/>
      <c r="N196" s="87"/>
    </row>
    <row r="197" spans="1:14" x14ac:dyDescent="0.2">
      <c r="A197" s="524"/>
      <c r="B197" s="53" t="s">
        <v>992</v>
      </c>
      <c r="C197" s="106">
        <v>22153</v>
      </c>
      <c r="D197" s="107" t="s">
        <v>892</v>
      </c>
      <c r="E197" s="107" t="s">
        <v>993</v>
      </c>
      <c r="F197" s="107" t="s">
        <v>77</v>
      </c>
      <c r="G197" s="107">
        <v>6</v>
      </c>
      <c r="H197" s="8"/>
      <c r="I197" s="3"/>
      <c r="J197" s="17"/>
      <c r="K197" s="309">
        <v>77.459999999999994</v>
      </c>
      <c r="L197" s="91">
        <f t="shared" si="15"/>
        <v>0</v>
      </c>
      <c r="M197" s="310">
        <f>K197/1050</f>
        <v>7.3771428571428571E-2</v>
      </c>
      <c r="N197" s="87">
        <f>K197/1050*15</f>
        <v>1.1065714285714285</v>
      </c>
    </row>
    <row r="198" spans="1:14" x14ac:dyDescent="0.2">
      <c r="A198" s="524"/>
      <c r="B198" s="53" t="s">
        <v>994</v>
      </c>
      <c r="C198" s="106">
        <v>22160</v>
      </c>
      <c r="D198" s="107" t="s">
        <v>892</v>
      </c>
      <c r="E198" s="107" t="s">
        <v>995</v>
      </c>
      <c r="F198" s="107" t="s">
        <v>77</v>
      </c>
      <c r="G198" s="107">
        <v>6</v>
      </c>
      <c r="H198" s="8"/>
      <c r="I198" s="3"/>
      <c r="J198" s="17"/>
      <c r="K198" s="309">
        <v>140.88</v>
      </c>
      <c r="L198" s="91">
        <f t="shared" si="15"/>
        <v>0</v>
      </c>
      <c r="M198" s="310">
        <f>K198/3</f>
        <v>46.96</v>
      </c>
      <c r="N198" s="87">
        <f>K198/3000*15</f>
        <v>0.70440000000000003</v>
      </c>
    </row>
    <row r="199" spans="1:14" ht="17" thickBot="1" x14ac:dyDescent="0.25">
      <c r="A199" s="524"/>
      <c r="B199" s="53" t="s">
        <v>996</v>
      </c>
      <c r="C199" s="106">
        <v>58246</v>
      </c>
      <c r="D199" s="107" t="s">
        <v>997</v>
      </c>
      <c r="E199" s="107" t="s">
        <v>998</v>
      </c>
      <c r="F199" s="107" t="s">
        <v>77</v>
      </c>
      <c r="G199" s="107">
        <v>10</v>
      </c>
      <c r="H199" s="8"/>
      <c r="I199" s="3"/>
      <c r="J199" s="17"/>
      <c r="K199" s="309">
        <v>21.1</v>
      </c>
      <c r="L199" s="91">
        <f t="shared" si="15"/>
        <v>0</v>
      </c>
      <c r="M199" s="310">
        <f>K199/2.5</f>
        <v>8.4400000000000013</v>
      </c>
      <c r="N199" s="87">
        <f>K199/2500*15</f>
        <v>0.12660000000000002</v>
      </c>
    </row>
    <row r="200" spans="1:14" ht="35" thickBot="1" x14ac:dyDescent="0.25">
      <c r="B200" s="324" t="s">
        <v>999</v>
      </c>
      <c r="C200" s="304" t="s">
        <v>65</v>
      </c>
      <c r="D200" s="305" t="s">
        <v>696</v>
      </c>
      <c r="E200" s="305" t="s">
        <v>697</v>
      </c>
      <c r="F200" s="305" t="s">
        <v>348</v>
      </c>
      <c r="G200" s="305" t="s">
        <v>349</v>
      </c>
      <c r="H200" s="278" t="s">
        <v>67</v>
      </c>
      <c r="I200" s="278" t="s">
        <v>68</v>
      </c>
      <c r="J200" s="278" t="s">
        <v>69</v>
      </c>
      <c r="K200" s="279" t="s">
        <v>70</v>
      </c>
      <c r="L200" s="280" t="s">
        <v>25</v>
      </c>
      <c r="M200" s="310"/>
      <c r="N200" s="87"/>
    </row>
    <row r="201" spans="1:14" x14ac:dyDescent="0.2">
      <c r="A201" s="524"/>
      <c r="B201" s="53" t="s">
        <v>1000</v>
      </c>
      <c r="C201" s="106">
        <v>127161</v>
      </c>
      <c r="D201" s="107" t="s">
        <v>1001</v>
      </c>
      <c r="E201" s="107" t="s">
        <v>1002</v>
      </c>
      <c r="F201" s="107" t="s">
        <v>873</v>
      </c>
      <c r="G201" s="107">
        <v>1</v>
      </c>
      <c r="H201" s="8"/>
      <c r="I201" s="3"/>
      <c r="J201" s="17"/>
      <c r="K201" s="309">
        <v>70.05</v>
      </c>
      <c r="L201" s="91">
        <f>K201*J201</f>
        <v>0</v>
      </c>
      <c r="M201" s="310">
        <f>K201/8</f>
        <v>8.7562499999999996</v>
      </c>
      <c r="N201" s="87">
        <f>K201/8000*5</f>
        <v>4.3781250000000001E-2</v>
      </c>
    </row>
    <row r="202" spans="1:14" x14ac:dyDescent="0.2">
      <c r="A202" s="524"/>
      <c r="B202" s="53" t="s">
        <v>1003</v>
      </c>
      <c r="C202" s="106">
        <v>127159</v>
      </c>
      <c r="D202" s="107" t="s">
        <v>1001</v>
      </c>
      <c r="E202" s="107" t="s">
        <v>1004</v>
      </c>
      <c r="F202" s="107" t="s">
        <v>880</v>
      </c>
      <c r="G202" s="107">
        <v>1</v>
      </c>
      <c r="H202" s="8"/>
      <c r="I202" s="3"/>
      <c r="J202" s="17"/>
      <c r="K202" s="309">
        <v>70.05</v>
      </c>
      <c r="L202" s="91">
        <f>K202*J202</f>
        <v>0</v>
      </c>
      <c r="M202" s="310">
        <f>K202/8</f>
        <v>8.7562499999999996</v>
      </c>
      <c r="N202" s="87">
        <f>K202/8000*5</f>
        <v>4.3781250000000001E-2</v>
      </c>
    </row>
    <row r="203" spans="1:14" x14ac:dyDescent="0.2">
      <c r="A203" s="524"/>
      <c r="B203" s="53" t="s">
        <v>1005</v>
      </c>
      <c r="C203" s="106">
        <v>115165</v>
      </c>
      <c r="D203" s="107" t="s">
        <v>1006</v>
      </c>
      <c r="E203" s="107" t="s">
        <v>1007</v>
      </c>
      <c r="F203" s="107" t="s">
        <v>880</v>
      </c>
      <c r="G203" s="107">
        <v>1</v>
      </c>
      <c r="H203" s="8"/>
      <c r="I203" s="3"/>
      <c r="J203" s="17"/>
      <c r="K203" s="309">
        <v>28.35</v>
      </c>
      <c r="L203" s="91">
        <f>K203*J203</f>
        <v>0</v>
      </c>
      <c r="M203" s="310">
        <f>K203/2.4</f>
        <v>11.812500000000002</v>
      </c>
      <c r="N203" s="87">
        <f>K203/2400*5</f>
        <v>5.9062500000000004E-2</v>
      </c>
    </row>
    <row r="204" spans="1:14" x14ac:dyDescent="0.2">
      <c r="A204" s="524"/>
      <c r="B204" s="53" t="s">
        <v>1008</v>
      </c>
      <c r="C204" s="106">
        <v>191375</v>
      </c>
      <c r="D204" s="107" t="s">
        <v>1006</v>
      </c>
      <c r="E204" s="107" t="s">
        <v>1009</v>
      </c>
      <c r="F204" s="107" t="s">
        <v>880</v>
      </c>
      <c r="G204" s="107">
        <v>1</v>
      </c>
      <c r="H204" s="8"/>
      <c r="I204" s="3"/>
      <c r="J204" s="17"/>
      <c r="K204" s="486">
        <v>76.510000000000005</v>
      </c>
      <c r="L204" s="91">
        <f t="shared" si="15"/>
        <v>0</v>
      </c>
      <c r="M204" s="310">
        <f>K204/6</f>
        <v>12.751666666666667</v>
      </c>
      <c r="N204" s="87">
        <f>K204/6000*7</f>
        <v>8.9261666666666684E-2</v>
      </c>
    </row>
    <row r="205" spans="1:14" ht="17" thickBot="1" x14ac:dyDescent="0.25">
      <c r="A205" s="524"/>
      <c r="B205" s="53" t="s">
        <v>1010</v>
      </c>
      <c r="C205" s="106">
        <v>90255</v>
      </c>
      <c r="D205" s="107" t="s">
        <v>1011</v>
      </c>
      <c r="E205" s="107" t="s">
        <v>1012</v>
      </c>
      <c r="F205" s="107" t="s">
        <v>880</v>
      </c>
      <c r="G205" s="107">
        <v>1</v>
      </c>
      <c r="H205" s="8"/>
      <c r="I205" s="3"/>
      <c r="J205" s="17"/>
      <c r="K205" s="309">
        <v>85.89</v>
      </c>
      <c r="L205" s="91">
        <f t="shared" si="15"/>
        <v>0</v>
      </c>
      <c r="M205" s="310">
        <f>K205/7.5</f>
        <v>11.452</v>
      </c>
      <c r="N205" s="87">
        <f>K205/7500*7</f>
        <v>8.0163999999999999E-2</v>
      </c>
    </row>
    <row r="206" spans="1:14" ht="35" thickBot="1" x14ac:dyDescent="0.25">
      <c r="B206" s="324" t="s">
        <v>1013</v>
      </c>
      <c r="C206" s="304" t="s">
        <v>65</v>
      </c>
      <c r="D206" s="305" t="s">
        <v>696</v>
      </c>
      <c r="E206" s="305" t="s">
        <v>697</v>
      </c>
      <c r="F206" s="305" t="s">
        <v>348</v>
      </c>
      <c r="G206" s="305" t="s">
        <v>349</v>
      </c>
      <c r="H206" s="278" t="s">
        <v>67</v>
      </c>
      <c r="I206" s="278" t="s">
        <v>68</v>
      </c>
      <c r="J206" s="278" t="s">
        <v>69</v>
      </c>
      <c r="K206" s="279" t="s">
        <v>70</v>
      </c>
      <c r="L206" s="280" t="s">
        <v>25</v>
      </c>
      <c r="M206" s="310"/>
      <c r="N206" s="87"/>
    </row>
    <row r="207" spans="1:14" x14ac:dyDescent="0.2">
      <c r="A207" s="524"/>
      <c r="B207" s="53" t="s">
        <v>1014</v>
      </c>
      <c r="C207" s="106">
        <v>55733</v>
      </c>
      <c r="D207" s="107" t="s">
        <v>351</v>
      </c>
      <c r="E207" s="107" t="s">
        <v>1015</v>
      </c>
      <c r="F207" s="107" t="s">
        <v>466</v>
      </c>
      <c r="G207" s="107"/>
      <c r="H207" s="8"/>
      <c r="I207" s="3"/>
      <c r="J207" s="17"/>
      <c r="K207" s="309">
        <v>3.22</v>
      </c>
      <c r="L207" s="91">
        <f t="shared" si="15"/>
        <v>0</v>
      </c>
      <c r="M207" s="310">
        <f>K207/1</f>
        <v>3.22</v>
      </c>
      <c r="N207" s="87">
        <f>K207/1000*3</f>
        <v>9.6600000000000002E-3</v>
      </c>
    </row>
    <row r="208" spans="1:14" x14ac:dyDescent="0.2">
      <c r="A208" s="524"/>
      <c r="B208" s="53" t="s">
        <v>1016</v>
      </c>
      <c r="C208" s="106">
        <v>55730</v>
      </c>
      <c r="D208" s="107" t="s">
        <v>351</v>
      </c>
      <c r="E208" s="107" t="s">
        <v>1017</v>
      </c>
      <c r="F208" s="107" t="s">
        <v>466</v>
      </c>
      <c r="G208" s="107"/>
      <c r="H208" s="8"/>
      <c r="I208" s="3"/>
      <c r="J208" s="17"/>
      <c r="K208" s="309">
        <v>5.55</v>
      </c>
      <c r="L208" s="91">
        <f t="shared" si="15"/>
        <v>0</v>
      </c>
      <c r="M208" s="310">
        <f>K208*1.1</f>
        <v>6.1050000000000004</v>
      </c>
      <c r="N208" s="87">
        <f>K208/1000*1</f>
        <v>5.5500000000000002E-3</v>
      </c>
    </row>
    <row r="209" spans="1:14" x14ac:dyDescent="0.2">
      <c r="A209" s="524"/>
      <c r="B209" s="53" t="s">
        <v>1018</v>
      </c>
      <c r="C209" s="106">
        <v>202053</v>
      </c>
      <c r="D209" s="107" t="s">
        <v>826</v>
      </c>
      <c r="E209" s="107" t="s">
        <v>1019</v>
      </c>
      <c r="F209" s="107" t="s">
        <v>466</v>
      </c>
      <c r="G209" s="107"/>
      <c r="H209" s="8"/>
      <c r="I209" s="3"/>
      <c r="J209" s="17"/>
      <c r="K209" s="309">
        <v>9.99</v>
      </c>
      <c r="L209" s="91">
        <f t="shared" ref="L209" si="19">K209*J209</f>
        <v>0</v>
      </c>
    </row>
    <row r="210" spans="1:14" x14ac:dyDescent="0.2">
      <c r="A210" s="524"/>
      <c r="B210" s="53" t="s">
        <v>1020</v>
      </c>
      <c r="C210" s="106">
        <v>4075</v>
      </c>
      <c r="D210" s="107" t="s">
        <v>1021</v>
      </c>
      <c r="E210" s="107" t="s">
        <v>381</v>
      </c>
      <c r="F210" s="107" t="s">
        <v>466</v>
      </c>
      <c r="G210" s="107"/>
      <c r="H210" s="8"/>
      <c r="I210" s="3"/>
      <c r="J210" s="17"/>
      <c r="K210" s="309">
        <v>26.14</v>
      </c>
      <c r="L210" s="91">
        <f t="shared" si="15"/>
        <v>0</v>
      </c>
      <c r="M210" s="310">
        <f>K210*2.2</f>
        <v>57.508000000000003</v>
      </c>
      <c r="N210" s="87">
        <f>K210/450*3</f>
        <v>0.17426666666666668</v>
      </c>
    </row>
    <row r="211" spans="1:14" x14ac:dyDescent="0.2">
      <c r="A211" s="524"/>
      <c r="B211" s="53" t="s">
        <v>1022</v>
      </c>
      <c r="C211" s="106">
        <v>55734</v>
      </c>
      <c r="D211" s="107" t="s">
        <v>351</v>
      </c>
      <c r="E211" s="107" t="s">
        <v>703</v>
      </c>
      <c r="F211" s="107" t="s">
        <v>466</v>
      </c>
      <c r="G211" s="107"/>
      <c r="H211" s="8"/>
      <c r="I211" s="3"/>
      <c r="J211" s="17"/>
      <c r="K211" s="326">
        <v>13.99</v>
      </c>
      <c r="L211" s="91">
        <f>K211*J211</f>
        <v>0</v>
      </c>
      <c r="M211" s="310">
        <f>K211/1</f>
        <v>13.99</v>
      </c>
      <c r="N211" s="87">
        <f>K211/900*3</f>
        <v>4.6633333333333332E-2</v>
      </c>
    </row>
    <row r="212" spans="1:14" x14ac:dyDescent="0.2">
      <c r="A212" s="524"/>
      <c r="B212" s="53" t="s">
        <v>1023</v>
      </c>
      <c r="C212" s="106">
        <v>166920</v>
      </c>
      <c r="D212" s="107" t="s">
        <v>1024</v>
      </c>
      <c r="E212" s="107" t="s">
        <v>1025</v>
      </c>
      <c r="F212" s="107" t="s">
        <v>466</v>
      </c>
      <c r="G212" s="107"/>
      <c r="H212" s="8"/>
      <c r="I212" s="3"/>
      <c r="J212" s="17"/>
      <c r="K212" s="326">
        <v>8.1</v>
      </c>
      <c r="L212" s="91">
        <f t="shared" ref="L212:L272" si="20">K212*J212</f>
        <v>0</v>
      </c>
      <c r="M212" s="310"/>
      <c r="N212" s="87"/>
    </row>
    <row r="213" spans="1:14" x14ac:dyDescent="0.2">
      <c r="A213" s="524"/>
      <c r="B213" s="53" t="s">
        <v>1026</v>
      </c>
      <c r="C213" s="106">
        <v>168375</v>
      </c>
      <c r="D213" s="107" t="s">
        <v>826</v>
      </c>
      <c r="E213" s="107" t="s">
        <v>770</v>
      </c>
      <c r="F213" s="107" t="s">
        <v>466</v>
      </c>
      <c r="G213" s="107"/>
      <c r="H213" s="8"/>
      <c r="I213" s="3"/>
      <c r="J213" s="17"/>
      <c r="K213" s="326">
        <v>8.1</v>
      </c>
      <c r="L213" s="91">
        <f t="shared" si="20"/>
        <v>0</v>
      </c>
      <c r="M213" s="310"/>
      <c r="N213" s="87"/>
    </row>
    <row r="214" spans="1:14" x14ac:dyDescent="0.2">
      <c r="A214" s="524"/>
      <c r="B214" s="53" t="s">
        <v>1027</v>
      </c>
      <c r="C214" s="106">
        <v>87020</v>
      </c>
      <c r="D214" s="107" t="s">
        <v>351</v>
      </c>
      <c r="E214" s="107" t="s">
        <v>377</v>
      </c>
      <c r="F214" s="107" t="s">
        <v>466</v>
      </c>
      <c r="G214" s="107"/>
      <c r="H214" s="8"/>
      <c r="I214" s="3"/>
      <c r="J214" s="17"/>
      <c r="K214" s="309">
        <v>5.34</v>
      </c>
      <c r="L214" s="91">
        <f t="shared" si="20"/>
        <v>0</v>
      </c>
      <c r="M214" s="310">
        <f>K214*2.5</f>
        <v>13.35</v>
      </c>
      <c r="N214" s="87">
        <f>K214/400*3</f>
        <v>4.0049999999999995E-2</v>
      </c>
    </row>
    <row r="215" spans="1:14" x14ac:dyDescent="0.2">
      <c r="A215" s="524"/>
      <c r="B215" s="53" t="s">
        <v>1028</v>
      </c>
      <c r="C215" s="106">
        <v>15947</v>
      </c>
      <c r="D215" s="107" t="s">
        <v>761</v>
      </c>
      <c r="E215" s="107" t="s">
        <v>1029</v>
      </c>
      <c r="F215" s="107" t="s">
        <v>466</v>
      </c>
      <c r="G215" s="107"/>
      <c r="H215" s="8"/>
      <c r="I215" s="3"/>
      <c r="J215" s="17"/>
      <c r="K215" s="309">
        <v>12.47</v>
      </c>
      <c r="L215" s="91">
        <f t="shared" si="20"/>
        <v>0</v>
      </c>
      <c r="M215" s="310">
        <v>6.38</v>
      </c>
      <c r="N215" s="87">
        <f>K215/6000*5</f>
        <v>1.0391666666666667E-2</v>
      </c>
    </row>
    <row r="216" spans="1:14" x14ac:dyDescent="0.2">
      <c r="A216" s="524"/>
      <c r="B216" s="53" t="s">
        <v>1030</v>
      </c>
      <c r="C216" s="106">
        <v>187536</v>
      </c>
      <c r="D216" s="107" t="s">
        <v>351</v>
      </c>
      <c r="E216" s="107" t="s">
        <v>377</v>
      </c>
      <c r="F216" s="107" t="s">
        <v>466</v>
      </c>
      <c r="G216" s="107"/>
      <c r="H216" s="8"/>
      <c r="I216" s="3"/>
      <c r="J216" s="17"/>
      <c r="K216" s="309">
        <v>11.66</v>
      </c>
      <c r="L216" s="91">
        <f t="shared" si="20"/>
        <v>0</v>
      </c>
      <c r="M216" s="310">
        <f>K216/1</f>
        <v>11.66</v>
      </c>
      <c r="N216" s="87">
        <f>K216/1000*3</f>
        <v>3.4979999999999997E-2</v>
      </c>
    </row>
    <row r="217" spans="1:14" x14ac:dyDescent="0.2">
      <c r="A217" s="524"/>
      <c r="B217" s="53" t="s">
        <v>1031</v>
      </c>
      <c r="C217" s="106">
        <v>8609</v>
      </c>
      <c r="D217" s="107" t="s">
        <v>761</v>
      </c>
      <c r="E217" s="327" t="s">
        <v>1032</v>
      </c>
      <c r="F217" s="107" t="s">
        <v>466</v>
      </c>
      <c r="G217" s="327"/>
      <c r="H217" s="8"/>
      <c r="I217" s="3"/>
      <c r="J217" s="17"/>
      <c r="K217" s="309">
        <v>15.34</v>
      </c>
      <c r="L217" s="91">
        <f t="shared" si="20"/>
        <v>0</v>
      </c>
      <c r="M217" s="310">
        <f t="shared" ref="M217:M255" si="21">K217/2.4</f>
        <v>6.3916666666666666</v>
      </c>
      <c r="N217" s="87">
        <f>K217/1000*10</f>
        <v>0.15339999999999998</v>
      </c>
    </row>
    <row r="218" spans="1:14" x14ac:dyDescent="0.2">
      <c r="A218" s="524"/>
      <c r="B218" s="53" t="s">
        <v>1033</v>
      </c>
      <c r="C218" s="106">
        <v>167747</v>
      </c>
      <c r="D218" s="107" t="s">
        <v>826</v>
      </c>
      <c r="E218" s="107" t="s">
        <v>1034</v>
      </c>
      <c r="F218" s="107" t="s">
        <v>466</v>
      </c>
      <c r="G218" s="107"/>
      <c r="H218" s="8"/>
      <c r="I218" s="3"/>
      <c r="J218" s="17"/>
      <c r="K218" s="309">
        <v>12.69</v>
      </c>
      <c r="L218" s="91">
        <f t="shared" si="20"/>
        <v>0</v>
      </c>
      <c r="M218" s="310">
        <f>K218*1.667</f>
        <v>21.154229999999998</v>
      </c>
      <c r="N218" s="87">
        <f>K218/3600*3</f>
        <v>1.0574999999999999E-2</v>
      </c>
    </row>
    <row r="219" spans="1:14" x14ac:dyDescent="0.2">
      <c r="A219" s="524"/>
      <c r="B219" s="53" t="s">
        <v>1035</v>
      </c>
      <c r="C219" s="106">
        <v>55745</v>
      </c>
      <c r="D219" s="107" t="s">
        <v>351</v>
      </c>
      <c r="E219" s="107" t="s">
        <v>1019</v>
      </c>
      <c r="F219" s="107" t="s">
        <v>466</v>
      </c>
      <c r="G219" s="107"/>
      <c r="H219" s="8"/>
      <c r="I219" s="3"/>
      <c r="J219" s="17"/>
      <c r="K219" s="309">
        <v>7.02</v>
      </c>
      <c r="L219" s="91">
        <f t="shared" si="20"/>
        <v>0</v>
      </c>
      <c r="M219" s="310">
        <f>K219*2</f>
        <v>14.04</v>
      </c>
      <c r="N219" s="87">
        <f>K219/500*2</f>
        <v>2.8079999999999997E-2</v>
      </c>
    </row>
    <row r="220" spans="1:14" x14ac:dyDescent="0.2">
      <c r="A220" s="524"/>
      <c r="B220" s="53" t="s">
        <v>1036</v>
      </c>
      <c r="C220" s="106">
        <v>55748</v>
      </c>
      <c r="D220" s="107" t="s">
        <v>351</v>
      </c>
      <c r="E220" s="107" t="s">
        <v>703</v>
      </c>
      <c r="F220" s="107" t="s">
        <v>466</v>
      </c>
      <c r="G220" s="107"/>
      <c r="H220" s="8"/>
      <c r="I220" s="3"/>
      <c r="J220" s="17"/>
      <c r="K220" s="309">
        <v>14.01</v>
      </c>
      <c r="L220" s="91">
        <f t="shared" si="20"/>
        <v>0</v>
      </c>
      <c r="M220" s="310">
        <f>K220/2.1</f>
        <v>6.6714285714285708</v>
      </c>
      <c r="N220" s="87">
        <f>K220/2100*3</f>
        <v>2.0014285714285714E-2</v>
      </c>
    </row>
    <row r="221" spans="1:14" x14ac:dyDescent="0.2">
      <c r="A221" s="524"/>
      <c r="B221" s="53" t="s">
        <v>1037</v>
      </c>
      <c r="C221" s="106">
        <v>55747</v>
      </c>
      <c r="D221" s="107" t="s">
        <v>351</v>
      </c>
      <c r="E221" s="107" t="s">
        <v>703</v>
      </c>
      <c r="F221" s="107" t="s">
        <v>466</v>
      </c>
      <c r="G221" s="107"/>
      <c r="H221" s="8"/>
      <c r="I221" s="3"/>
      <c r="J221" s="17"/>
      <c r="K221" s="309">
        <v>11.99</v>
      </c>
      <c r="L221" s="91">
        <f t="shared" si="20"/>
        <v>0</v>
      </c>
      <c r="M221" s="310"/>
      <c r="N221" s="87"/>
    </row>
    <row r="222" spans="1:14" x14ac:dyDescent="0.2">
      <c r="A222" s="524"/>
      <c r="B222" s="53" t="s">
        <v>1038</v>
      </c>
      <c r="C222" s="106">
        <v>80598</v>
      </c>
      <c r="D222" s="327" t="s">
        <v>1039</v>
      </c>
      <c r="E222" s="327" t="s">
        <v>1040</v>
      </c>
      <c r="F222" s="107" t="s">
        <v>466</v>
      </c>
      <c r="G222" s="327"/>
      <c r="H222" s="8"/>
      <c r="I222" s="3"/>
      <c r="J222" s="17"/>
      <c r="K222" s="309">
        <v>22.44</v>
      </c>
      <c r="L222" s="91">
        <f t="shared" si="20"/>
        <v>0</v>
      </c>
      <c r="M222" s="310">
        <f>K222/2.1</f>
        <v>10.685714285714285</v>
      </c>
      <c r="N222" s="87">
        <f>K222/2100*3</f>
        <v>3.205714285714286E-2</v>
      </c>
    </row>
    <row r="223" spans="1:14" x14ac:dyDescent="0.2">
      <c r="A223" s="524"/>
      <c r="B223" s="53" t="s">
        <v>1041</v>
      </c>
      <c r="C223" s="106">
        <v>63777</v>
      </c>
      <c r="D223" s="327" t="s">
        <v>1039</v>
      </c>
      <c r="E223" s="327" t="s">
        <v>1040</v>
      </c>
      <c r="F223" s="107" t="s">
        <v>466</v>
      </c>
      <c r="G223" s="327"/>
      <c r="H223" s="8"/>
      <c r="I223" s="3"/>
      <c r="J223" s="17"/>
      <c r="K223" s="326">
        <v>22.44</v>
      </c>
      <c r="L223" s="91">
        <f t="shared" si="20"/>
        <v>0</v>
      </c>
      <c r="M223" s="310">
        <f>K223/3.81</f>
        <v>5.8897637795275593</v>
      </c>
      <c r="N223" s="87">
        <f>K223/4200*5</f>
        <v>2.6714285714285715E-2</v>
      </c>
    </row>
    <row r="224" spans="1:14" x14ac:dyDescent="0.2">
      <c r="A224" s="524"/>
      <c r="B224" s="53" t="s">
        <v>1042</v>
      </c>
      <c r="C224" s="106">
        <v>147963</v>
      </c>
      <c r="D224" s="107" t="s">
        <v>1043</v>
      </c>
      <c r="E224" s="327" t="s">
        <v>1044</v>
      </c>
      <c r="F224" s="107" t="s">
        <v>466</v>
      </c>
      <c r="G224" s="327"/>
      <c r="H224" s="8"/>
      <c r="I224" s="3"/>
      <c r="J224" s="17"/>
      <c r="K224" s="309">
        <v>18.39</v>
      </c>
      <c r="L224" s="91">
        <f t="shared" si="20"/>
        <v>0</v>
      </c>
      <c r="M224" s="310"/>
      <c r="N224" s="87"/>
    </row>
    <row r="225" spans="1:14" x14ac:dyDescent="0.2">
      <c r="A225" s="524"/>
      <c r="B225" s="53" t="s">
        <v>1045</v>
      </c>
      <c r="C225" s="106">
        <v>147961</v>
      </c>
      <c r="D225" s="107" t="s">
        <v>1046</v>
      </c>
      <c r="E225" s="327" t="s">
        <v>1044</v>
      </c>
      <c r="F225" s="107" t="s">
        <v>466</v>
      </c>
      <c r="G225" s="327"/>
      <c r="H225" s="8"/>
      <c r="I225" s="3"/>
      <c r="J225" s="17"/>
      <c r="K225" s="309">
        <v>18.39</v>
      </c>
      <c r="L225" s="91">
        <f t="shared" si="20"/>
        <v>0</v>
      </c>
      <c r="M225" s="310">
        <f>K225/3.81</f>
        <v>4.8267716535433074</v>
      </c>
      <c r="N225" s="87">
        <f>K225/2100*5</f>
        <v>4.3785714285714289E-2</v>
      </c>
    </row>
    <row r="226" spans="1:14" x14ac:dyDescent="0.2">
      <c r="A226" s="524"/>
      <c r="B226" s="53" t="s">
        <v>1047</v>
      </c>
      <c r="C226" s="106">
        <v>147964</v>
      </c>
      <c r="D226" s="107" t="s">
        <v>1048</v>
      </c>
      <c r="E226" s="327" t="s">
        <v>1044</v>
      </c>
      <c r="F226" s="107" t="s">
        <v>466</v>
      </c>
      <c r="G226" s="327"/>
      <c r="H226" s="8"/>
      <c r="I226" s="3"/>
      <c r="J226" s="17"/>
      <c r="K226" s="326">
        <v>18.39</v>
      </c>
      <c r="L226" s="91">
        <f t="shared" si="20"/>
        <v>0</v>
      </c>
      <c r="M226" s="310">
        <f>K226/5.1</f>
        <v>3.605882352941177</v>
      </c>
      <c r="N226" s="87">
        <f>K226/5100*5</f>
        <v>1.8029411764705884E-2</v>
      </c>
    </row>
    <row r="227" spans="1:14" x14ac:dyDescent="0.2">
      <c r="A227" s="524"/>
      <c r="B227" s="53" t="s">
        <v>1049</v>
      </c>
      <c r="C227" s="106">
        <v>214</v>
      </c>
      <c r="D227" s="107" t="s">
        <v>1050</v>
      </c>
      <c r="E227" s="107" t="s">
        <v>1051</v>
      </c>
      <c r="F227" s="107" t="s">
        <v>466</v>
      </c>
      <c r="G227" s="107"/>
      <c r="H227" s="8"/>
      <c r="I227" s="3"/>
      <c r="J227" s="17"/>
      <c r="K227" s="309">
        <v>41.04</v>
      </c>
      <c r="L227" s="91">
        <f t="shared" si="20"/>
        <v>0</v>
      </c>
      <c r="M227" s="310">
        <f>K227/1.698</f>
        <v>24.169611307420496</v>
      </c>
      <c r="N227" s="87">
        <f>K227/1698*5</f>
        <v>0.12084805653710248</v>
      </c>
    </row>
    <row r="228" spans="1:14" x14ac:dyDescent="0.2">
      <c r="A228" s="524"/>
      <c r="B228" s="53" t="s">
        <v>1052</v>
      </c>
      <c r="C228" s="106">
        <v>159955</v>
      </c>
      <c r="D228" s="107" t="s">
        <v>1052</v>
      </c>
      <c r="E228" s="107" t="s">
        <v>1053</v>
      </c>
      <c r="F228" s="107" t="s">
        <v>466</v>
      </c>
      <c r="G228" s="107"/>
      <c r="H228" s="8"/>
      <c r="I228" s="3"/>
      <c r="J228" s="17"/>
      <c r="K228" s="309">
        <v>15.93</v>
      </c>
      <c r="L228" s="91">
        <f t="shared" si="20"/>
        <v>0</v>
      </c>
      <c r="M228" s="310"/>
      <c r="N228" s="87"/>
    </row>
    <row r="229" spans="1:14" x14ac:dyDescent="0.2">
      <c r="A229" s="524"/>
      <c r="B229" s="53" t="s">
        <v>1054</v>
      </c>
      <c r="C229" s="106">
        <v>211693</v>
      </c>
      <c r="D229" s="107" t="s">
        <v>761</v>
      </c>
      <c r="E229" s="107" t="s">
        <v>1029</v>
      </c>
      <c r="F229" s="107" t="s">
        <v>466</v>
      </c>
      <c r="G229" s="107"/>
      <c r="H229" s="8"/>
      <c r="I229" s="3"/>
      <c r="J229" s="17"/>
      <c r="K229" s="309">
        <v>6.16</v>
      </c>
      <c r="L229" s="91">
        <f t="shared" si="20"/>
        <v>0</v>
      </c>
      <c r="M229" s="310"/>
      <c r="N229" s="87"/>
    </row>
    <row r="230" spans="1:14" x14ac:dyDescent="0.2">
      <c r="A230" s="524"/>
      <c r="B230" s="53" t="s">
        <v>1055</v>
      </c>
      <c r="C230" s="106">
        <v>3921</v>
      </c>
      <c r="D230" s="107" t="s">
        <v>761</v>
      </c>
      <c r="E230" s="107" t="s">
        <v>1056</v>
      </c>
      <c r="F230" s="107" t="s">
        <v>466</v>
      </c>
      <c r="G230" s="107"/>
      <c r="H230" s="8"/>
      <c r="I230" s="3"/>
      <c r="J230" s="17"/>
      <c r="K230" s="309">
        <v>6.43</v>
      </c>
      <c r="L230" s="91">
        <f t="shared" si="20"/>
        <v>0</v>
      </c>
      <c r="M230" s="310">
        <f>K230/3</f>
        <v>2.1433333333333331</v>
      </c>
      <c r="N230" s="87">
        <f>K230/3000*5</f>
        <v>1.0716666666666666E-2</v>
      </c>
    </row>
    <row r="231" spans="1:14" x14ac:dyDescent="0.2">
      <c r="A231" s="524"/>
      <c r="B231" s="53" t="s">
        <v>1057</v>
      </c>
      <c r="C231" s="106">
        <v>87019</v>
      </c>
      <c r="D231" s="107" t="s">
        <v>351</v>
      </c>
      <c r="E231" s="107" t="s">
        <v>1058</v>
      </c>
      <c r="F231" s="107" t="s">
        <v>466</v>
      </c>
      <c r="G231" s="107"/>
      <c r="H231" s="8"/>
      <c r="I231" s="3"/>
      <c r="J231" s="17"/>
      <c r="K231" s="309">
        <v>6.25</v>
      </c>
      <c r="L231" s="91">
        <f t="shared" si="20"/>
        <v>0</v>
      </c>
      <c r="M231" s="310">
        <f>K231/6</f>
        <v>1.0416666666666667</v>
      </c>
      <c r="N231" s="87">
        <f>K231/6000*5</f>
        <v>5.208333333333333E-3</v>
      </c>
    </row>
    <row r="232" spans="1:14" x14ac:dyDescent="0.2">
      <c r="A232" s="524"/>
      <c r="B232" s="53" t="s">
        <v>1059</v>
      </c>
      <c r="C232" s="106">
        <v>14158</v>
      </c>
      <c r="D232" s="107" t="s">
        <v>761</v>
      </c>
      <c r="E232" s="107" t="s">
        <v>1060</v>
      </c>
      <c r="F232" s="107" t="s">
        <v>466</v>
      </c>
      <c r="G232" s="107"/>
      <c r="H232" s="8"/>
      <c r="I232" s="3"/>
      <c r="J232" s="17"/>
      <c r="K232" s="309">
        <v>6.43</v>
      </c>
      <c r="L232" s="91">
        <f t="shared" si="20"/>
        <v>0</v>
      </c>
      <c r="M232" s="310"/>
      <c r="N232" s="87"/>
    </row>
    <row r="233" spans="1:14" x14ac:dyDescent="0.2">
      <c r="A233" s="524"/>
      <c r="B233" s="53" t="s">
        <v>1061</v>
      </c>
      <c r="C233" s="106">
        <v>165333</v>
      </c>
      <c r="D233" s="107" t="s">
        <v>826</v>
      </c>
      <c r="E233" s="107" t="s">
        <v>1062</v>
      </c>
      <c r="F233" s="107" t="s">
        <v>466</v>
      </c>
      <c r="G233" s="107"/>
      <c r="H233" s="8"/>
      <c r="I233" s="3"/>
      <c r="J233" s="17"/>
      <c r="K233" s="309">
        <v>10.75</v>
      </c>
      <c r="L233" s="91">
        <f t="shared" si="20"/>
        <v>0</v>
      </c>
      <c r="M233" s="310"/>
      <c r="N233" s="87"/>
    </row>
    <row r="234" spans="1:14" x14ac:dyDescent="0.2">
      <c r="A234" s="524"/>
      <c r="B234" s="53" t="s">
        <v>1063</v>
      </c>
      <c r="C234" s="106">
        <v>87021</v>
      </c>
      <c r="D234" s="107" t="s">
        <v>351</v>
      </c>
      <c r="E234" s="107" t="s">
        <v>1058</v>
      </c>
      <c r="F234" s="107" t="s">
        <v>466</v>
      </c>
      <c r="G234" s="107"/>
      <c r="H234" s="8"/>
      <c r="I234" s="3"/>
      <c r="J234" s="17"/>
      <c r="K234" s="309">
        <v>5.57</v>
      </c>
      <c r="L234" s="91">
        <f t="shared" si="20"/>
        <v>0</v>
      </c>
      <c r="M234" s="310">
        <f>K234/1</f>
        <v>5.57</v>
      </c>
      <c r="N234" s="87">
        <f>K234/1000*5</f>
        <v>2.785E-2</v>
      </c>
    </row>
    <row r="235" spans="1:14" x14ac:dyDescent="0.2">
      <c r="A235" s="524"/>
      <c r="B235" s="53" t="s">
        <v>1064</v>
      </c>
      <c r="C235" s="106">
        <v>52540</v>
      </c>
      <c r="D235" s="107" t="s">
        <v>1065</v>
      </c>
      <c r="E235" s="107" t="s">
        <v>1066</v>
      </c>
      <c r="F235" s="107" t="s">
        <v>466</v>
      </c>
      <c r="G235" s="107"/>
      <c r="H235" s="8"/>
      <c r="I235" s="3"/>
      <c r="J235" s="17"/>
      <c r="K235" s="309">
        <v>11.61</v>
      </c>
      <c r="L235" s="91">
        <f t="shared" si="20"/>
        <v>0</v>
      </c>
      <c r="M235" s="310"/>
      <c r="N235" s="87"/>
    </row>
    <row r="236" spans="1:14" x14ac:dyDescent="0.2">
      <c r="A236" s="524"/>
      <c r="B236" s="53" t="s">
        <v>1067</v>
      </c>
      <c r="C236" s="106">
        <v>21198</v>
      </c>
      <c r="D236" s="107" t="s">
        <v>892</v>
      </c>
      <c r="E236" s="107" t="s">
        <v>1068</v>
      </c>
      <c r="F236" s="107" t="s">
        <v>466</v>
      </c>
      <c r="G236" s="107"/>
      <c r="H236" s="8"/>
      <c r="I236" s="3"/>
      <c r="J236" s="17"/>
      <c r="K236" s="309">
        <v>21.36</v>
      </c>
      <c r="L236" s="91">
        <f t="shared" si="20"/>
        <v>0</v>
      </c>
      <c r="M236" s="310">
        <f>K236/6</f>
        <v>3.56</v>
      </c>
      <c r="N236" s="87">
        <f>K236/6000*5</f>
        <v>1.78E-2</v>
      </c>
    </row>
    <row r="237" spans="1:14" x14ac:dyDescent="0.2">
      <c r="A237" s="524"/>
      <c r="B237" s="53" t="s">
        <v>1069</v>
      </c>
      <c r="C237" s="106">
        <v>55754</v>
      </c>
      <c r="D237" s="107" t="s">
        <v>351</v>
      </c>
      <c r="E237" s="107" t="s">
        <v>770</v>
      </c>
      <c r="F237" s="107" t="s">
        <v>466</v>
      </c>
      <c r="G237" s="107"/>
      <c r="H237" s="8"/>
      <c r="I237" s="3"/>
      <c r="J237" s="17"/>
      <c r="K237" s="309">
        <v>7.6</v>
      </c>
      <c r="L237" s="91">
        <f t="shared" si="20"/>
        <v>0</v>
      </c>
      <c r="M237" s="310"/>
      <c r="N237" s="87"/>
    </row>
    <row r="238" spans="1:14" x14ac:dyDescent="0.2">
      <c r="A238" s="524"/>
      <c r="B238" s="53" t="s">
        <v>1070</v>
      </c>
      <c r="C238" s="106">
        <v>108586</v>
      </c>
      <c r="D238" s="107" t="s">
        <v>1071</v>
      </c>
      <c r="E238" s="107" t="s">
        <v>1072</v>
      </c>
      <c r="F238" s="107" t="s">
        <v>466</v>
      </c>
      <c r="G238" s="107"/>
      <c r="H238" s="8"/>
      <c r="I238" s="3"/>
      <c r="J238" s="17"/>
      <c r="K238" s="309">
        <v>2.92</v>
      </c>
      <c r="L238" s="91">
        <f t="shared" si="20"/>
        <v>0</v>
      </c>
      <c r="M238" s="310"/>
      <c r="N238" s="87"/>
    </row>
    <row r="239" spans="1:14" x14ac:dyDescent="0.2">
      <c r="A239" s="524"/>
      <c r="B239" s="53" t="s">
        <v>1073</v>
      </c>
      <c r="C239" s="100">
        <v>202061</v>
      </c>
      <c r="D239" s="107" t="s">
        <v>826</v>
      </c>
      <c r="E239" s="107" t="s">
        <v>377</v>
      </c>
      <c r="F239" s="107" t="s">
        <v>466</v>
      </c>
      <c r="G239" s="107"/>
      <c r="H239" s="8"/>
      <c r="I239" s="3"/>
      <c r="J239" s="17"/>
      <c r="K239" s="317">
        <v>13.77</v>
      </c>
      <c r="L239" s="91">
        <f t="shared" si="20"/>
        <v>0</v>
      </c>
      <c r="M239" s="310">
        <f>K239/1</f>
        <v>13.77</v>
      </c>
      <c r="N239" s="87">
        <f>K239/1000*5</f>
        <v>6.8849999999999995E-2</v>
      </c>
    </row>
    <row r="240" spans="1:14" x14ac:dyDescent="0.2">
      <c r="A240" s="524"/>
      <c r="B240" s="53" t="s">
        <v>1074</v>
      </c>
      <c r="C240" s="106">
        <v>55761</v>
      </c>
      <c r="D240" s="107" t="s">
        <v>351</v>
      </c>
      <c r="E240" s="107" t="s">
        <v>703</v>
      </c>
      <c r="F240" s="107" t="s">
        <v>466</v>
      </c>
      <c r="G240" s="107"/>
      <c r="H240" s="8"/>
      <c r="I240" s="3"/>
      <c r="J240" s="17"/>
      <c r="K240" s="326">
        <v>31.21</v>
      </c>
      <c r="L240" s="91">
        <f t="shared" si="20"/>
        <v>0</v>
      </c>
      <c r="M240" s="310">
        <f>K240*1.67</f>
        <v>52.120699999999999</v>
      </c>
      <c r="N240" s="87">
        <f>K240/600*5</f>
        <v>0.26008333333333333</v>
      </c>
    </row>
    <row r="241" spans="1:14" x14ac:dyDescent="0.2">
      <c r="A241" s="524"/>
      <c r="B241" s="53" t="s">
        <v>1075</v>
      </c>
      <c r="C241" s="106">
        <v>90879</v>
      </c>
      <c r="D241" s="107" t="s">
        <v>1076</v>
      </c>
      <c r="E241" s="107" t="s">
        <v>703</v>
      </c>
      <c r="F241" s="107" t="s">
        <v>466</v>
      </c>
      <c r="G241" s="107"/>
      <c r="H241" s="8"/>
      <c r="I241" s="3"/>
      <c r="J241" s="17"/>
      <c r="K241" s="326">
        <v>9.7200000000000006</v>
      </c>
      <c r="L241" s="91">
        <f t="shared" si="20"/>
        <v>0</v>
      </c>
      <c r="M241" s="310"/>
      <c r="N241" s="87"/>
    </row>
    <row r="242" spans="1:14" x14ac:dyDescent="0.2">
      <c r="A242" s="524"/>
      <c r="B242" s="53" t="s">
        <v>1077</v>
      </c>
      <c r="C242" s="106">
        <v>15157</v>
      </c>
      <c r="D242" s="107" t="s">
        <v>761</v>
      </c>
      <c r="E242" s="107" t="s">
        <v>381</v>
      </c>
      <c r="F242" s="107" t="s">
        <v>466</v>
      </c>
      <c r="G242" s="107"/>
      <c r="H242" s="8"/>
      <c r="I242" s="3"/>
      <c r="J242" s="17"/>
      <c r="K242" s="309">
        <v>9.61</v>
      </c>
      <c r="L242" s="91">
        <f t="shared" si="20"/>
        <v>0</v>
      </c>
      <c r="M242" s="310">
        <f>K242/1</f>
        <v>9.61</v>
      </c>
      <c r="N242" s="87">
        <f>K242/1000*5</f>
        <v>4.8049999999999995E-2</v>
      </c>
    </row>
    <row r="243" spans="1:14" x14ac:dyDescent="0.2">
      <c r="A243" s="524"/>
      <c r="B243" s="53" t="s">
        <v>1078</v>
      </c>
      <c r="C243" s="106">
        <v>55765</v>
      </c>
      <c r="D243" s="107" t="s">
        <v>351</v>
      </c>
      <c r="E243" s="107" t="s">
        <v>1017</v>
      </c>
      <c r="F243" s="107" t="s">
        <v>466</v>
      </c>
      <c r="G243" s="107"/>
      <c r="H243" s="8"/>
      <c r="I243" s="3"/>
      <c r="J243" s="17"/>
      <c r="K243" s="309">
        <v>7.35</v>
      </c>
      <c r="L243" s="91">
        <f t="shared" si="20"/>
        <v>0</v>
      </c>
      <c r="M243" s="310">
        <f>K243*2</f>
        <v>14.7</v>
      </c>
      <c r="N243" s="87">
        <f>K243/500*5</f>
        <v>7.3499999999999996E-2</v>
      </c>
    </row>
    <row r="244" spans="1:14" x14ac:dyDescent="0.2">
      <c r="A244" s="524"/>
      <c r="B244" s="53" t="s">
        <v>1079</v>
      </c>
      <c r="C244" s="106">
        <v>115445</v>
      </c>
      <c r="D244" s="107" t="s">
        <v>1080</v>
      </c>
      <c r="E244" s="327" t="s">
        <v>1081</v>
      </c>
      <c r="F244" s="107" t="s">
        <v>466</v>
      </c>
      <c r="G244" s="327"/>
      <c r="H244" s="8"/>
      <c r="I244" s="3"/>
      <c r="J244" s="17"/>
      <c r="K244" s="309">
        <v>14.31</v>
      </c>
      <c r="L244" s="91">
        <f t="shared" si="20"/>
        <v>0</v>
      </c>
      <c r="M244" s="310"/>
      <c r="N244" s="87"/>
    </row>
    <row r="245" spans="1:14" x14ac:dyDescent="0.2">
      <c r="A245" s="524"/>
      <c r="B245" s="53" t="s">
        <v>1082</v>
      </c>
      <c r="C245" s="106">
        <v>115700</v>
      </c>
      <c r="D245" s="107" t="s">
        <v>1083</v>
      </c>
      <c r="E245" s="107" t="s">
        <v>1084</v>
      </c>
      <c r="F245" s="107" t="s">
        <v>466</v>
      </c>
      <c r="G245" s="107"/>
      <c r="H245" s="8"/>
      <c r="I245" s="3"/>
      <c r="J245" s="17"/>
      <c r="K245" s="326">
        <v>8.59</v>
      </c>
      <c r="L245" s="91">
        <f t="shared" si="20"/>
        <v>0</v>
      </c>
      <c r="M245" s="310">
        <f>K245*2</f>
        <v>17.18</v>
      </c>
      <c r="N245" s="87">
        <f>K245/500*5</f>
        <v>8.5900000000000004E-2</v>
      </c>
    </row>
    <row r="246" spans="1:14" x14ac:dyDescent="0.2">
      <c r="A246" s="524"/>
      <c r="B246" s="53" t="s">
        <v>1085</v>
      </c>
      <c r="C246" s="106">
        <v>23056</v>
      </c>
      <c r="D246" s="107" t="s">
        <v>761</v>
      </c>
      <c r="E246" s="107" t="s">
        <v>1029</v>
      </c>
      <c r="F246" s="107" t="s">
        <v>466</v>
      </c>
      <c r="G246" s="107"/>
      <c r="H246" s="8"/>
      <c r="I246" s="3"/>
      <c r="J246" s="17"/>
      <c r="K246" s="326">
        <v>13.5</v>
      </c>
      <c r="L246" s="91">
        <f t="shared" si="20"/>
        <v>0</v>
      </c>
      <c r="M246" s="310"/>
      <c r="N246" s="87"/>
    </row>
    <row r="247" spans="1:14" x14ac:dyDescent="0.2">
      <c r="A247" s="524"/>
      <c r="B247" s="53" t="s">
        <v>1086</v>
      </c>
      <c r="C247" s="106">
        <v>55768</v>
      </c>
      <c r="D247" s="107" t="s">
        <v>351</v>
      </c>
      <c r="E247" s="107" t="s">
        <v>1087</v>
      </c>
      <c r="F247" s="107" t="s">
        <v>466</v>
      </c>
      <c r="G247" s="107"/>
      <c r="H247" s="8"/>
      <c r="I247" s="3"/>
      <c r="J247" s="17"/>
      <c r="K247" s="309">
        <v>6.6</v>
      </c>
      <c r="L247" s="91">
        <f t="shared" si="20"/>
        <v>0</v>
      </c>
      <c r="M247" s="310">
        <f>K247/1.5</f>
        <v>4.3999999999999995</v>
      </c>
      <c r="N247" s="87">
        <f>K247/1500*5</f>
        <v>2.1999999999999999E-2</v>
      </c>
    </row>
    <row r="248" spans="1:14" x14ac:dyDescent="0.2">
      <c r="A248" s="524"/>
      <c r="B248" s="53" t="s">
        <v>1088</v>
      </c>
      <c r="C248" s="106">
        <v>55770</v>
      </c>
      <c r="D248" s="107" t="s">
        <v>351</v>
      </c>
      <c r="E248" s="327" t="s">
        <v>1089</v>
      </c>
      <c r="F248" s="107" t="s">
        <v>466</v>
      </c>
      <c r="G248" s="327"/>
      <c r="H248" s="8"/>
      <c r="I248" s="3"/>
      <c r="J248" s="17"/>
      <c r="K248" s="309">
        <v>10.78</v>
      </c>
      <c r="L248" s="91">
        <f t="shared" si="20"/>
        <v>0</v>
      </c>
      <c r="M248" s="310">
        <f>K248/6</f>
        <v>1.7966666666666666</v>
      </c>
      <c r="N248" s="87">
        <f>K248/6000*5</f>
        <v>8.9833333333333328E-3</v>
      </c>
    </row>
    <row r="249" spans="1:14" x14ac:dyDescent="0.2">
      <c r="A249" s="524"/>
      <c r="B249" s="53" t="s">
        <v>1090</v>
      </c>
      <c r="C249" s="106">
        <v>55770</v>
      </c>
      <c r="D249" s="107" t="s">
        <v>351</v>
      </c>
      <c r="E249" s="327" t="s">
        <v>1019</v>
      </c>
      <c r="F249" s="107" t="s">
        <v>466</v>
      </c>
      <c r="G249" s="327"/>
      <c r="H249" s="8"/>
      <c r="I249" s="3"/>
      <c r="J249" s="17"/>
      <c r="K249" s="326">
        <v>10.78</v>
      </c>
      <c r="L249" s="91">
        <f t="shared" si="20"/>
        <v>0</v>
      </c>
      <c r="M249" s="310">
        <f>K249/2.7</f>
        <v>3.992592592592592</v>
      </c>
      <c r="N249" s="87">
        <f>K249/2700*1</f>
        <v>3.9925925925925927E-3</v>
      </c>
    </row>
    <row r="250" spans="1:14" x14ac:dyDescent="0.2">
      <c r="A250" s="524"/>
      <c r="B250" s="53" t="s">
        <v>1091</v>
      </c>
      <c r="C250" s="106">
        <v>166227</v>
      </c>
      <c r="D250" s="107" t="s">
        <v>826</v>
      </c>
      <c r="E250" s="327" t="s">
        <v>1092</v>
      </c>
      <c r="F250" s="107" t="s">
        <v>466</v>
      </c>
      <c r="G250" s="327"/>
      <c r="H250" s="8"/>
      <c r="I250" s="3"/>
      <c r="J250" s="17"/>
      <c r="K250" s="309">
        <v>9.18</v>
      </c>
      <c r="L250" s="91">
        <f t="shared" si="20"/>
        <v>0</v>
      </c>
      <c r="M250" s="310">
        <f>K250/1</f>
        <v>9.18</v>
      </c>
      <c r="N250" s="87">
        <f>K250/1000*1</f>
        <v>9.1799999999999989E-3</v>
      </c>
    </row>
    <row r="251" spans="1:14" x14ac:dyDescent="0.2">
      <c r="A251" s="524"/>
      <c r="B251" s="53" t="s">
        <v>1093</v>
      </c>
      <c r="C251" s="106">
        <v>55774</v>
      </c>
      <c r="D251" s="327" t="s">
        <v>351</v>
      </c>
      <c r="E251" s="327" t="s">
        <v>1089</v>
      </c>
      <c r="F251" s="107" t="s">
        <v>466</v>
      </c>
      <c r="G251" s="327"/>
      <c r="H251" s="8"/>
      <c r="I251" s="3"/>
      <c r="J251" s="17"/>
      <c r="K251" s="309">
        <v>10.16</v>
      </c>
      <c r="L251" s="91">
        <f t="shared" si="20"/>
        <v>0</v>
      </c>
      <c r="M251" s="310">
        <f>K251/3</f>
        <v>3.3866666666666667</v>
      </c>
      <c r="N251" s="87">
        <f>K251/3000*1</f>
        <v>3.3866666666666667E-3</v>
      </c>
    </row>
    <row r="252" spans="1:14" x14ac:dyDescent="0.2">
      <c r="A252" s="524"/>
      <c r="B252" s="53" t="s">
        <v>1094</v>
      </c>
      <c r="C252" s="106">
        <v>75559</v>
      </c>
      <c r="D252" s="107" t="s">
        <v>1095</v>
      </c>
      <c r="E252" s="327" t="s">
        <v>1096</v>
      </c>
      <c r="F252" s="107" t="s">
        <v>466</v>
      </c>
      <c r="G252" s="327"/>
      <c r="H252" s="8"/>
      <c r="I252" s="3"/>
      <c r="J252" s="17"/>
      <c r="K252" s="326">
        <v>3.73</v>
      </c>
      <c r="L252" s="91">
        <f t="shared" si="20"/>
        <v>0</v>
      </c>
      <c r="M252" s="310"/>
      <c r="N252" s="87"/>
    </row>
    <row r="253" spans="1:14" x14ac:dyDescent="0.2">
      <c r="A253" s="524"/>
      <c r="B253" s="53" t="s">
        <v>1097</v>
      </c>
      <c r="C253" s="106">
        <v>114483</v>
      </c>
      <c r="D253" s="107" t="s">
        <v>752</v>
      </c>
      <c r="E253" s="107" t="s">
        <v>1098</v>
      </c>
      <c r="F253" s="107" t="s">
        <v>466</v>
      </c>
      <c r="G253" s="107"/>
      <c r="H253" s="8"/>
      <c r="I253" s="3"/>
      <c r="J253" s="17"/>
      <c r="K253" s="326">
        <v>6.5</v>
      </c>
      <c r="L253" s="91">
        <f t="shared" si="20"/>
        <v>0</v>
      </c>
      <c r="M253" s="310">
        <f>K253/1</f>
        <v>6.5</v>
      </c>
      <c r="N253" s="87">
        <f>K253/1000*1</f>
        <v>6.4999999999999997E-3</v>
      </c>
    </row>
    <row r="254" spans="1:14" x14ac:dyDescent="0.2">
      <c r="A254" s="524"/>
      <c r="B254" s="53" t="s">
        <v>1067</v>
      </c>
      <c r="C254" s="106">
        <v>21198</v>
      </c>
      <c r="D254" s="107" t="s">
        <v>892</v>
      </c>
      <c r="E254" s="107" t="s">
        <v>1068</v>
      </c>
      <c r="F254" s="107" t="s">
        <v>466</v>
      </c>
      <c r="G254" s="107"/>
      <c r="H254" s="8"/>
      <c r="I254" s="3"/>
      <c r="J254" s="17"/>
      <c r="K254" s="326">
        <v>21.36</v>
      </c>
      <c r="L254" s="91">
        <f t="shared" si="20"/>
        <v>0</v>
      </c>
      <c r="M254" s="310"/>
      <c r="N254" s="87"/>
    </row>
    <row r="255" spans="1:14" x14ac:dyDescent="0.2">
      <c r="A255" s="524"/>
      <c r="B255" s="53" t="s">
        <v>1099</v>
      </c>
      <c r="C255" s="106">
        <v>55776</v>
      </c>
      <c r="D255" s="107" t="s">
        <v>351</v>
      </c>
      <c r="E255" s="327" t="s">
        <v>703</v>
      </c>
      <c r="F255" s="107" t="s">
        <v>466</v>
      </c>
      <c r="G255" s="327"/>
      <c r="H255" s="8"/>
      <c r="I255" s="3"/>
      <c r="J255" s="17"/>
      <c r="K255" s="309">
        <v>17.55</v>
      </c>
      <c r="L255" s="91">
        <f t="shared" si="20"/>
        <v>0</v>
      </c>
      <c r="M255" s="310">
        <f t="shared" si="21"/>
        <v>7.3125000000000009</v>
      </c>
      <c r="N255" s="87">
        <f>K255/2000</f>
        <v>8.7749999999999998E-3</v>
      </c>
    </row>
    <row r="256" spans="1:14" x14ac:dyDescent="0.2">
      <c r="A256" s="524"/>
      <c r="B256" s="53" t="s">
        <v>1100</v>
      </c>
      <c r="C256" s="106">
        <v>111394</v>
      </c>
      <c r="D256" s="327" t="s">
        <v>1101</v>
      </c>
      <c r="E256" s="327" t="s">
        <v>1087</v>
      </c>
      <c r="F256" s="107" t="s">
        <v>466</v>
      </c>
      <c r="G256" s="327"/>
      <c r="H256" s="8"/>
      <c r="I256" s="3"/>
      <c r="J256" s="17"/>
      <c r="K256" s="309">
        <v>1.24</v>
      </c>
      <c r="L256" s="91">
        <f t="shared" si="20"/>
        <v>0</v>
      </c>
      <c r="M256" s="310"/>
      <c r="N256" s="87"/>
    </row>
    <row r="257" spans="1:14" x14ac:dyDescent="0.2">
      <c r="A257" s="524"/>
      <c r="B257" s="53" t="s">
        <v>1102</v>
      </c>
      <c r="C257" s="106">
        <v>165622</v>
      </c>
      <c r="D257" s="107" t="s">
        <v>1103</v>
      </c>
      <c r="E257" s="327" t="s">
        <v>1017</v>
      </c>
      <c r="F257" s="107" t="s">
        <v>466</v>
      </c>
      <c r="G257" s="327"/>
      <c r="H257" s="8"/>
      <c r="I257" s="3"/>
      <c r="J257" s="17"/>
      <c r="K257" s="309">
        <v>6.75</v>
      </c>
      <c r="L257" s="91">
        <f t="shared" si="20"/>
        <v>0</v>
      </c>
      <c r="M257" s="310">
        <f>K257*2</f>
        <v>13.5</v>
      </c>
      <c r="N257" s="87">
        <f>K257/500*3</f>
        <v>4.0500000000000001E-2</v>
      </c>
    </row>
    <row r="258" spans="1:14" x14ac:dyDescent="0.2">
      <c r="A258" s="524"/>
      <c r="B258" s="53" t="s">
        <v>1104</v>
      </c>
      <c r="C258" s="106">
        <v>167378</v>
      </c>
      <c r="D258" s="107" t="s">
        <v>761</v>
      </c>
      <c r="E258" s="107" t="s">
        <v>1087</v>
      </c>
      <c r="F258" s="107" t="s">
        <v>466</v>
      </c>
      <c r="G258" s="107"/>
      <c r="H258" s="8"/>
      <c r="I258" s="3"/>
      <c r="J258" s="17"/>
      <c r="K258" s="326">
        <v>7.02</v>
      </c>
      <c r="L258" s="91">
        <f t="shared" si="20"/>
        <v>0</v>
      </c>
      <c r="M258" s="310">
        <f>K258/1.8</f>
        <v>3.8999999999999995</v>
      </c>
      <c r="N258" s="87">
        <f>K258/1800*3</f>
        <v>1.1699999999999999E-2</v>
      </c>
    </row>
    <row r="259" spans="1:14" x14ac:dyDescent="0.2">
      <c r="A259" s="524"/>
      <c r="B259" s="53" t="s">
        <v>1105</v>
      </c>
      <c r="C259" s="106">
        <v>133612</v>
      </c>
      <c r="D259" s="107" t="s">
        <v>448</v>
      </c>
      <c r="E259" s="327" t="s">
        <v>703</v>
      </c>
      <c r="F259" s="107" t="s">
        <v>466</v>
      </c>
      <c r="G259" s="327"/>
      <c r="H259" s="8"/>
      <c r="I259" s="3"/>
      <c r="J259" s="17"/>
      <c r="K259" s="309">
        <v>8.1999999999999993</v>
      </c>
      <c r="L259" s="91">
        <f t="shared" si="20"/>
        <v>0</v>
      </c>
      <c r="M259" s="310">
        <f>K259/9</f>
        <v>0.91111111111111098</v>
      </c>
      <c r="N259" s="87">
        <f>K259/9000*5</f>
        <v>4.5555555555555549E-3</v>
      </c>
    </row>
    <row r="260" spans="1:14" x14ac:dyDescent="0.2">
      <c r="A260" s="524"/>
      <c r="B260" s="53" t="s">
        <v>1106</v>
      </c>
      <c r="C260" s="106">
        <v>130368</v>
      </c>
      <c r="D260" s="107" t="s">
        <v>1095</v>
      </c>
      <c r="E260" s="107" t="s">
        <v>1107</v>
      </c>
      <c r="F260" s="107" t="s">
        <v>466</v>
      </c>
      <c r="G260" s="107"/>
      <c r="H260" s="8"/>
      <c r="I260" s="3"/>
      <c r="J260" s="17"/>
      <c r="K260" s="326">
        <v>3.73</v>
      </c>
      <c r="L260" s="91">
        <f t="shared" si="20"/>
        <v>0</v>
      </c>
      <c r="M260" s="310"/>
      <c r="N260" s="87"/>
    </row>
    <row r="261" spans="1:14" x14ac:dyDescent="0.2">
      <c r="A261" s="524"/>
      <c r="B261" s="53" t="s">
        <v>1108</v>
      </c>
      <c r="C261" s="106">
        <v>115953</v>
      </c>
      <c r="D261" s="107" t="s">
        <v>1109</v>
      </c>
      <c r="E261" s="107" t="s">
        <v>832</v>
      </c>
      <c r="F261" s="107" t="s">
        <v>466</v>
      </c>
      <c r="G261" s="107"/>
      <c r="H261" s="8"/>
      <c r="I261" s="3"/>
      <c r="J261" s="17"/>
      <c r="K261" s="326">
        <v>7.24</v>
      </c>
      <c r="L261" s="91">
        <f t="shared" si="20"/>
        <v>0</v>
      </c>
      <c r="M261" s="310"/>
      <c r="N261" s="87"/>
    </row>
    <row r="262" spans="1:14" x14ac:dyDescent="0.2">
      <c r="A262" s="524"/>
      <c r="B262" s="53" t="s">
        <v>1110</v>
      </c>
      <c r="C262" s="106">
        <v>165780</v>
      </c>
      <c r="D262" s="107" t="s">
        <v>761</v>
      </c>
      <c r="E262" s="107" t="s">
        <v>1111</v>
      </c>
      <c r="F262" s="107" t="s">
        <v>466</v>
      </c>
      <c r="G262" s="107"/>
      <c r="H262" s="8"/>
      <c r="I262" s="3"/>
      <c r="J262" s="17"/>
      <c r="K262" s="326">
        <v>20.3</v>
      </c>
      <c r="L262" s="91">
        <f t="shared" si="20"/>
        <v>0</v>
      </c>
      <c r="M262" s="310"/>
      <c r="N262" s="87"/>
    </row>
    <row r="263" spans="1:14" x14ac:dyDescent="0.2">
      <c r="A263" s="524"/>
      <c r="B263" s="53" t="s">
        <v>1112</v>
      </c>
      <c r="C263" s="106">
        <v>1125</v>
      </c>
      <c r="D263" s="327" t="s">
        <v>1113</v>
      </c>
      <c r="E263" s="327" t="s">
        <v>1089</v>
      </c>
      <c r="F263" s="107" t="s">
        <v>466</v>
      </c>
      <c r="G263" s="327"/>
      <c r="H263" s="8"/>
      <c r="I263" s="3"/>
      <c r="J263" s="17"/>
      <c r="K263" s="309">
        <v>3.15</v>
      </c>
      <c r="L263" s="91">
        <f t="shared" si="20"/>
        <v>0</v>
      </c>
      <c r="M263" s="310">
        <f>K263/2</f>
        <v>1.575</v>
      </c>
      <c r="N263" s="87">
        <f>K263/2000</f>
        <v>1.575E-3</v>
      </c>
    </row>
    <row r="264" spans="1:14" x14ac:dyDescent="0.2">
      <c r="A264" s="524"/>
      <c r="B264" s="53" t="s">
        <v>1114</v>
      </c>
      <c r="C264" s="106">
        <v>58409</v>
      </c>
      <c r="D264" s="327" t="s">
        <v>1115</v>
      </c>
      <c r="E264" s="327" t="s">
        <v>1116</v>
      </c>
      <c r="F264" s="107" t="s">
        <v>466</v>
      </c>
      <c r="G264" s="327"/>
      <c r="H264" s="8"/>
      <c r="I264" s="3"/>
      <c r="J264" s="17"/>
      <c r="K264" s="326">
        <v>3.78</v>
      </c>
      <c r="L264" s="91">
        <f t="shared" si="20"/>
        <v>0</v>
      </c>
      <c r="M264" s="310">
        <f>K264/5</f>
        <v>0.75600000000000001</v>
      </c>
      <c r="N264" s="87">
        <f>K264/5000*5</f>
        <v>3.7799999999999995E-3</v>
      </c>
    </row>
    <row r="265" spans="1:14" x14ac:dyDescent="0.2">
      <c r="A265" s="524"/>
      <c r="B265" s="53" t="s">
        <v>1117</v>
      </c>
      <c r="C265" s="106">
        <v>55784</v>
      </c>
      <c r="D265" s="107" t="s">
        <v>351</v>
      </c>
      <c r="E265" s="107" t="s">
        <v>703</v>
      </c>
      <c r="F265" s="107" t="s">
        <v>466</v>
      </c>
      <c r="G265" s="107"/>
      <c r="H265" s="8"/>
      <c r="I265" s="3"/>
      <c r="J265" s="17"/>
      <c r="K265" s="326">
        <v>7.51</v>
      </c>
      <c r="L265" s="91">
        <f t="shared" si="20"/>
        <v>0</v>
      </c>
      <c r="M265" s="310">
        <f>K265/4.08</f>
        <v>1.8406862745098038</v>
      </c>
      <c r="N265" s="87">
        <f>K265/4080*5</f>
        <v>9.2034313725490192E-3</v>
      </c>
    </row>
    <row r="266" spans="1:14" x14ac:dyDescent="0.2">
      <c r="A266" s="524"/>
      <c r="B266" s="53" t="s">
        <v>1118</v>
      </c>
      <c r="C266" s="106">
        <v>94832</v>
      </c>
      <c r="D266" s="107" t="s">
        <v>1119</v>
      </c>
      <c r="E266" s="107" t="s">
        <v>1034</v>
      </c>
      <c r="F266" s="107" t="s">
        <v>466</v>
      </c>
      <c r="G266" s="107"/>
      <c r="H266" s="8"/>
      <c r="I266" s="3"/>
      <c r="J266" s="17"/>
      <c r="K266" s="326">
        <v>8.59</v>
      </c>
      <c r="L266" s="91">
        <f t="shared" si="20"/>
        <v>0</v>
      </c>
      <c r="M266" s="310"/>
      <c r="N266" s="87"/>
    </row>
    <row r="267" spans="1:14" x14ac:dyDescent="0.2">
      <c r="A267" s="524"/>
      <c r="B267" s="53" t="s">
        <v>1120</v>
      </c>
      <c r="C267" s="106">
        <v>11489</v>
      </c>
      <c r="D267" s="107" t="s">
        <v>892</v>
      </c>
      <c r="E267" s="107" t="s">
        <v>1121</v>
      </c>
      <c r="F267" s="107" t="s">
        <v>466</v>
      </c>
      <c r="G267" s="107"/>
      <c r="H267" s="8"/>
      <c r="I267" s="3"/>
      <c r="J267" s="17"/>
      <c r="K267" s="326">
        <v>16.55</v>
      </c>
      <c r="L267" s="91">
        <f t="shared" si="20"/>
        <v>0</v>
      </c>
      <c r="M267" s="310"/>
      <c r="N267" s="87"/>
    </row>
    <row r="268" spans="1:14" x14ac:dyDescent="0.2">
      <c r="A268" s="524"/>
      <c r="B268" s="53" t="s">
        <v>1122</v>
      </c>
      <c r="C268" s="106">
        <v>77216</v>
      </c>
      <c r="D268" s="107" t="s">
        <v>761</v>
      </c>
      <c r="E268" s="107" t="s">
        <v>1066</v>
      </c>
      <c r="F268" s="107" t="s">
        <v>466</v>
      </c>
      <c r="G268" s="107"/>
      <c r="H268" s="8"/>
      <c r="I268" s="3"/>
      <c r="J268" s="17"/>
      <c r="K268" s="326">
        <v>14.36</v>
      </c>
      <c r="L268" s="91">
        <f t="shared" si="20"/>
        <v>0</v>
      </c>
      <c r="M268" s="310"/>
      <c r="N268" s="87"/>
    </row>
    <row r="269" spans="1:14" x14ac:dyDescent="0.2">
      <c r="A269" s="524"/>
      <c r="B269" s="53" t="s">
        <v>1123</v>
      </c>
      <c r="C269" s="106">
        <v>22983</v>
      </c>
      <c r="D269" s="107" t="s">
        <v>892</v>
      </c>
      <c r="E269" s="107" t="s">
        <v>1124</v>
      </c>
      <c r="F269" s="107" t="s">
        <v>466</v>
      </c>
      <c r="G269" s="107"/>
      <c r="H269" s="8"/>
      <c r="I269" s="3"/>
      <c r="J269" s="17"/>
      <c r="K269" s="326">
        <v>13.6</v>
      </c>
      <c r="L269" s="91">
        <f t="shared" si="20"/>
        <v>0</v>
      </c>
      <c r="M269" s="310"/>
      <c r="N269" s="87"/>
    </row>
    <row r="270" spans="1:14" x14ac:dyDescent="0.2">
      <c r="A270" s="524"/>
      <c r="B270" s="53" t="s">
        <v>1125</v>
      </c>
      <c r="C270" s="106">
        <v>89088</v>
      </c>
      <c r="D270" s="327" t="s">
        <v>1126</v>
      </c>
      <c r="E270" s="327" t="s">
        <v>1127</v>
      </c>
      <c r="F270" s="107" t="s">
        <v>466</v>
      </c>
      <c r="G270" s="327"/>
      <c r="H270" s="8"/>
      <c r="I270" s="3"/>
      <c r="J270" s="17"/>
      <c r="K270" s="326">
        <v>57.53</v>
      </c>
      <c r="L270" s="91">
        <f t="shared" si="20"/>
        <v>0</v>
      </c>
      <c r="M270" s="310">
        <f>K270/1</f>
        <v>57.53</v>
      </c>
      <c r="N270" s="87">
        <f>K270/1000*5</f>
        <v>0.28764999999999996</v>
      </c>
    </row>
    <row r="271" spans="1:14" x14ac:dyDescent="0.2">
      <c r="A271" s="524"/>
      <c r="B271" s="53" t="s">
        <v>1128</v>
      </c>
      <c r="C271" s="106">
        <v>14177</v>
      </c>
      <c r="D271" s="107" t="s">
        <v>761</v>
      </c>
      <c r="E271" s="327" t="s">
        <v>1129</v>
      </c>
      <c r="F271" s="107" t="s">
        <v>466</v>
      </c>
      <c r="G271" s="327"/>
      <c r="H271" s="8"/>
      <c r="I271" s="3"/>
      <c r="J271" s="17"/>
      <c r="K271" s="309">
        <v>11.02</v>
      </c>
      <c r="L271" s="91">
        <f t="shared" si="20"/>
        <v>0</v>
      </c>
      <c r="M271" s="310">
        <f>K271/12</f>
        <v>0.91833333333333333</v>
      </c>
      <c r="N271" s="87">
        <f>K271/12000*5</f>
        <v>4.5916666666666666E-3</v>
      </c>
    </row>
    <row r="272" spans="1:14" x14ac:dyDescent="0.2">
      <c r="A272" s="524"/>
      <c r="B272" s="53" t="s">
        <v>1130</v>
      </c>
      <c r="C272" s="106">
        <v>63776</v>
      </c>
      <c r="D272" s="107" t="s">
        <v>1039</v>
      </c>
      <c r="E272" s="327" t="s">
        <v>1131</v>
      </c>
      <c r="F272" s="107" t="s">
        <v>466</v>
      </c>
      <c r="G272" s="327"/>
      <c r="H272" s="8"/>
      <c r="I272" s="3"/>
      <c r="J272" s="17"/>
      <c r="K272" s="326">
        <v>22.44</v>
      </c>
      <c r="L272" s="91">
        <f t="shared" si="20"/>
        <v>0</v>
      </c>
      <c r="M272" s="310">
        <f>K272*2</f>
        <v>44.88</v>
      </c>
      <c r="N272" s="87">
        <f>K272/500*3</f>
        <v>0.13464000000000001</v>
      </c>
    </row>
    <row r="273" spans="1:14" x14ac:dyDescent="0.2">
      <c r="A273" s="524"/>
      <c r="B273" s="53" t="s">
        <v>1132</v>
      </c>
      <c r="C273" s="106">
        <v>163223</v>
      </c>
      <c r="D273" s="107" t="s">
        <v>1133</v>
      </c>
      <c r="E273" s="327" t="s">
        <v>1134</v>
      </c>
      <c r="F273" s="107" t="s">
        <v>466</v>
      </c>
      <c r="G273" s="327"/>
      <c r="H273" s="8"/>
      <c r="I273" s="3"/>
      <c r="J273" s="17"/>
      <c r="K273" s="326">
        <v>4.32</v>
      </c>
      <c r="L273" s="91">
        <f t="shared" ref="L273:L278" si="22">K273*J273</f>
        <v>0</v>
      </c>
      <c r="M273" s="310"/>
      <c r="N273" s="87"/>
    </row>
    <row r="274" spans="1:14" x14ac:dyDescent="0.2">
      <c r="A274" s="524"/>
      <c r="B274" s="53" t="s">
        <v>1135</v>
      </c>
      <c r="C274" s="106">
        <v>165355</v>
      </c>
      <c r="D274" s="107" t="s">
        <v>1083</v>
      </c>
      <c r="E274" s="327" t="s">
        <v>1136</v>
      </c>
      <c r="F274" s="107" t="s">
        <v>466</v>
      </c>
      <c r="G274" s="327"/>
      <c r="H274" s="8"/>
      <c r="I274" s="3"/>
      <c r="J274" s="17"/>
      <c r="K274" s="326">
        <v>12.85</v>
      </c>
      <c r="L274" s="91">
        <f t="shared" si="22"/>
        <v>0</v>
      </c>
      <c r="M274" s="310">
        <f>K274/8</f>
        <v>1.60625</v>
      </c>
      <c r="N274" s="87">
        <f>K274/8000*10</f>
        <v>1.60625E-2</v>
      </c>
    </row>
    <row r="275" spans="1:14" x14ac:dyDescent="0.2">
      <c r="A275" s="524"/>
      <c r="B275" s="53" t="s">
        <v>1137</v>
      </c>
      <c r="C275" s="106">
        <v>52556</v>
      </c>
      <c r="D275" s="107" t="s">
        <v>1138</v>
      </c>
      <c r="E275" s="327" t="s">
        <v>770</v>
      </c>
      <c r="F275" s="107" t="s">
        <v>466</v>
      </c>
      <c r="G275" s="327"/>
      <c r="H275" s="8"/>
      <c r="I275" s="3"/>
      <c r="J275" s="17"/>
      <c r="K275" s="309">
        <v>11.61</v>
      </c>
      <c r="L275" s="91">
        <f t="shared" si="22"/>
        <v>0</v>
      </c>
      <c r="M275" s="310">
        <f>K275*1.85</f>
        <v>21.4785</v>
      </c>
      <c r="N275" s="87">
        <f>K275/540*3</f>
        <v>6.4500000000000002E-2</v>
      </c>
    </row>
    <row r="276" spans="1:14" x14ac:dyDescent="0.2">
      <c r="A276" s="524"/>
      <c r="B276" s="99" t="s">
        <v>1139</v>
      </c>
      <c r="C276" s="223">
        <v>55788</v>
      </c>
      <c r="D276" s="107" t="s">
        <v>351</v>
      </c>
      <c r="E276" s="327" t="s">
        <v>703</v>
      </c>
      <c r="F276" s="107" t="s">
        <v>466</v>
      </c>
      <c r="G276" s="327"/>
      <c r="H276" s="8"/>
      <c r="I276" s="3"/>
      <c r="J276" s="17"/>
      <c r="K276" s="309">
        <v>8.48</v>
      </c>
      <c r="L276" s="91">
        <f t="shared" si="22"/>
        <v>0</v>
      </c>
      <c r="M276" s="310">
        <f>K276*2</f>
        <v>16.96</v>
      </c>
      <c r="N276" s="87">
        <f>K276/500*5</f>
        <v>8.48E-2</v>
      </c>
    </row>
    <row r="277" spans="1:14" x14ac:dyDescent="0.2">
      <c r="A277" s="524"/>
      <c r="B277" s="99" t="s">
        <v>1140</v>
      </c>
      <c r="C277" s="223">
        <v>23301</v>
      </c>
      <c r="D277" s="107" t="s">
        <v>892</v>
      </c>
      <c r="E277" s="327" t="s">
        <v>1141</v>
      </c>
      <c r="F277" s="107" t="s">
        <v>466</v>
      </c>
      <c r="G277" s="327"/>
      <c r="H277" s="8"/>
      <c r="I277" s="3"/>
      <c r="J277" s="17"/>
      <c r="K277" s="309">
        <v>15.63</v>
      </c>
      <c r="L277" s="91">
        <f t="shared" si="22"/>
        <v>0</v>
      </c>
      <c r="M277" s="310"/>
      <c r="N277" s="87"/>
    </row>
    <row r="278" spans="1:14" ht="17" thickBot="1" x14ac:dyDescent="0.25">
      <c r="A278" s="524"/>
      <c r="B278" s="53" t="s">
        <v>1142</v>
      </c>
      <c r="C278" s="106">
        <v>55787</v>
      </c>
      <c r="D278" s="107" t="s">
        <v>351</v>
      </c>
      <c r="E278" s="107" t="s">
        <v>1017</v>
      </c>
      <c r="F278" s="107" t="s">
        <v>466</v>
      </c>
      <c r="G278" s="107"/>
      <c r="H278" s="8"/>
      <c r="I278" s="3"/>
      <c r="J278" s="17"/>
      <c r="K278" s="326">
        <v>12.85</v>
      </c>
      <c r="L278" s="91">
        <f t="shared" si="22"/>
        <v>0</v>
      </c>
      <c r="M278" s="310">
        <f>K278/6</f>
        <v>2.1416666666666666</v>
      </c>
      <c r="N278" s="87">
        <f>K278/1000*5</f>
        <v>6.4250000000000002E-2</v>
      </c>
    </row>
    <row r="279" spans="1:14" ht="35" thickBot="1" x14ac:dyDescent="0.25">
      <c r="B279" s="324" t="s">
        <v>1143</v>
      </c>
      <c r="C279" s="304" t="s">
        <v>65</v>
      </c>
      <c r="D279" s="305" t="s">
        <v>696</v>
      </c>
      <c r="E279" s="305" t="s">
        <v>697</v>
      </c>
      <c r="F279" s="305" t="s">
        <v>348</v>
      </c>
      <c r="G279" s="305" t="s">
        <v>349</v>
      </c>
      <c r="H279" s="278" t="s">
        <v>67</v>
      </c>
      <c r="I279" s="278" t="s">
        <v>68</v>
      </c>
      <c r="J279" s="278" t="s">
        <v>69</v>
      </c>
      <c r="K279" s="279" t="s">
        <v>70</v>
      </c>
      <c r="L279" s="280" t="s">
        <v>25</v>
      </c>
      <c r="M279" s="310"/>
      <c r="N279" s="87" t="e">
        <f>K279/300*5</f>
        <v>#VALUE!</v>
      </c>
    </row>
    <row r="280" spans="1:14" x14ac:dyDescent="0.2">
      <c r="A280" s="524"/>
      <c r="B280" s="53" t="s">
        <v>1144</v>
      </c>
      <c r="C280" s="106">
        <v>133352</v>
      </c>
      <c r="D280" s="107" t="s">
        <v>1145</v>
      </c>
      <c r="E280" s="327" t="s">
        <v>1146</v>
      </c>
      <c r="F280" s="327" t="s">
        <v>77</v>
      </c>
      <c r="G280" s="327">
        <v>12</v>
      </c>
      <c r="H280" s="8"/>
      <c r="I280" s="3"/>
      <c r="J280" s="17"/>
      <c r="K280" s="309">
        <v>75.599999999999994</v>
      </c>
      <c r="L280" s="91">
        <f t="shared" ref="L280:L281" si="23">K280*J280</f>
        <v>0</v>
      </c>
      <c r="M280" s="310"/>
      <c r="N280" s="87">
        <f>K280/300</f>
        <v>0.252</v>
      </c>
    </row>
    <row r="281" spans="1:14" x14ac:dyDescent="0.2">
      <c r="A281" s="524"/>
      <c r="B281" s="53" t="s">
        <v>1147</v>
      </c>
      <c r="C281" s="106">
        <v>126212</v>
      </c>
      <c r="D281" s="107" t="s">
        <v>1148</v>
      </c>
      <c r="E281" s="107" t="s">
        <v>1149</v>
      </c>
      <c r="F281" s="107" t="s">
        <v>77</v>
      </c>
      <c r="G281" s="107">
        <v>3</v>
      </c>
      <c r="H281" s="8"/>
      <c r="I281" s="3"/>
      <c r="J281" s="17"/>
      <c r="K281" s="309">
        <v>44.7</v>
      </c>
      <c r="L281" s="91">
        <f t="shared" si="23"/>
        <v>0</v>
      </c>
      <c r="M281" s="310">
        <f>K281/2</f>
        <v>22.35</v>
      </c>
      <c r="N281" s="87">
        <f>K281/2000*20</f>
        <v>0.44700000000000006</v>
      </c>
    </row>
    <row r="282" spans="1:14" x14ac:dyDescent="0.2">
      <c r="A282" s="524"/>
      <c r="B282" s="53" t="s">
        <v>1150</v>
      </c>
      <c r="C282" s="106">
        <v>104594</v>
      </c>
      <c r="D282" s="107" t="s">
        <v>1151</v>
      </c>
      <c r="E282" s="107" t="s">
        <v>1152</v>
      </c>
      <c r="F282" s="107" t="s">
        <v>77</v>
      </c>
      <c r="G282" s="107">
        <v>12</v>
      </c>
      <c r="H282" s="8"/>
      <c r="I282" s="3"/>
      <c r="J282" s="17"/>
      <c r="K282" s="309">
        <v>44.88</v>
      </c>
      <c r="L282" s="91"/>
      <c r="M282" s="310"/>
      <c r="N282" s="87"/>
    </row>
    <row r="283" spans="1:14" x14ac:dyDescent="0.2">
      <c r="A283" s="524"/>
      <c r="B283" s="53" t="s">
        <v>1153</v>
      </c>
      <c r="C283" s="106">
        <v>35532</v>
      </c>
      <c r="D283" s="107" t="s">
        <v>731</v>
      </c>
      <c r="E283" s="107" t="s">
        <v>910</v>
      </c>
      <c r="F283" s="107" t="s">
        <v>77</v>
      </c>
      <c r="G283" s="107">
        <v>4</v>
      </c>
      <c r="H283" s="8"/>
      <c r="I283" s="3"/>
      <c r="J283" s="17"/>
      <c r="K283" s="309">
        <v>68.959999999999994</v>
      </c>
      <c r="L283" s="91">
        <f>K283*J283</f>
        <v>0</v>
      </c>
      <c r="M283" s="310">
        <f>K283/4.56</f>
        <v>15.12280701754386</v>
      </c>
      <c r="N283" s="87">
        <f>K283/4560*10</f>
        <v>0.1512280701754386</v>
      </c>
    </row>
    <row r="284" spans="1:14" x14ac:dyDescent="0.2">
      <c r="A284" s="524"/>
      <c r="B284" s="53" t="s">
        <v>1154</v>
      </c>
      <c r="C284" s="106">
        <v>126214</v>
      </c>
      <c r="D284" s="107" t="s">
        <v>1148</v>
      </c>
      <c r="E284" s="107" t="s">
        <v>1149</v>
      </c>
      <c r="F284" s="107" t="s">
        <v>77</v>
      </c>
      <c r="G284" s="107">
        <v>3</v>
      </c>
      <c r="H284" s="8"/>
      <c r="I284" s="3"/>
      <c r="J284" s="17"/>
      <c r="K284" s="309">
        <v>44.7</v>
      </c>
      <c r="L284" s="91">
        <f t="shared" ref="L284:L364" si="24">K284*J284</f>
        <v>0</v>
      </c>
      <c r="M284" s="310"/>
      <c r="N284" s="87"/>
    </row>
    <row r="285" spans="1:14" x14ac:dyDescent="0.2">
      <c r="A285" s="524"/>
      <c r="B285" s="53" t="s">
        <v>1155</v>
      </c>
      <c r="C285" s="106">
        <v>1804</v>
      </c>
      <c r="D285" s="107" t="s">
        <v>1156</v>
      </c>
      <c r="E285" s="107" t="s">
        <v>1157</v>
      </c>
      <c r="F285" s="107" t="s">
        <v>77</v>
      </c>
      <c r="G285" s="107">
        <v>12</v>
      </c>
      <c r="H285" s="8"/>
      <c r="I285" s="3"/>
      <c r="J285" s="17"/>
      <c r="K285" s="309">
        <v>52.92</v>
      </c>
      <c r="L285" s="91">
        <f t="shared" si="24"/>
        <v>0</v>
      </c>
      <c r="M285" s="310"/>
      <c r="N285" s="87"/>
    </row>
    <row r="286" spans="1:14" x14ac:dyDescent="0.2">
      <c r="A286" s="524"/>
      <c r="B286" s="53" t="s">
        <v>1158</v>
      </c>
      <c r="C286" s="106">
        <v>1748</v>
      </c>
      <c r="D286" s="107" t="s">
        <v>1156</v>
      </c>
      <c r="E286" s="107" t="s">
        <v>1157</v>
      </c>
      <c r="F286" s="107" t="s">
        <v>77</v>
      </c>
      <c r="G286" s="107">
        <v>12</v>
      </c>
      <c r="H286" s="8"/>
      <c r="I286" s="3"/>
      <c r="J286" s="17"/>
      <c r="K286" s="309">
        <v>52.92</v>
      </c>
      <c r="L286" s="91">
        <f t="shared" si="24"/>
        <v>0</v>
      </c>
      <c r="M286" s="310"/>
      <c r="N286" s="87"/>
    </row>
    <row r="287" spans="1:14" x14ac:dyDescent="0.2">
      <c r="A287" s="524"/>
      <c r="B287" s="53" t="s">
        <v>1155</v>
      </c>
      <c r="C287" s="106">
        <v>1955</v>
      </c>
      <c r="D287" s="107" t="s">
        <v>1156</v>
      </c>
      <c r="E287" s="107" t="s">
        <v>1159</v>
      </c>
      <c r="F287" s="107" t="s">
        <v>466</v>
      </c>
      <c r="G287" s="107">
        <v>4</v>
      </c>
      <c r="H287" s="8"/>
      <c r="I287" s="3"/>
      <c r="J287" s="17"/>
      <c r="K287" s="309">
        <v>21.38</v>
      </c>
      <c r="L287" s="91">
        <f t="shared" si="24"/>
        <v>0</v>
      </c>
      <c r="M287" s="310"/>
      <c r="N287" s="87"/>
    </row>
    <row r="288" spans="1:14" x14ac:dyDescent="0.2">
      <c r="A288" s="524"/>
      <c r="B288" s="53" t="s">
        <v>1160</v>
      </c>
      <c r="C288" s="106">
        <v>1956</v>
      </c>
      <c r="D288" s="107" t="s">
        <v>1156</v>
      </c>
      <c r="E288" s="107" t="s">
        <v>1159</v>
      </c>
      <c r="F288" s="107" t="s">
        <v>466</v>
      </c>
      <c r="G288" s="107">
        <v>4</v>
      </c>
      <c r="H288" s="8"/>
      <c r="I288" s="3"/>
      <c r="J288" s="17"/>
      <c r="K288" s="309">
        <v>21.38</v>
      </c>
      <c r="L288" s="91">
        <f t="shared" si="24"/>
        <v>0</v>
      </c>
      <c r="M288" s="310"/>
      <c r="N288" s="87"/>
    </row>
    <row r="289" spans="1:14" x14ac:dyDescent="0.2">
      <c r="A289" s="524"/>
      <c r="B289" s="53" t="s">
        <v>1161</v>
      </c>
      <c r="C289" s="106">
        <v>121269</v>
      </c>
      <c r="D289" s="107" t="s">
        <v>1162</v>
      </c>
      <c r="E289" s="107" t="s">
        <v>1163</v>
      </c>
      <c r="F289" s="107" t="s">
        <v>77</v>
      </c>
      <c r="G289" s="107">
        <v>6</v>
      </c>
      <c r="H289" s="8"/>
      <c r="I289" s="3"/>
      <c r="J289" s="17"/>
      <c r="K289" s="309">
        <v>25.08</v>
      </c>
      <c r="L289" s="91">
        <f>K289*J289</f>
        <v>0</v>
      </c>
      <c r="M289" s="310"/>
      <c r="N289" s="87"/>
    </row>
    <row r="290" spans="1:14" x14ac:dyDescent="0.2">
      <c r="A290" s="524"/>
      <c r="B290" s="53" t="s">
        <v>1164</v>
      </c>
      <c r="C290" s="106">
        <v>129297</v>
      </c>
      <c r="D290" s="107" t="s">
        <v>1165</v>
      </c>
      <c r="E290" s="107" t="s">
        <v>1166</v>
      </c>
      <c r="F290" s="107" t="s">
        <v>77</v>
      </c>
      <c r="G290" s="107">
        <v>8</v>
      </c>
      <c r="H290" s="8"/>
      <c r="I290" s="3"/>
      <c r="J290" s="17"/>
      <c r="K290" s="309">
        <v>34.880000000000003</v>
      </c>
      <c r="L290" s="91">
        <f>K290*J290</f>
        <v>0</v>
      </c>
      <c r="M290" s="310"/>
      <c r="N290" s="87"/>
    </row>
    <row r="291" spans="1:14" x14ac:dyDescent="0.2">
      <c r="A291" s="524"/>
      <c r="B291" s="53" t="s">
        <v>1167</v>
      </c>
      <c r="C291" s="106">
        <v>147480</v>
      </c>
      <c r="D291" s="107" t="s">
        <v>1167</v>
      </c>
      <c r="E291" s="107" t="s">
        <v>1168</v>
      </c>
      <c r="F291" s="107" t="s">
        <v>77</v>
      </c>
      <c r="G291" s="107">
        <v>12</v>
      </c>
      <c r="H291" s="8"/>
      <c r="I291" s="3"/>
      <c r="J291" s="17"/>
      <c r="K291" s="309">
        <v>85.92</v>
      </c>
      <c r="L291" s="91">
        <f t="shared" si="24"/>
        <v>0</v>
      </c>
      <c r="M291" s="310"/>
      <c r="N291" s="87"/>
    </row>
    <row r="292" spans="1:14" ht="17" thickBot="1" x14ac:dyDescent="0.25">
      <c r="A292" s="524"/>
      <c r="B292" s="53" t="s">
        <v>1167</v>
      </c>
      <c r="C292" s="106">
        <v>700</v>
      </c>
      <c r="D292" s="107" t="s">
        <v>1167</v>
      </c>
      <c r="E292" s="107" t="s">
        <v>1149</v>
      </c>
      <c r="F292" s="107" t="s">
        <v>466</v>
      </c>
      <c r="G292" s="107">
        <v>4</v>
      </c>
      <c r="H292" s="8"/>
      <c r="I292" s="3"/>
      <c r="J292" s="17"/>
      <c r="K292" s="309">
        <v>38.69</v>
      </c>
      <c r="L292" s="91">
        <f t="shared" si="24"/>
        <v>0</v>
      </c>
      <c r="M292" s="310"/>
      <c r="N292" s="87"/>
    </row>
    <row r="293" spans="1:14" ht="35" thickBot="1" x14ac:dyDescent="0.25">
      <c r="B293" s="297" t="s">
        <v>1169</v>
      </c>
      <c r="C293" s="304" t="s">
        <v>65</v>
      </c>
      <c r="D293" s="305" t="s">
        <v>696</v>
      </c>
      <c r="E293" s="305" t="s">
        <v>697</v>
      </c>
      <c r="F293" s="305" t="s">
        <v>348</v>
      </c>
      <c r="G293" s="305" t="s">
        <v>349</v>
      </c>
      <c r="H293" s="278" t="s">
        <v>67</v>
      </c>
      <c r="I293" s="278" t="s">
        <v>68</v>
      </c>
      <c r="J293" s="278" t="s">
        <v>69</v>
      </c>
      <c r="K293" s="279" t="s">
        <v>70</v>
      </c>
      <c r="L293" s="280" t="s">
        <v>25</v>
      </c>
      <c r="M293" s="310"/>
      <c r="N293" s="87"/>
    </row>
    <row r="294" spans="1:14" x14ac:dyDescent="0.2">
      <c r="A294" s="524"/>
      <c r="B294" s="53" t="s">
        <v>1170</v>
      </c>
      <c r="C294" s="106">
        <v>104451</v>
      </c>
      <c r="D294" s="107" t="s">
        <v>351</v>
      </c>
      <c r="E294" s="107" t="s">
        <v>1171</v>
      </c>
      <c r="F294" s="107" t="s">
        <v>77</v>
      </c>
      <c r="G294" s="107">
        <v>6</v>
      </c>
      <c r="H294" s="8"/>
      <c r="I294" s="3"/>
      <c r="J294" s="17"/>
      <c r="K294" s="309">
        <v>48.6</v>
      </c>
      <c r="L294" s="91">
        <f t="shared" si="24"/>
        <v>0</v>
      </c>
      <c r="M294" s="310">
        <f>K294*2</f>
        <v>97.2</v>
      </c>
      <c r="N294" s="87">
        <f>K294/500*15</f>
        <v>1.4580000000000002</v>
      </c>
    </row>
    <row r="295" spans="1:14" x14ac:dyDescent="0.2">
      <c r="A295" s="524"/>
      <c r="B295" s="53" t="s">
        <v>1172</v>
      </c>
      <c r="C295" s="106">
        <v>104445</v>
      </c>
      <c r="D295" s="107" t="s">
        <v>351</v>
      </c>
      <c r="E295" s="107" t="s">
        <v>1171</v>
      </c>
      <c r="F295" s="107" t="s">
        <v>77</v>
      </c>
      <c r="G295" s="107">
        <v>6</v>
      </c>
      <c r="H295" s="8"/>
      <c r="I295" s="3"/>
      <c r="J295" s="17"/>
      <c r="K295" s="309">
        <v>48.6</v>
      </c>
      <c r="L295" s="91">
        <f t="shared" si="24"/>
        <v>0</v>
      </c>
      <c r="M295" s="310">
        <f t="shared" ref="M295:M296" si="25">K295*2</f>
        <v>97.2</v>
      </c>
      <c r="N295" s="87">
        <f>K295/500*15</f>
        <v>1.4580000000000002</v>
      </c>
    </row>
    <row r="296" spans="1:14" x14ac:dyDescent="0.2">
      <c r="A296" s="524"/>
      <c r="B296" s="53" t="s">
        <v>1173</v>
      </c>
      <c r="C296" s="106">
        <v>104442</v>
      </c>
      <c r="D296" s="107" t="s">
        <v>351</v>
      </c>
      <c r="E296" s="107" t="s">
        <v>1171</v>
      </c>
      <c r="F296" s="107" t="s">
        <v>77</v>
      </c>
      <c r="G296" s="107">
        <v>6</v>
      </c>
      <c r="H296" s="8"/>
      <c r="I296" s="3"/>
      <c r="J296" s="17"/>
      <c r="K296" s="309">
        <v>48.6</v>
      </c>
      <c r="L296" s="91">
        <f t="shared" si="24"/>
        <v>0</v>
      </c>
      <c r="M296" s="310">
        <f t="shared" si="25"/>
        <v>97.2</v>
      </c>
      <c r="N296" s="87">
        <f>K296/500*15</f>
        <v>1.4580000000000002</v>
      </c>
    </row>
    <row r="297" spans="1:14" x14ac:dyDescent="0.2">
      <c r="A297" s="524"/>
      <c r="B297" s="53" t="s">
        <v>1174</v>
      </c>
      <c r="C297" s="106">
        <v>104452</v>
      </c>
      <c r="D297" s="107" t="s">
        <v>351</v>
      </c>
      <c r="E297" s="107" t="s">
        <v>1171</v>
      </c>
      <c r="F297" s="107" t="s">
        <v>77</v>
      </c>
      <c r="G297" s="107">
        <v>6</v>
      </c>
      <c r="H297" s="8"/>
      <c r="I297" s="3"/>
      <c r="J297" s="17"/>
      <c r="K297" s="309">
        <v>48.6</v>
      </c>
      <c r="L297" s="91">
        <f t="shared" si="24"/>
        <v>0</v>
      </c>
      <c r="M297" s="310">
        <f>K297/2</f>
        <v>24.3</v>
      </c>
      <c r="N297" s="87">
        <f>K297/2000*15</f>
        <v>0.36450000000000005</v>
      </c>
    </row>
    <row r="298" spans="1:14" x14ac:dyDescent="0.2">
      <c r="A298" s="524"/>
      <c r="B298" s="53" t="s">
        <v>1175</v>
      </c>
      <c r="C298" s="106">
        <v>104450</v>
      </c>
      <c r="D298" s="107" t="s">
        <v>351</v>
      </c>
      <c r="E298" s="107" t="s">
        <v>1171</v>
      </c>
      <c r="F298" s="107" t="s">
        <v>77</v>
      </c>
      <c r="G298" s="107">
        <v>6</v>
      </c>
      <c r="H298" s="8"/>
      <c r="I298" s="3"/>
      <c r="J298" s="17"/>
      <c r="K298" s="309">
        <v>48.6</v>
      </c>
      <c r="L298" s="91">
        <f t="shared" si="24"/>
        <v>0</v>
      </c>
      <c r="M298" s="310">
        <f>K298/2</f>
        <v>24.3</v>
      </c>
      <c r="N298" s="87">
        <f>K298/2000*15</f>
        <v>0.36450000000000005</v>
      </c>
    </row>
    <row r="299" spans="1:14" x14ac:dyDescent="0.2">
      <c r="A299" s="524"/>
      <c r="B299" s="53" t="s">
        <v>1176</v>
      </c>
      <c r="C299" s="106">
        <v>104444</v>
      </c>
      <c r="D299" s="107" t="s">
        <v>351</v>
      </c>
      <c r="E299" s="107" t="s">
        <v>1171</v>
      </c>
      <c r="F299" s="107" t="s">
        <v>77</v>
      </c>
      <c r="G299" s="107">
        <v>6</v>
      </c>
      <c r="H299" s="8"/>
      <c r="I299" s="3"/>
      <c r="J299" s="17"/>
      <c r="K299" s="309">
        <v>48.6</v>
      </c>
      <c r="L299" s="91">
        <f t="shared" si="24"/>
        <v>0</v>
      </c>
      <c r="M299" s="310">
        <f t="shared" ref="M299" si="26">K299/2</f>
        <v>24.3</v>
      </c>
      <c r="N299" s="87">
        <f>K299/2000*15</f>
        <v>0.36450000000000005</v>
      </c>
    </row>
    <row r="300" spans="1:14" ht="17" thickBot="1" x14ac:dyDescent="0.25">
      <c r="A300" s="524"/>
      <c r="B300" s="53" t="s">
        <v>1177</v>
      </c>
      <c r="C300" s="106">
        <v>104443</v>
      </c>
      <c r="D300" s="107" t="s">
        <v>351</v>
      </c>
      <c r="E300" s="107" t="s">
        <v>1171</v>
      </c>
      <c r="F300" s="107" t="s">
        <v>77</v>
      </c>
      <c r="G300" s="107">
        <v>6</v>
      </c>
      <c r="H300" s="8"/>
      <c r="I300" s="3"/>
      <c r="J300" s="17"/>
      <c r="K300" s="309">
        <v>48.6</v>
      </c>
      <c r="L300" s="91">
        <f t="shared" ref="L300" si="27">K300*J300</f>
        <v>0</v>
      </c>
      <c r="M300" s="310"/>
      <c r="N300" s="87"/>
    </row>
    <row r="301" spans="1:14" ht="35" thickBot="1" x14ac:dyDescent="0.25">
      <c r="B301" s="324" t="s">
        <v>1178</v>
      </c>
      <c r="C301" s="304" t="s">
        <v>65</v>
      </c>
      <c r="D301" s="305" t="s">
        <v>696</v>
      </c>
      <c r="E301" s="305" t="s">
        <v>697</v>
      </c>
      <c r="F301" s="305" t="s">
        <v>348</v>
      </c>
      <c r="G301" s="305" t="s">
        <v>349</v>
      </c>
      <c r="H301" s="278" t="s">
        <v>67</v>
      </c>
      <c r="I301" s="278" t="s">
        <v>68</v>
      </c>
      <c r="J301" s="278" t="s">
        <v>69</v>
      </c>
      <c r="K301" s="279" t="s">
        <v>70</v>
      </c>
      <c r="L301" s="280" t="s">
        <v>25</v>
      </c>
      <c r="M301" s="310"/>
      <c r="N301" s="87"/>
    </row>
    <row r="302" spans="1:14" x14ac:dyDescent="0.2">
      <c r="A302" s="524"/>
      <c r="B302" s="53" t="s">
        <v>1179</v>
      </c>
      <c r="C302" s="106">
        <v>115131</v>
      </c>
      <c r="D302" s="107" t="s">
        <v>892</v>
      </c>
      <c r="E302" s="107" t="s">
        <v>1180</v>
      </c>
      <c r="F302" s="107" t="s">
        <v>77</v>
      </c>
      <c r="G302" s="107">
        <v>6</v>
      </c>
      <c r="H302" s="8"/>
      <c r="I302" s="3"/>
      <c r="J302" s="17"/>
      <c r="K302" s="309">
        <v>19.38</v>
      </c>
      <c r="L302" s="91">
        <f t="shared" ref="L302:L330" si="28">K302*J302</f>
        <v>0</v>
      </c>
      <c r="M302" s="310"/>
      <c r="N302" s="87">
        <f>K302/100</f>
        <v>0.1938</v>
      </c>
    </row>
    <row r="303" spans="1:14" x14ac:dyDescent="0.2">
      <c r="A303" s="524"/>
      <c r="B303" s="53" t="s">
        <v>1181</v>
      </c>
      <c r="C303" s="106">
        <v>21110</v>
      </c>
      <c r="D303" s="107" t="s">
        <v>892</v>
      </c>
      <c r="E303" s="107" t="s">
        <v>1182</v>
      </c>
      <c r="F303" s="107" t="s">
        <v>77</v>
      </c>
      <c r="G303" s="107">
        <v>6</v>
      </c>
      <c r="H303" s="8"/>
      <c r="I303" s="3"/>
      <c r="J303" s="17"/>
      <c r="K303" s="309">
        <v>39.6</v>
      </c>
      <c r="L303" s="91">
        <f t="shared" ref="L303" si="29">K303*J303</f>
        <v>0</v>
      </c>
      <c r="M303" s="310"/>
      <c r="N303" s="87"/>
    </row>
    <row r="304" spans="1:14" x14ac:dyDescent="0.2">
      <c r="A304" s="524"/>
      <c r="B304" s="53" t="s">
        <v>1183</v>
      </c>
      <c r="C304" s="106">
        <v>115130</v>
      </c>
      <c r="D304" s="107" t="s">
        <v>892</v>
      </c>
      <c r="E304" s="107" t="s">
        <v>1180</v>
      </c>
      <c r="F304" s="107" t="s">
        <v>77</v>
      </c>
      <c r="G304" s="107">
        <v>6</v>
      </c>
      <c r="H304" s="8"/>
      <c r="I304" s="3"/>
      <c r="J304" s="17"/>
      <c r="K304" s="309">
        <v>19.38</v>
      </c>
      <c r="L304" s="91">
        <f t="shared" si="28"/>
        <v>0</v>
      </c>
      <c r="M304" s="310"/>
      <c r="N304" s="87"/>
    </row>
    <row r="305" spans="1:14" x14ac:dyDescent="0.2">
      <c r="A305" s="524"/>
      <c r="B305" s="53" t="s">
        <v>1184</v>
      </c>
      <c r="C305" s="106">
        <v>115125</v>
      </c>
      <c r="D305" s="107" t="s">
        <v>892</v>
      </c>
      <c r="E305" s="107" t="s">
        <v>1180</v>
      </c>
      <c r="F305" s="107" t="s">
        <v>77</v>
      </c>
      <c r="G305" s="107">
        <v>6</v>
      </c>
      <c r="H305" s="8"/>
      <c r="I305" s="3"/>
      <c r="J305" s="17"/>
      <c r="K305" s="309">
        <v>19.38</v>
      </c>
      <c r="L305" s="91">
        <f t="shared" si="28"/>
        <v>0</v>
      </c>
      <c r="M305" s="310"/>
      <c r="N305" s="87"/>
    </row>
    <row r="306" spans="1:14" x14ac:dyDescent="0.2">
      <c r="A306" s="524"/>
      <c r="B306" s="53" t="s">
        <v>1185</v>
      </c>
      <c r="C306" s="106">
        <v>115129</v>
      </c>
      <c r="D306" s="107" t="s">
        <v>892</v>
      </c>
      <c r="E306" s="107" t="s">
        <v>1180</v>
      </c>
      <c r="F306" s="107" t="s">
        <v>77</v>
      </c>
      <c r="G306" s="107">
        <v>6</v>
      </c>
      <c r="H306" s="8"/>
      <c r="I306" s="3"/>
      <c r="J306" s="17"/>
      <c r="K306" s="309">
        <v>19.38</v>
      </c>
      <c r="L306" s="91">
        <f t="shared" si="28"/>
        <v>0</v>
      </c>
      <c r="M306" s="310"/>
      <c r="N306" s="87"/>
    </row>
    <row r="307" spans="1:14" x14ac:dyDescent="0.2">
      <c r="A307" s="524"/>
      <c r="B307" s="53" t="s">
        <v>1186</v>
      </c>
      <c r="C307" s="106">
        <v>115122</v>
      </c>
      <c r="D307" s="107" t="s">
        <v>892</v>
      </c>
      <c r="E307" s="107" t="s">
        <v>1180</v>
      </c>
      <c r="F307" s="107" t="s">
        <v>77</v>
      </c>
      <c r="G307" s="107">
        <v>6</v>
      </c>
      <c r="H307" s="8"/>
      <c r="I307" s="3"/>
      <c r="J307" s="17"/>
      <c r="K307" s="309">
        <v>19.38</v>
      </c>
      <c r="L307" s="91">
        <f t="shared" si="28"/>
        <v>0</v>
      </c>
      <c r="M307" s="310"/>
      <c r="N307" s="87"/>
    </row>
    <row r="308" spans="1:14" x14ac:dyDescent="0.2">
      <c r="A308" s="524"/>
      <c r="B308" s="53" t="s">
        <v>1187</v>
      </c>
      <c r="C308" s="106">
        <v>1494</v>
      </c>
      <c r="D308" s="107" t="s">
        <v>892</v>
      </c>
      <c r="E308" s="107" t="s">
        <v>352</v>
      </c>
      <c r="F308" s="107" t="s">
        <v>77</v>
      </c>
      <c r="G308" s="107">
        <v>6</v>
      </c>
      <c r="H308" s="8"/>
      <c r="I308" s="3"/>
      <c r="J308" s="17"/>
      <c r="K308" s="309">
        <v>101.22</v>
      </c>
      <c r="L308" s="91">
        <f t="shared" si="28"/>
        <v>0</v>
      </c>
      <c r="M308" s="310"/>
      <c r="N308" s="87"/>
    </row>
    <row r="309" spans="1:14" x14ac:dyDescent="0.2">
      <c r="A309" s="524"/>
      <c r="B309" s="53" t="s">
        <v>1188</v>
      </c>
      <c r="C309" s="106">
        <v>773</v>
      </c>
      <c r="D309" s="107" t="s">
        <v>892</v>
      </c>
      <c r="E309" s="107" t="s">
        <v>352</v>
      </c>
      <c r="F309" s="107" t="s">
        <v>77</v>
      </c>
      <c r="G309" s="107">
        <v>6</v>
      </c>
      <c r="H309" s="8"/>
      <c r="I309" s="3"/>
      <c r="J309" s="17"/>
      <c r="K309" s="309">
        <v>101.22</v>
      </c>
      <c r="L309" s="91">
        <f t="shared" si="28"/>
        <v>0</v>
      </c>
      <c r="M309" s="310"/>
      <c r="N309" s="87"/>
    </row>
    <row r="310" spans="1:14" x14ac:dyDescent="0.2">
      <c r="A310" s="524"/>
      <c r="B310" s="53" t="s">
        <v>1189</v>
      </c>
      <c r="C310" s="106">
        <v>833</v>
      </c>
      <c r="D310" s="107" t="s">
        <v>892</v>
      </c>
      <c r="E310" s="107" t="s">
        <v>352</v>
      </c>
      <c r="F310" s="107" t="s">
        <v>77</v>
      </c>
      <c r="G310" s="107">
        <v>6</v>
      </c>
      <c r="H310" s="8"/>
      <c r="I310" s="3"/>
      <c r="J310" s="17"/>
      <c r="K310" s="309">
        <v>84.84</v>
      </c>
      <c r="L310" s="91">
        <f t="shared" si="28"/>
        <v>0</v>
      </c>
      <c r="M310" s="310"/>
      <c r="N310" s="87"/>
    </row>
    <row r="311" spans="1:14" ht="17" thickBot="1" x14ac:dyDescent="0.25">
      <c r="A311" s="524"/>
      <c r="B311" s="53" t="s">
        <v>1190</v>
      </c>
      <c r="C311" s="106">
        <v>1625</v>
      </c>
      <c r="D311" s="107" t="s">
        <v>892</v>
      </c>
      <c r="E311" s="107" t="s">
        <v>352</v>
      </c>
      <c r="F311" s="107" t="s">
        <v>77</v>
      </c>
      <c r="G311" s="107">
        <v>6</v>
      </c>
      <c r="H311" s="8"/>
      <c r="I311" s="3"/>
      <c r="J311" s="17"/>
      <c r="K311" s="309">
        <v>101.22</v>
      </c>
      <c r="L311" s="91">
        <f t="shared" si="28"/>
        <v>0</v>
      </c>
      <c r="M311" s="310"/>
      <c r="N311" s="87"/>
    </row>
    <row r="312" spans="1:14" ht="35" thickBot="1" x14ac:dyDescent="0.25">
      <c r="B312" s="324" t="s">
        <v>1191</v>
      </c>
      <c r="C312" s="304" t="s">
        <v>65</v>
      </c>
      <c r="D312" s="305" t="s">
        <v>696</v>
      </c>
      <c r="E312" s="305" t="s">
        <v>697</v>
      </c>
      <c r="F312" s="305" t="s">
        <v>348</v>
      </c>
      <c r="G312" s="305" t="s">
        <v>349</v>
      </c>
      <c r="H312" s="278" t="s">
        <v>67</v>
      </c>
      <c r="I312" s="278" t="s">
        <v>68</v>
      </c>
      <c r="J312" s="278" t="s">
        <v>69</v>
      </c>
      <c r="K312" s="279" t="s">
        <v>70</v>
      </c>
      <c r="L312" s="280" t="s">
        <v>25</v>
      </c>
      <c r="M312" s="310"/>
      <c r="N312" s="87"/>
    </row>
    <row r="313" spans="1:14" x14ac:dyDescent="0.2">
      <c r="A313" s="524"/>
      <c r="B313" s="53" t="s">
        <v>1192</v>
      </c>
      <c r="C313" s="106">
        <v>135834</v>
      </c>
      <c r="D313" s="107" t="s">
        <v>479</v>
      </c>
      <c r="E313" s="107" t="s">
        <v>929</v>
      </c>
      <c r="F313" s="107" t="s">
        <v>77</v>
      </c>
      <c r="G313" s="107">
        <v>6</v>
      </c>
      <c r="H313" s="8"/>
      <c r="I313" s="3"/>
      <c r="J313" s="17"/>
      <c r="K313" s="309">
        <v>46.68</v>
      </c>
      <c r="L313" s="91">
        <f t="shared" si="28"/>
        <v>0</v>
      </c>
      <c r="M313" s="310"/>
      <c r="N313" s="87"/>
    </row>
    <row r="314" spans="1:14" x14ac:dyDescent="0.2">
      <c r="A314" s="524"/>
      <c r="B314" s="53" t="s">
        <v>1193</v>
      </c>
      <c r="C314" s="106">
        <v>166856</v>
      </c>
      <c r="D314" s="107" t="s">
        <v>479</v>
      </c>
      <c r="E314" s="107" t="s">
        <v>929</v>
      </c>
      <c r="F314" s="107" t="s">
        <v>77</v>
      </c>
      <c r="G314" s="107">
        <v>6</v>
      </c>
      <c r="H314" s="8"/>
      <c r="I314" s="3"/>
      <c r="J314" s="17"/>
      <c r="K314" s="317">
        <v>49.56</v>
      </c>
      <c r="L314" s="91">
        <f t="shared" si="28"/>
        <v>0</v>
      </c>
      <c r="M314" s="310">
        <f>K314/4.38</f>
        <v>11.315068493150685</v>
      </c>
      <c r="N314" s="87">
        <f>K314/4380*5</f>
        <v>5.657534246575343E-2</v>
      </c>
    </row>
    <row r="315" spans="1:14" x14ac:dyDescent="0.2">
      <c r="A315" s="524"/>
      <c r="B315" s="53" t="s">
        <v>1194</v>
      </c>
      <c r="C315" s="106">
        <v>143787</v>
      </c>
      <c r="D315" s="107" t="s">
        <v>479</v>
      </c>
      <c r="E315" s="107" t="s">
        <v>929</v>
      </c>
      <c r="F315" s="107" t="s">
        <v>77</v>
      </c>
      <c r="G315" s="107">
        <v>6</v>
      </c>
      <c r="H315" s="8"/>
      <c r="I315" s="3"/>
      <c r="J315" s="17"/>
      <c r="K315" s="317">
        <v>46.68</v>
      </c>
      <c r="L315" s="91">
        <f t="shared" si="28"/>
        <v>0</v>
      </c>
      <c r="M315" s="310"/>
      <c r="N315" s="87"/>
    </row>
    <row r="316" spans="1:14" x14ac:dyDescent="0.2">
      <c r="A316" s="524"/>
      <c r="B316" s="53" t="s">
        <v>1195</v>
      </c>
      <c r="C316" s="106">
        <v>162538</v>
      </c>
      <c r="D316" s="107" t="s">
        <v>479</v>
      </c>
      <c r="E316" s="107" t="s">
        <v>929</v>
      </c>
      <c r="F316" s="107" t="s">
        <v>77</v>
      </c>
      <c r="G316" s="107">
        <v>6</v>
      </c>
      <c r="H316" s="8"/>
      <c r="I316" s="3"/>
      <c r="J316" s="17"/>
      <c r="K316" s="317">
        <v>46.68</v>
      </c>
      <c r="L316" s="91">
        <f t="shared" si="28"/>
        <v>0</v>
      </c>
      <c r="M316" s="310"/>
      <c r="N316" s="87"/>
    </row>
    <row r="317" spans="1:14" x14ac:dyDescent="0.2">
      <c r="A317" s="524"/>
      <c r="B317" s="53" t="s">
        <v>1196</v>
      </c>
      <c r="C317" s="106">
        <v>211359</v>
      </c>
      <c r="D317" s="107" t="s">
        <v>479</v>
      </c>
      <c r="E317" s="107" t="s">
        <v>929</v>
      </c>
      <c r="F317" s="107" t="s">
        <v>77</v>
      </c>
      <c r="G317" s="107">
        <v>6</v>
      </c>
      <c r="H317" s="8"/>
      <c r="I317" s="3"/>
      <c r="J317" s="17"/>
      <c r="K317" s="317">
        <v>46.68</v>
      </c>
      <c r="L317" s="91">
        <f t="shared" si="28"/>
        <v>0</v>
      </c>
      <c r="M317" s="310"/>
      <c r="N317" s="87"/>
    </row>
    <row r="318" spans="1:14" x14ac:dyDescent="0.2">
      <c r="A318" s="524"/>
      <c r="B318" s="53" t="s">
        <v>1197</v>
      </c>
      <c r="C318" s="106">
        <v>138367</v>
      </c>
      <c r="D318" s="107" t="s">
        <v>479</v>
      </c>
      <c r="E318" s="107" t="s">
        <v>929</v>
      </c>
      <c r="F318" s="107" t="s">
        <v>77</v>
      </c>
      <c r="G318" s="107">
        <v>6</v>
      </c>
      <c r="H318" s="8"/>
      <c r="I318" s="3"/>
      <c r="J318" s="17"/>
      <c r="K318" s="317">
        <v>46.68</v>
      </c>
      <c r="L318" s="91">
        <f t="shared" si="28"/>
        <v>0</v>
      </c>
      <c r="M318" s="310"/>
      <c r="N318" s="87"/>
    </row>
    <row r="319" spans="1:14" x14ac:dyDescent="0.2">
      <c r="A319" s="524"/>
      <c r="B319" s="53" t="s">
        <v>1198</v>
      </c>
      <c r="C319" s="106">
        <v>162539</v>
      </c>
      <c r="D319" s="107" t="s">
        <v>479</v>
      </c>
      <c r="E319" s="107" t="s">
        <v>929</v>
      </c>
      <c r="F319" s="107" t="s">
        <v>77</v>
      </c>
      <c r="G319" s="107">
        <v>6</v>
      </c>
      <c r="H319" s="8"/>
      <c r="I319" s="3"/>
      <c r="J319" s="17"/>
      <c r="K319" s="317">
        <v>46.68</v>
      </c>
      <c r="L319" s="91">
        <f t="shared" si="28"/>
        <v>0</v>
      </c>
      <c r="M319" s="310"/>
      <c r="N319" s="87"/>
    </row>
    <row r="320" spans="1:14" x14ac:dyDescent="0.2">
      <c r="A320" s="524"/>
      <c r="B320" s="53" t="s">
        <v>1199</v>
      </c>
      <c r="C320" s="106">
        <v>148359</v>
      </c>
      <c r="D320" s="107" t="s">
        <v>479</v>
      </c>
      <c r="E320" s="107" t="s">
        <v>929</v>
      </c>
      <c r="F320" s="107" t="s">
        <v>77</v>
      </c>
      <c r="G320" s="107">
        <v>6</v>
      </c>
      <c r="H320" s="8"/>
      <c r="I320" s="3"/>
      <c r="J320" s="17"/>
      <c r="K320" s="317">
        <v>46.68</v>
      </c>
      <c r="L320" s="91">
        <f t="shared" si="28"/>
        <v>0</v>
      </c>
      <c r="M320" s="310"/>
      <c r="N320" s="87"/>
    </row>
    <row r="321" spans="1:14" x14ac:dyDescent="0.2">
      <c r="A321" s="524"/>
      <c r="B321" s="53" t="s">
        <v>1200</v>
      </c>
      <c r="C321" s="106">
        <v>162541</v>
      </c>
      <c r="D321" s="107" t="s">
        <v>479</v>
      </c>
      <c r="E321" s="107" t="s">
        <v>1171</v>
      </c>
      <c r="F321" s="107" t="s">
        <v>77</v>
      </c>
      <c r="G321" s="107">
        <v>6</v>
      </c>
      <c r="H321" s="8"/>
      <c r="I321" s="3"/>
      <c r="J321" s="17"/>
      <c r="K321" s="317">
        <v>49.38</v>
      </c>
      <c r="L321" s="91">
        <f t="shared" si="28"/>
        <v>0</v>
      </c>
      <c r="M321" s="310"/>
      <c r="N321" s="87"/>
    </row>
    <row r="322" spans="1:14" x14ac:dyDescent="0.2">
      <c r="A322" s="524"/>
      <c r="B322" s="53" t="s">
        <v>1201</v>
      </c>
      <c r="C322" s="106">
        <v>139194</v>
      </c>
      <c r="D322" s="107" t="s">
        <v>479</v>
      </c>
      <c r="E322" s="107" t="s">
        <v>938</v>
      </c>
      <c r="F322" s="107" t="s">
        <v>77</v>
      </c>
      <c r="G322" s="107">
        <v>6</v>
      </c>
      <c r="H322" s="8"/>
      <c r="I322" s="3"/>
      <c r="J322" s="17"/>
      <c r="K322" s="317">
        <v>46.68</v>
      </c>
      <c r="L322" s="91">
        <f t="shared" si="28"/>
        <v>0</v>
      </c>
      <c r="M322" s="310"/>
      <c r="N322" s="87"/>
    </row>
    <row r="323" spans="1:14" x14ac:dyDescent="0.2">
      <c r="A323" s="524"/>
      <c r="B323" s="53" t="s">
        <v>1202</v>
      </c>
      <c r="C323" s="106">
        <v>139889</v>
      </c>
      <c r="D323" s="107" t="s">
        <v>479</v>
      </c>
      <c r="E323" s="107" t="s">
        <v>938</v>
      </c>
      <c r="F323" s="107" t="s">
        <v>77</v>
      </c>
      <c r="G323" s="107">
        <v>6</v>
      </c>
      <c r="H323" s="8"/>
      <c r="I323" s="3"/>
      <c r="J323" s="17"/>
      <c r="K323" s="317">
        <v>46.68</v>
      </c>
      <c r="L323" s="91">
        <f t="shared" si="28"/>
        <v>0</v>
      </c>
      <c r="M323" s="310"/>
      <c r="N323" s="87"/>
    </row>
    <row r="324" spans="1:14" x14ac:dyDescent="0.2">
      <c r="A324" s="524"/>
      <c r="B324" s="53" t="s">
        <v>1203</v>
      </c>
      <c r="C324" s="106">
        <v>157576</v>
      </c>
      <c r="D324" s="107" t="s">
        <v>479</v>
      </c>
      <c r="E324" s="107" t="s">
        <v>938</v>
      </c>
      <c r="F324" s="107" t="s">
        <v>77</v>
      </c>
      <c r="G324" s="107">
        <v>6</v>
      </c>
      <c r="H324" s="8"/>
      <c r="I324" s="3"/>
      <c r="J324" s="17"/>
      <c r="K324" s="317">
        <v>59.88</v>
      </c>
      <c r="L324" s="91">
        <f t="shared" si="28"/>
        <v>0</v>
      </c>
      <c r="M324" s="310"/>
      <c r="N324" s="87"/>
    </row>
    <row r="325" spans="1:14" x14ac:dyDescent="0.2">
      <c r="A325" s="524"/>
      <c r="B325" s="53" t="s">
        <v>1204</v>
      </c>
      <c r="C325" s="106">
        <v>161457</v>
      </c>
      <c r="D325" s="107" t="s">
        <v>479</v>
      </c>
      <c r="E325" s="107" t="s">
        <v>938</v>
      </c>
      <c r="F325" s="107" t="s">
        <v>77</v>
      </c>
      <c r="G325" s="107">
        <v>6</v>
      </c>
      <c r="H325" s="8"/>
      <c r="I325" s="3"/>
      <c r="J325" s="17"/>
      <c r="K325" s="317">
        <v>49.56</v>
      </c>
      <c r="L325" s="91">
        <f t="shared" si="28"/>
        <v>0</v>
      </c>
      <c r="M325" s="310"/>
      <c r="N325" s="87"/>
    </row>
    <row r="326" spans="1:14" x14ac:dyDescent="0.2">
      <c r="A326" s="524"/>
      <c r="B326" s="53" t="s">
        <v>1205</v>
      </c>
      <c r="C326" s="106">
        <v>144396</v>
      </c>
      <c r="D326" s="107" t="s">
        <v>479</v>
      </c>
      <c r="E326" s="107" t="s">
        <v>938</v>
      </c>
      <c r="F326" s="107" t="s">
        <v>77</v>
      </c>
      <c r="G326" s="107">
        <v>6</v>
      </c>
      <c r="H326" s="8"/>
      <c r="I326" s="3"/>
      <c r="J326" s="17"/>
      <c r="K326" s="317">
        <v>49.38</v>
      </c>
      <c r="L326" s="91">
        <f t="shared" si="28"/>
        <v>0</v>
      </c>
      <c r="M326" s="310"/>
      <c r="N326" s="87"/>
    </row>
    <row r="327" spans="1:14" x14ac:dyDescent="0.2">
      <c r="A327" s="524"/>
      <c r="B327" s="53" t="s">
        <v>1206</v>
      </c>
      <c r="C327" s="106">
        <v>137252</v>
      </c>
      <c r="D327" s="107" t="s">
        <v>479</v>
      </c>
      <c r="E327" s="107" t="s">
        <v>938</v>
      </c>
      <c r="F327" s="107" t="s">
        <v>77</v>
      </c>
      <c r="G327" s="107">
        <v>6</v>
      </c>
      <c r="H327" s="8"/>
      <c r="I327" s="3"/>
      <c r="J327" s="17"/>
      <c r="K327" s="317">
        <v>46.68</v>
      </c>
      <c r="L327" s="91">
        <f t="shared" si="28"/>
        <v>0</v>
      </c>
      <c r="M327" s="310"/>
      <c r="N327" s="87"/>
    </row>
    <row r="328" spans="1:14" x14ac:dyDescent="0.2">
      <c r="A328" s="524"/>
      <c r="B328" s="53" t="s">
        <v>1207</v>
      </c>
      <c r="C328" s="106">
        <v>139295</v>
      </c>
      <c r="D328" s="107" t="s">
        <v>479</v>
      </c>
      <c r="E328" s="107" t="s">
        <v>938</v>
      </c>
      <c r="F328" s="107" t="s">
        <v>77</v>
      </c>
      <c r="G328" s="107">
        <v>6</v>
      </c>
      <c r="H328" s="8"/>
      <c r="I328" s="3"/>
      <c r="J328" s="17"/>
      <c r="K328" s="317">
        <v>46.68</v>
      </c>
      <c r="L328" s="91">
        <f t="shared" si="28"/>
        <v>0</v>
      </c>
      <c r="M328" s="310"/>
      <c r="N328" s="87"/>
    </row>
    <row r="329" spans="1:14" x14ac:dyDescent="0.2">
      <c r="A329" s="524"/>
      <c r="B329" s="53" t="s">
        <v>1208</v>
      </c>
      <c r="C329" s="106">
        <v>138366</v>
      </c>
      <c r="D329" s="107" t="s">
        <v>479</v>
      </c>
      <c r="E329" s="107" t="s">
        <v>938</v>
      </c>
      <c r="F329" s="107" t="s">
        <v>77</v>
      </c>
      <c r="G329" s="107">
        <v>6</v>
      </c>
      <c r="H329" s="8"/>
      <c r="I329" s="3"/>
      <c r="J329" s="17"/>
      <c r="K329" s="317">
        <v>46.68</v>
      </c>
      <c r="L329" s="91">
        <f t="shared" si="28"/>
        <v>0</v>
      </c>
      <c r="M329" s="310"/>
      <c r="N329" s="87"/>
    </row>
    <row r="330" spans="1:14" ht="17" thickBot="1" x14ac:dyDescent="0.25">
      <c r="A330" s="524"/>
      <c r="B330" s="53" t="s">
        <v>1209</v>
      </c>
      <c r="C330" s="106">
        <v>792</v>
      </c>
      <c r="D330" s="107" t="s">
        <v>892</v>
      </c>
      <c r="E330" s="107" t="s">
        <v>1210</v>
      </c>
      <c r="F330" s="107" t="s">
        <v>466</v>
      </c>
      <c r="G330" s="107">
        <v>1</v>
      </c>
      <c r="H330" s="8"/>
      <c r="I330" s="3"/>
      <c r="J330" s="17"/>
      <c r="K330" s="317">
        <v>50.16</v>
      </c>
      <c r="L330" s="91">
        <f t="shared" si="28"/>
        <v>0</v>
      </c>
      <c r="M330" s="310"/>
      <c r="N330" s="87"/>
    </row>
    <row r="331" spans="1:14" ht="35" thickBot="1" x14ac:dyDescent="0.25">
      <c r="B331" s="324" t="s">
        <v>1211</v>
      </c>
      <c r="C331" s="304" t="s">
        <v>65</v>
      </c>
      <c r="D331" s="305" t="s">
        <v>696</v>
      </c>
      <c r="E331" s="305" t="s">
        <v>697</v>
      </c>
      <c r="F331" s="305" t="s">
        <v>348</v>
      </c>
      <c r="G331" s="305" t="s">
        <v>349</v>
      </c>
      <c r="H331" s="278" t="s">
        <v>67</v>
      </c>
      <c r="I331" s="278" t="s">
        <v>68</v>
      </c>
      <c r="J331" s="278" t="s">
        <v>69</v>
      </c>
      <c r="K331" s="279" t="s">
        <v>70</v>
      </c>
      <c r="L331" s="280" t="s">
        <v>25</v>
      </c>
      <c r="M331" s="310"/>
      <c r="N331" s="87"/>
    </row>
    <row r="332" spans="1:14" x14ac:dyDescent="0.2">
      <c r="A332" s="524"/>
      <c r="B332" s="53" t="s">
        <v>1212</v>
      </c>
      <c r="C332" s="106">
        <v>22153</v>
      </c>
      <c r="D332" s="107" t="s">
        <v>892</v>
      </c>
      <c r="E332" s="107" t="s">
        <v>993</v>
      </c>
      <c r="F332" s="107" t="s">
        <v>77</v>
      </c>
      <c r="G332" s="107">
        <v>6</v>
      </c>
      <c r="H332" s="8"/>
      <c r="I332" s="3"/>
      <c r="J332" s="17"/>
      <c r="K332" s="309">
        <v>77.459999999999994</v>
      </c>
      <c r="L332" s="91">
        <f t="shared" ref="L332" si="30">K332*J332</f>
        <v>0</v>
      </c>
      <c r="M332" s="310"/>
      <c r="N332" s="87"/>
    </row>
    <row r="333" spans="1:14" x14ac:dyDescent="0.2">
      <c r="A333" s="524"/>
      <c r="B333" s="53" t="s">
        <v>1213</v>
      </c>
      <c r="C333" s="106">
        <v>13811</v>
      </c>
      <c r="D333" s="107" t="s">
        <v>1214</v>
      </c>
      <c r="E333" s="107" t="s">
        <v>1215</v>
      </c>
      <c r="F333" s="107" t="s">
        <v>77</v>
      </c>
      <c r="G333" s="107">
        <v>6</v>
      </c>
      <c r="H333" s="8"/>
      <c r="I333" s="3"/>
      <c r="J333" s="17"/>
      <c r="K333" s="309">
        <v>28.5</v>
      </c>
      <c r="L333" s="91">
        <f t="shared" si="24"/>
        <v>0</v>
      </c>
      <c r="M333" s="310"/>
      <c r="N333" s="87"/>
    </row>
    <row r="334" spans="1:14" x14ac:dyDescent="0.2">
      <c r="A334" s="524"/>
      <c r="B334" s="53" t="s">
        <v>1216</v>
      </c>
      <c r="C334" s="106">
        <v>148562</v>
      </c>
      <c r="D334" s="107" t="s">
        <v>1217</v>
      </c>
      <c r="E334" s="107" t="s">
        <v>900</v>
      </c>
      <c r="F334" s="107" t="s">
        <v>77</v>
      </c>
      <c r="G334" s="107">
        <v>12</v>
      </c>
      <c r="H334" s="8"/>
      <c r="I334" s="3"/>
      <c r="J334" s="17"/>
      <c r="K334" s="309">
        <v>38.520000000000003</v>
      </c>
      <c r="L334" s="91">
        <f>K334*J334</f>
        <v>0</v>
      </c>
      <c r="M334" s="310"/>
      <c r="N334" s="87"/>
    </row>
    <row r="335" spans="1:14" x14ac:dyDescent="0.2">
      <c r="A335" s="524"/>
      <c r="B335" s="53" t="s">
        <v>1218</v>
      </c>
      <c r="C335" s="106">
        <v>828</v>
      </c>
      <c r="D335" s="107" t="s">
        <v>1219</v>
      </c>
      <c r="E335" s="107" t="s">
        <v>1220</v>
      </c>
      <c r="F335" s="107" t="s">
        <v>77</v>
      </c>
      <c r="G335" s="107">
        <v>3</v>
      </c>
      <c r="H335" s="8"/>
      <c r="I335" s="3"/>
      <c r="J335" s="17"/>
      <c r="K335" s="309">
        <v>43.56</v>
      </c>
      <c r="L335" s="91">
        <f t="shared" ref="L335:L362" si="31">K335*J335</f>
        <v>0</v>
      </c>
      <c r="M335" s="310"/>
      <c r="N335" s="87"/>
    </row>
    <row r="336" spans="1:14" x14ac:dyDescent="0.2">
      <c r="A336" s="524"/>
      <c r="B336" s="53" t="s">
        <v>1221</v>
      </c>
      <c r="C336" s="106">
        <v>6817</v>
      </c>
      <c r="D336" s="107" t="s">
        <v>1222</v>
      </c>
      <c r="E336" s="107" t="s">
        <v>1223</v>
      </c>
      <c r="F336" s="107" t="s">
        <v>77</v>
      </c>
      <c r="G336" s="107">
        <v>6</v>
      </c>
      <c r="H336" s="8"/>
      <c r="I336" s="3"/>
      <c r="J336" s="17"/>
      <c r="K336" s="39">
        <v>127.08</v>
      </c>
      <c r="L336" s="91">
        <f t="shared" si="31"/>
        <v>0</v>
      </c>
      <c r="M336" s="310"/>
      <c r="N336" s="87"/>
    </row>
    <row r="337" spans="1:14" x14ac:dyDescent="0.2">
      <c r="A337" s="524"/>
      <c r="B337" s="53" t="s">
        <v>1224</v>
      </c>
      <c r="C337" s="106">
        <v>52577</v>
      </c>
      <c r="D337" s="107" t="s">
        <v>1225</v>
      </c>
      <c r="E337" s="107" t="s">
        <v>1226</v>
      </c>
      <c r="F337" s="107" t="s">
        <v>77</v>
      </c>
      <c r="G337" s="107">
        <v>6</v>
      </c>
      <c r="H337" s="8"/>
      <c r="I337" s="3"/>
      <c r="J337" s="17"/>
      <c r="K337" s="309">
        <v>64.14</v>
      </c>
      <c r="L337" s="91">
        <f t="shared" si="31"/>
        <v>0</v>
      </c>
      <c r="M337" s="310"/>
      <c r="N337" s="87">
        <f>K337/100</f>
        <v>0.64139999999999997</v>
      </c>
    </row>
    <row r="338" spans="1:14" x14ac:dyDescent="0.2">
      <c r="A338" s="524"/>
      <c r="B338" s="53" t="s">
        <v>1227</v>
      </c>
      <c r="C338" s="106">
        <v>153798</v>
      </c>
      <c r="D338" s="107" t="s">
        <v>1228</v>
      </c>
      <c r="E338" s="107" t="s">
        <v>1229</v>
      </c>
      <c r="F338" s="107" t="s">
        <v>77</v>
      </c>
      <c r="G338" s="107">
        <v>12</v>
      </c>
      <c r="H338" s="8"/>
      <c r="I338" s="3"/>
      <c r="J338" s="17"/>
      <c r="K338" s="309">
        <v>108.96</v>
      </c>
      <c r="L338" s="91">
        <f t="shared" si="31"/>
        <v>0</v>
      </c>
      <c r="M338" s="310"/>
      <c r="N338" s="87">
        <f>K338/300</f>
        <v>0.36319999999999997</v>
      </c>
    </row>
    <row r="339" spans="1:14" x14ac:dyDescent="0.2">
      <c r="A339" s="524"/>
      <c r="B339" s="53" t="s">
        <v>1230</v>
      </c>
      <c r="C339" s="106">
        <v>210191</v>
      </c>
      <c r="D339" s="107" t="s">
        <v>950</v>
      </c>
      <c r="E339" s="107" t="s">
        <v>1231</v>
      </c>
      <c r="F339" s="107" t="s">
        <v>77</v>
      </c>
      <c r="G339" s="107">
        <v>4</v>
      </c>
      <c r="H339" s="8"/>
      <c r="I339" s="3"/>
      <c r="J339" s="17"/>
      <c r="K339" s="309">
        <v>76.92</v>
      </c>
      <c r="L339" s="91">
        <f t="shared" si="31"/>
        <v>0</v>
      </c>
      <c r="M339" s="310">
        <f>K339/3.6</f>
        <v>21.366666666666667</v>
      </c>
      <c r="N339" s="87">
        <f>K339/3600*20</f>
        <v>0.42733333333333334</v>
      </c>
    </row>
    <row r="340" spans="1:14" x14ac:dyDescent="0.2">
      <c r="A340" s="524"/>
      <c r="B340" s="53" t="s">
        <v>1232</v>
      </c>
      <c r="C340" s="106">
        <v>168465</v>
      </c>
      <c r="D340" s="107" t="s">
        <v>1233</v>
      </c>
      <c r="E340" s="107" t="s">
        <v>1234</v>
      </c>
      <c r="F340" s="107" t="s">
        <v>77</v>
      </c>
      <c r="G340" s="107">
        <v>12</v>
      </c>
      <c r="H340" s="8"/>
      <c r="I340" s="3"/>
      <c r="J340" s="17"/>
      <c r="K340" s="309">
        <v>34.32</v>
      </c>
      <c r="L340" s="91">
        <f t="shared" si="31"/>
        <v>0</v>
      </c>
      <c r="M340" s="310">
        <f>K340/3.8</f>
        <v>9.0315789473684216</v>
      </c>
      <c r="N340" s="87">
        <f>K340/3800*20</f>
        <v>0.18063157894736842</v>
      </c>
    </row>
    <row r="341" spans="1:14" x14ac:dyDescent="0.2">
      <c r="A341" s="524"/>
      <c r="B341" s="53" t="s">
        <v>1235</v>
      </c>
      <c r="C341" s="106">
        <v>12512</v>
      </c>
      <c r="D341" s="107" t="s">
        <v>1225</v>
      </c>
      <c r="E341" s="107" t="s">
        <v>1236</v>
      </c>
      <c r="F341" s="107" t="s">
        <v>466</v>
      </c>
      <c r="G341" s="107">
        <v>6</v>
      </c>
      <c r="H341" s="8"/>
      <c r="I341" s="3"/>
      <c r="J341" s="17"/>
      <c r="K341" s="309">
        <v>12.69</v>
      </c>
      <c r="L341" s="91">
        <f t="shared" si="31"/>
        <v>0</v>
      </c>
      <c r="M341" s="310">
        <f>K341/2.55</f>
        <v>4.9764705882352942</v>
      </c>
      <c r="N341" s="87">
        <f>K341/2550*20</f>
        <v>9.952941176470588E-2</v>
      </c>
    </row>
    <row r="342" spans="1:14" x14ac:dyDescent="0.2">
      <c r="A342" s="524"/>
      <c r="B342" s="53" t="s">
        <v>1237</v>
      </c>
      <c r="C342" s="106">
        <v>4384</v>
      </c>
      <c r="D342" s="107" t="s">
        <v>1238</v>
      </c>
      <c r="E342" s="107" t="s">
        <v>495</v>
      </c>
      <c r="F342" s="107" t="s">
        <v>77</v>
      </c>
      <c r="G342" s="107">
        <v>6</v>
      </c>
      <c r="H342" s="8"/>
      <c r="I342" s="3"/>
      <c r="J342" s="17"/>
      <c r="K342" s="309">
        <v>64.2</v>
      </c>
      <c r="L342" s="91">
        <f t="shared" si="31"/>
        <v>0</v>
      </c>
      <c r="M342" s="310">
        <f>K342/8.8</f>
        <v>7.295454545454545</v>
      </c>
      <c r="N342" s="87">
        <f>K342/8880*10</f>
        <v>7.2297297297297308E-2</v>
      </c>
    </row>
    <row r="343" spans="1:14" x14ac:dyDescent="0.2">
      <c r="A343" s="524"/>
      <c r="B343" s="53" t="s">
        <v>1239</v>
      </c>
      <c r="C343" s="106">
        <v>141309</v>
      </c>
      <c r="D343" s="107" t="s">
        <v>1240</v>
      </c>
      <c r="E343" s="107" t="s">
        <v>1241</v>
      </c>
      <c r="F343" s="107" t="s">
        <v>77</v>
      </c>
      <c r="G343" s="107">
        <v>12</v>
      </c>
      <c r="H343" s="8"/>
      <c r="I343" s="3"/>
      <c r="J343" s="17"/>
      <c r="K343" s="309">
        <v>56.76</v>
      </c>
      <c r="L343" s="91">
        <f t="shared" si="31"/>
        <v>0</v>
      </c>
      <c r="M343" s="310">
        <f>K343/2.86</f>
        <v>19.846153846153847</v>
      </c>
      <c r="N343" s="87">
        <f>K343/2860*10</f>
        <v>0.19846153846153847</v>
      </c>
    </row>
    <row r="344" spans="1:14" x14ac:dyDescent="0.2">
      <c r="A344" s="524"/>
      <c r="B344" s="53" t="s">
        <v>1242</v>
      </c>
      <c r="C344" s="106">
        <v>149727</v>
      </c>
      <c r="D344" s="107" t="s">
        <v>1243</v>
      </c>
      <c r="E344" s="107" t="s">
        <v>1244</v>
      </c>
      <c r="F344" s="107" t="s">
        <v>77</v>
      </c>
      <c r="G344" s="107">
        <v>8</v>
      </c>
      <c r="H344" s="8"/>
      <c r="I344" s="3"/>
      <c r="J344" s="17"/>
      <c r="K344" s="309">
        <v>20.16</v>
      </c>
      <c r="L344" s="91">
        <f t="shared" si="31"/>
        <v>0</v>
      </c>
      <c r="M344" s="310">
        <f>K344/8.7</f>
        <v>2.317241379310345</v>
      </c>
      <c r="N344" s="87">
        <f>K344/9000*10</f>
        <v>2.2399999999999996E-2</v>
      </c>
    </row>
    <row r="345" spans="1:14" x14ac:dyDescent="0.2">
      <c r="A345" s="524"/>
      <c r="B345" s="53" t="s">
        <v>1245</v>
      </c>
      <c r="C345" s="106">
        <v>110635</v>
      </c>
      <c r="D345" s="107" t="s">
        <v>1246</v>
      </c>
      <c r="E345" s="107" t="s">
        <v>1247</v>
      </c>
      <c r="F345" s="107" t="s">
        <v>77</v>
      </c>
      <c r="G345" s="107">
        <v>6</v>
      </c>
      <c r="H345" s="8"/>
      <c r="I345" s="3"/>
      <c r="J345" s="17"/>
      <c r="K345" s="309">
        <v>100.56</v>
      </c>
      <c r="L345" s="91">
        <f t="shared" si="31"/>
        <v>0</v>
      </c>
      <c r="M345" s="310"/>
      <c r="N345" s="87"/>
    </row>
    <row r="346" spans="1:14" x14ac:dyDescent="0.2">
      <c r="A346" s="524"/>
      <c r="B346" s="53" t="s">
        <v>1248</v>
      </c>
      <c r="C346" s="106">
        <v>28947</v>
      </c>
      <c r="D346" s="107" t="s">
        <v>1249</v>
      </c>
      <c r="E346" s="107" t="s">
        <v>747</v>
      </c>
      <c r="F346" s="107" t="s">
        <v>77</v>
      </c>
      <c r="G346" s="107">
        <v>12</v>
      </c>
      <c r="H346" s="8"/>
      <c r="I346" s="3"/>
      <c r="J346" s="17"/>
      <c r="K346" s="309">
        <v>96</v>
      </c>
      <c r="L346" s="91">
        <f t="shared" si="31"/>
        <v>0</v>
      </c>
      <c r="M346" s="310">
        <f>K346/2.27</f>
        <v>42.290748898678416</v>
      </c>
      <c r="N346" s="87">
        <f>K346/2270*10</f>
        <v>0.4229074889867841</v>
      </c>
    </row>
    <row r="347" spans="1:14" x14ac:dyDescent="0.2">
      <c r="A347" s="524"/>
      <c r="B347" s="53" t="s">
        <v>1250</v>
      </c>
      <c r="C347" s="106">
        <v>58268</v>
      </c>
      <c r="D347" s="107" t="s">
        <v>1225</v>
      </c>
      <c r="E347" s="107" t="s">
        <v>1251</v>
      </c>
      <c r="F347" s="107" t="s">
        <v>77</v>
      </c>
      <c r="G347" s="107">
        <v>3</v>
      </c>
      <c r="H347" s="8"/>
      <c r="I347" s="3"/>
      <c r="J347" s="17"/>
      <c r="K347" s="309">
        <v>44.4</v>
      </c>
      <c r="L347" s="91">
        <f t="shared" si="31"/>
        <v>0</v>
      </c>
      <c r="M347" s="310">
        <f>K347/6</f>
        <v>7.3999999999999995</v>
      </c>
      <c r="N347" s="87">
        <f>K347/6000*50</f>
        <v>0.37</v>
      </c>
    </row>
    <row r="348" spans="1:14" x14ac:dyDescent="0.2">
      <c r="A348" s="524"/>
      <c r="B348" s="53" t="s">
        <v>1252</v>
      </c>
      <c r="C348" s="106">
        <v>210193</v>
      </c>
      <c r="D348" s="107" t="s">
        <v>950</v>
      </c>
      <c r="E348" s="107" t="s">
        <v>1253</v>
      </c>
      <c r="F348" s="107" t="s">
        <v>77</v>
      </c>
      <c r="G348" s="107">
        <v>4</v>
      </c>
      <c r="H348" s="8"/>
      <c r="I348" s="3"/>
      <c r="J348" s="17"/>
      <c r="K348" s="309">
        <v>71.040000000000006</v>
      </c>
      <c r="L348" s="91">
        <f t="shared" si="31"/>
        <v>0</v>
      </c>
      <c r="M348" s="310">
        <f>K348/2</f>
        <v>35.520000000000003</v>
      </c>
      <c r="N348" s="87">
        <f>K348/2000*10</f>
        <v>0.35520000000000002</v>
      </c>
    </row>
    <row r="349" spans="1:14" x14ac:dyDescent="0.2">
      <c r="A349" s="524"/>
      <c r="B349" s="53" t="s">
        <v>1254</v>
      </c>
      <c r="C349" s="106">
        <v>63782</v>
      </c>
      <c r="D349" s="107" t="s">
        <v>1039</v>
      </c>
      <c r="E349" s="107" t="s">
        <v>1255</v>
      </c>
      <c r="F349" s="107" t="s">
        <v>77</v>
      </c>
      <c r="G349" s="107">
        <v>2</v>
      </c>
      <c r="H349" s="8"/>
      <c r="I349" s="3"/>
      <c r="J349" s="17"/>
      <c r="K349" s="309">
        <v>68.88</v>
      </c>
      <c r="L349" s="91">
        <f t="shared" si="31"/>
        <v>0</v>
      </c>
      <c r="M349" s="310"/>
      <c r="N349" s="87"/>
    </row>
    <row r="350" spans="1:14" x14ac:dyDescent="0.2">
      <c r="A350" s="524"/>
      <c r="B350" s="53" t="s">
        <v>1256</v>
      </c>
      <c r="C350" s="106">
        <v>120236</v>
      </c>
      <c r="D350" s="107" t="s">
        <v>1257</v>
      </c>
      <c r="E350" s="107" t="s">
        <v>1258</v>
      </c>
      <c r="F350" s="107" t="s">
        <v>77</v>
      </c>
      <c r="G350" s="107">
        <v>4</v>
      </c>
      <c r="H350" s="8"/>
      <c r="I350" s="3"/>
      <c r="J350" s="17"/>
      <c r="K350" s="309">
        <v>77.12</v>
      </c>
      <c r="L350" s="91">
        <f t="shared" si="31"/>
        <v>0</v>
      </c>
      <c r="M350" s="310">
        <f>K350*1.67</f>
        <v>128.79040000000001</v>
      </c>
      <c r="N350" s="87">
        <f>K350/600*10</f>
        <v>1.2853333333333334</v>
      </c>
    </row>
    <row r="351" spans="1:14" x14ac:dyDescent="0.2">
      <c r="A351" s="524"/>
      <c r="B351" s="53" t="s">
        <v>1213</v>
      </c>
      <c r="C351" s="106">
        <v>13811</v>
      </c>
      <c r="D351" s="107" t="s">
        <v>1214</v>
      </c>
      <c r="E351" s="107" t="s">
        <v>1215</v>
      </c>
      <c r="F351" s="107" t="s">
        <v>77</v>
      </c>
      <c r="G351" s="107">
        <v>6</v>
      </c>
      <c r="H351" s="8"/>
      <c r="I351" s="3"/>
      <c r="J351" s="17"/>
      <c r="K351" s="309">
        <v>28.5</v>
      </c>
      <c r="L351" s="91">
        <f t="shared" si="31"/>
        <v>0</v>
      </c>
      <c r="M351" s="310"/>
      <c r="N351" s="87"/>
    </row>
    <row r="352" spans="1:14" x14ac:dyDescent="0.2">
      <c r="A352" s="524"/>
      <c r="B352" s="477" t="s">
        <v>1259</v>
      </c>
      <c r="C352" s="114">
        <v>128524</v>
      </c>
      <c r="D352" s="478" t="s">
        <v>1260</v>
      </c>
      <c r="E352" s="478" t="s">
        <v>1261</v>
      </c>
      <c r="F352" s="478" t="s">
        <v>77</v>
      </c>
      <c r="G352" s="478">
        <v>6</v>
      </c>
      <c r="H352" s="479"/>
      <c r="I352" s="3"/>
      <c r="J352" s="17"/>
      <c r="K352" s="309">
        <v>75</v>
      </c>
      <c r="L352" s="91">
        <f t="shared" si="31"/>
        <v>0</v>
      </c>
      <c r="M352" s="310">
        <f>K352/1.75</f>
        <v>42.857142857142854</v>
      </c>
      <c r="N352" s="87">
        <f>K352/1750*20</f>
        <v>0.85714285714285721</v>
      </c>
    </row>
    <row r="353" spans="1:14" x14ac:dyDescent="0.2">
      <c r="A353" s="524"/>
      <c r="B353" s="477" t="s">
        <v>1262</v>
      </c>
      <c r="C353" s="114">
        <v>148416</v>
      </c>
      <c r="D353" s="478" t="s">
        <v>1243</v>
      </c>
      <c r="E353" s="478" t="s">
        <v>1244</v>
      </c>
      <c r="F353" s="478" t="s">
        <v>77</v>
      </c>
      <c r="G353" s="478">
        <v>8</v>
      </c>
      <c r="H353" s="479"/>
      <c r="I353" s="3"/>
      <c r="J353" s="17"/>
      <c r="K353" s="309">
        <v>26.08</v>
      </c>
      <c r="L353" s="91">
        <f t="shared" si="31"/>
        <v>0</v>
      </c>
      <c r="M353" s="310">
        <f>K353/2</f>
        <v>13.04</v>
      </c>
      <c r="N353" s="87">
        <f>K353/2000*20</f>
        <v>0.26079999999999998</v>
      </c>
    </row>
    <row r="354" spans="1:14" x14ac:dyDescent="0.2">
      <c r="A354" s="524"/>
      <c r="B354" s="477" t="s">
        <v>1263</v>
      </c>
      <c r="C354" s="114">
        <v>836</v>
      </c>
      <c r="D354" s="478" t="s">
        <v>892</v>
      </c>
      <c r="E354" s="478" t="s">
        <v>1264</v>
      </c>
      <c r="F354" s="478" t="s">
        <v>77</v>
      </c>
      <c r="G354" s="478">
        <v>6</v>
      </c>
      <c r="H354" s="479"/>
      <c r="I354" s="3"/>
      <c r="J354" s="17"/>
      <c r="K354" s="309">
        <v>128.28</v>
      </c>
      <c r="L354" s="91">
        <f t="shared" si="31"/>
        <v>0</v>
      </c>
      <c r="M354" s="310">
        <f>K354/7.5</f>
        <v>17.103999999999999</v>
      </c>
      <c r="N354" s="87">
        <f>K354/7500*20</f>
        <v>0.34208000000000005</v>
      </c>
    </row>
    <row r="355" spans="1:14" x14ac:dyDescent="0.2">
      <c r="A355" s="524"/>
      <c r="B355" s="477" t="s">
        <v>1265</v>
      </c>
      <c r="C355" s="114">
        <v>153798</v>
      </c>
      <c r="D355" s="478" t="s">
        <v>1266</v>
      </c>
      <c r="E355" s="478" t="s">
        <v>1267</v>
      </c>
      <c r="F355" s="478" t="s">
        <v>77</v>
      </c>
      <c r="G355" s="478">
        <v>12</v>
      </c>
      <c r="H355" s="479"/>
      <c r="I355" s="3"/>
      <c r="J355" s="17"/>
      <c r="K355" s="309">
        <v>108.96</v>
      </c>
      <c r="L355" s="91">
        <f t="shared" si="31"/>
        <v>0</v>
      </c>
      <c r="M355" s="310"/>
      <c r="N355" s="87"/>
    </row>
    <row r="356" spans="1:14" x14ac:dyDescent="0.2">
      <c r="A356" s="524"/>
      <c r="B356" s="477" t="s">
        <v>1268</v>
      </c>
      <c r="C356" s="114">
        <v>8804</v>
      </c>
      <c r="D356" s="478" t="s">
        <v>1269</v>
      </c>
      <c r="E356" s="478" t="s">
        <v>1270</v>
      </c>
      <c r="F356" s="478" t="s">
        <v>77</v>
      </c>
      <c r="G356" s="478">
        <v>12</v>
      </c>
      <c r="H356" s="479"/>
      <c r="I356" s="3"/>
      <c r="J356" s="17"/>
      <c r="K356" s="309">
        <v>91.32</v>
      </c>
      <c r="L356" s="91">
        <f t="shared" si="31"/>
        <v>0</v>
      </c>
      <c r="M356" s="310">
        <f>K356/3</f>
        <v>30.439999999999998</v>
      </c>
      <c r="N356" s="87">
        <f>K356/3000*10</f>
        <v>0.3044</v>
      </c>
    </row>
    <row r="357" spans="1:14" x14ac:dyDescent="0.2">
      <c r="A357" s="524"/>
      <c r="B357" s="477" t="s">
        <v>1271</v>
      </c>
      <c r="C357" s="114">
        <v>80551</v>
      </c>
      <c r="D357" s="478" t="s">
        <v>892</v>
      </c>
      <c r="E357" s="478" t="s">
        <v>1272</v>
      </c>
      <c r="F357" s="478" t="s">
        <v>77</v>
      </c>
      <c r="G357" s="478">
        <v>6</v>
      </c>
      <c r="H357" s="479"/>
      <c r="I357" s="3"/>
      <c r="J357" s="17"/>
      <c r="K357" s="309">
        <v>108.84</v>
      </c>
      <c r="L357" s="91">
        <f t="shared" si="31"/>
        <v>0</v>
      </c>
      <c r="M357" s="310">
        <f>K357/2</f>
        <v>54.42</v>
      </c>
      <c r="N357" s="87">
        <f>K357/2000*10</f>
        <v>0.54420000000000002</v>
      </c>
    </row>
    <row r="358" spans="1:14" x14ac:dyDescent="0.2">
      <c r="A358" s="524"/>
      <c r="B358" s="477" t="s">
        <v>1273</v>
      </c>
      <c r="C358" s="114">
        <v>160278</v>
      </c>
      <c r="D358" s="478" t="s">
        <v>1274</v>
      </c>
      <c r="E358" s="478" t="s">
        <v>1275</v>
      </c>
      <c r="F358" s="478" t="s">
        <v>77</v>
      </c>
      <c r="G358" s="478">
        <v>6</v>
      </c>
      <c r="H358" s="479"/>
      <c r="I358" s="3"/>
      <c r="J358" s="17"/>
      <c r="K358" s="309">
        <v>83.52</v>
      </c>
      <c r="L358" s="91">
        <f t="shared" si="31"/>
        <v>0</v>
      </c>
      <c r="M358" s="310">
        <f>K358/2</f>
        <v>41.76</v>
      </c>
      <c r="N358" s="87">
        <f>K358/2000*10</f>
        <v>0.41759999999999997</v>
      </c>
    </row>
    <row r="359" spans="1:14" x14ac:dyDescent="0.2">
      <c r="A359" s="524"/>
      <c r="B359" s="477" t="s">
        <v>1276</v>
      </c>
      <c r="C359" s="114">
        <v>150514</v>
      </c>
      <c r="D359" s="478" t="s">
        <v>1243</v>
      </c>
      <c r="E359" s="478" t="s">
        <v>900</v>
      </c>
      <c r="F359" s="478" t="s">
        <v>77</v>
      </c>
      <c r="G359" s="478">
        <v>12</v>
      </c>
      <c r="H359" s="479"/>
      <c r="I359" s="3"/>
      <c r="J359" s="17"/>
      <c r="K359" s="309">
        <v>38.520000000000003</v>
      </c>
      <c r="L359" s="91">
        <f t="shared" si="31"/>
        <v>0</v>
      </c>
      <c r="M359" s="310">
        <f>K359/2</f>
        <v>19.260000000000002</v>
      </c>
      <c r="N359" s="87">
        <f>K359/2000*20</f>
        <v>0.38520000000000004</v>
      </c>
    </row>
    <row r="360" spans="1:14" x14ac:dyDescent="0.2">
      <c r="A360" s="524"/>
      <c r="B360" s="477" t="s">
        <v>1277</v>
      </c>
      <c r="C360" s="114">
        <v>160034</v>
      </c>
      <c r="D360" s="478" t="s">
        <v>892</v>
      </c>
      <c r="E360" s="478" t="s">
        <v>1278</v>
      </c>
      <c r="F360" s="478" t="s">
        <v>77</v>
      </c>
      <c r="G360" s="478">
        <v>3</v>
      </c>
      <c r="H360" s="479"/>
      <c r="I360" s="3"/>
      <c r="J360" s="17"/>
      <c r="K360" s="309">
        <v>30.84</v>
      </c>
      <c r="L360" s="91">
        <f t="shared" si="31"/>
        <v>0</v>
      </c>
      <c r="M360" s="310">
        <f>K360/3</f>
        <v>10.28</v>
      </c>
      <c r="N360" s="87">
        <f>K360/3000*10</f>
        <v>0.10279999999999999</v>
      </c>
    </row>
    <row r="361" spans="1:14" x14ac:dyDescent="0.2">
      <c r="A361" s="524"/>
      <c r="B361" s="477" t="s">
        <v>1279</v>
      </c>
      <c r="C361" s="114">
        <v>77588</v>
      </c>
      <c r="D361" s="478" t="s">
        <v>1280</v>
      </c>
      <c r="E361" s="478" t="s">
        <v>1281</v>
      </c>
      <c r="F361" s="478" t="s">
        <v>77</v>
      </c>
      <c r="G361" s="478">
        <v>12</v>
      </c>
      <c r="H361" s="479"/>
      <c r="I361" s="480"/>
      <c r="J361" s="17"/>
      <c r="K361" s="309">
        <v>48</v>
      </c>
      <c r="L361" s="91">
        <f t="shared" si="31"/>
        <v>0</v>
      </c>
      <c r="M361" s="310">
        <f>K361/1.8</f>
        <v>26.666666666666664</v>
      </c>
      <c r="N361" s="87">
        <f>K361/1800*5</f>
        <v>0.13333333333333333</v>
      </c>
    </row>
    <row r="362" spans="1:14" ht="17" thickBot="1" x14ac:dyDescent="0.25">
      <c r="A362" s="524"/>
      <c r="B362" s="477" t="s">
        <v>1282</v>
      </c>
      <c r="C362" s="114">
        <v>123314</v>
      </c>
      <c r="D362" s="478" t="s">
        <v>1243</v>
      </c>
      <c r="E362" s="478" t="s">
        <v>1278</v>
      </c>
      <c r="F362" s="478" t="s">
        <v>77</v>
      </c>
      <c r="G362" s="478">
        <v>3</v>
      </c>
      <c r="H362" s="479"/>
      <c r="I362" s="480"/>
      <c r="J362" s="17"/>
      <c r="K362" s="309">
        <v>35.159999999999997</v>
      </c>
      <c r="L362" s="91">
        <f t="shared" si="31"/>
        <v>0</v>
      </c>
      <c r="M362" s="310">
        <f>K362/2.3</f>
        <v>15.28695652173913</v>
      </c>
      <c r="N362" s="87">
        <f>K362/2300*20</f>
        <v>0.30573913043478257</v>
      </c>
    </row>
    <row r="363" spans="1:14" ht="35" thickBot="1" x14ac:dyDescent="0.25">
      <c r="B363" s="324" t="s">
        <v>1283</v>
      </c>
      <c r="C363" s="304" t="s">
        <v>65</v>
      </c>
      <c r="D363" s="305" t="s">
        <v>696</v>
      </c>
      <c r="E363" s="305" t="s">
        <v>697</v>
      </c>
      <c r="F363" s="305" t="s">
        <v>348</v>
      </c>
      <c r="G363" s="305" t="s">
        <v>349</v>
      </c>
      <c r="H363" s="278" t="s">
        <v>67</v>
      </c>
      <c r="I363" s="278" t="s">
        <v>68</v>
      </c>
      <c r="J363" s="278" t="s">
        <v>69</v>
      </c>
      <c r="K363" s="279" t="s">
        <v>70</v>
      </c>
      <c r="L363" s="280" t="s">
        <v>25</v>
      </c>
      <c r="M363" s="310"/>
      <c r="N363" s="87"/>
    </row>
    <row r="364" spans="1:14" x14ac:dyDescent="0.2">
      <c r="A364" s="524"/>
      <c r="B364" s="53" t="s">
        <v>1284</v>
      </c>
      <c r="C364" s="106">
        <v>63948</v>
      </c>
      <c r="D364" s="107" t="s">
        <v>351</v>
      </c>
      <c r="E364" s="107" t="s">
        <v>929</v>
      </c>
      <c r="F364" s="107" t="s">
        <v>77</v>
      </c>
      <c r="G364" s="107">
        <v>6</v>
      </c>
      <c r="H364" s="8"/>
      <c r="I364" s="3"/>
      <c r="J364" s="17"/>
      <c r="K364" s="309">
        <v>83.94</v>
      </c>
      <c r="L364" s="91">
        <f t="shared" si="24"/>
        <v>0</v>
      </c>
      <c r="M364" s="310">
        <f>K364/2.1</f>
        <v>39.971428571428568</v>
      </c>
      <c r="N364" s="87">
        <f>K364/2100*20</f>
        <v>0.79942857142857138</v>
      </c>
    </row>
    <row r="365" spans="1:14" x14ac:dyDescent="0.2">
      <c r="A365" s="524"/>
      <c r="B365" s="53" t="s">
        <v>1285</v>
      </c>
      <c r="C365" s="106">
        <v>63949</v>
      </c>
      <c r="D365" s="107" t="s">
        <v>351</v>
      </c>
      <c r="E365" s="107" t="s">
        <v>929</v>
      </c>
      <c r="F365" s="107" t="s">
        <v>77</v>
      </c>
      <c r="G365" s="107">
        <v>8</v>
      </c>
      <c r="H365" s="8"/>
      <c r="I365" s="3"/>
      <c r="J365" s="17"/>
      <c r="K365" s="309">
        <v>118.8</v>
      </c>
      <c r="L365" s="91">
        <f t="shared" ref="L365:L449" si="32">K365*J365</f>
        <v>0</v>
      </c>
      <c r="M365" s="310">
        <f>K365/6</f>
        <v>19.8</v>
      </c>
      <c r="N365" s="87">
        <f>K365/6000*20</f>
        <v>0.39599999999999996</v>
      </c>
    </row>
    <row r="366" spans="1:14" x14ac:dyDescent="0.2">
      <c r="A366" s="524"/>
      <c r="B366" s="53" t="s">
        <v>1286</v>
      </c>
      <c r="C366" s="106">
        <v>63945</v>
      </c>
      <c r="D366" s="107" t="s">
        <v>351</v>
      </c>
      <c r="E366" s="107" t="s">
        <v>1171</v>
      </c>
      <c r="F366" s="107" t="s">
        <v>77</v>
      </c>
      <c r="G366" s="107">
        <v>8</v>
      </c>
      <c r="H366" s="8"/>
      <c r="I366" s="3"/>
      <c r="J366" s="17"/>
      <c r="K366" s="309">
        <v>100.24</v>
      </c>
      <c r="L366" s="91">
        <f t="shared" si="32"/>
        <v>0</v>
      </c>
      <c r="M366" s="310">
        <f>K366/12</f>
        <v>8.3533333333333335</v>
      </c>
      <c r="N366" s="87">
        <f>K366/12000*20</f>
        <v>0.16706666666666664</v>
      </c>
    </row>
    <row r="367" spans="1:14" x14ac:dyDescent="0.2">
      <c r="A367" s="524"/>
      <c r="B367" s="53" t="s">
        <v>1287</v>
      </c>
      <c r="C367" s="106">
        <v>63950</v>
      </c>
      <c r="D367" s="107" t="s">
        <v>351</v>
      </c>
      <c r="E367" s="107" t="s">
        <v>929</v>
      </c>
      <c r="F367" s="107" t="s">
        <v>77</v>
      </c>
      <c r="G367" s="107">
        <v>8</v>
      </c>
      <c r="H367" s="8"/>
      <c r="I367" s="3"/>
      <c r="J367" s="17"/>
      <c r="K367" s="309">
        <v>123.12</v>
      </c>
      <c r="L367" s="91">
        <f t="shared" si="32"/>
        <v>0</v>
      </c>
      <c r="M367" s="310">
        <f>K367/3.48</f>
        <v>35.379310344827587</v>
      </c>
      <c r="N367" s="87">
        <f>K367/3480*10</f>
        <v>0.35379310344827586</v>
      </c>
    </row>
    <row r="368" spans="1:14" x14ac:dyDescent="0.2">
      <c r="A368" s="524"/>
      <c r="B368" s="53" t="s">
        <v>1288</v>
      </c>
      <c r="C368" s="106">
        <v>63954</v>
      </c>
      <c r="D368" s="107" t="s">
        <v>351</v>
      </c>
      <c r="E368" s="107" t="s">
        <v>929</v>
      </c>
      <c r="F368" s="107" t="s">
        <v>77</v>
      </c>
      <c r="G368" s="107">
        <v>8</v>
      </c>
      <c r="H368" s="8"/>
      <c r="I368" s="3"/>
      <c r="J368" s="17"/>
      <c r="K368" s="309">
        <v>137.84</v>
      </c>
      <c r="L368" s="91">
        <f t="shared" si="32"/>
        <v>0</v>
      </c>
      <c r="M368" s="310"/>
      <c r="N368" s="87"/>
    </row>
    <row r="369" spans="1:14" x14ac:dyDescent="0.2">
      <c r="A369" s="524"/>
      <c r="B369" s="53" t="s">
        <v>1289</v>
      </c>
      <c r="C369" s="106">
        <v>63960</v>
      </c>
      <c r="D369" s="107" t="s">
        <v>351</v>
      </c>
      <c r="E369" s="107" t="s">
        <v>929</v>
      </c>
      <c r="F369" s="107" t="s">
        <v>77</v>
      </c>
      <c r="G369" s="107">
        <v>8</v>
      </c>
      <c r="H369" s="8"/>
      <c r="I369" s="3"/>
      <c r="J369" s="17"/>
      <c r="K369" s="309">
        <v>98.48</v>
      </c>
      <c r="L369" s="91">
        <f t="shared" si="32"/>
        <v>0</v>
      </c>
      <c r="M369" s="310"/>
      <c r="N369" s="87"/>
    </row>
    <row r="370" spans="1:14" x14ac:dyDescent="0.2">
      <c r="A370" s="524"/>
      <c r="B370" s="53" t="s">
        <v>1290</v>
      </c>
      <c r="C370" s="106">
        <v>63963</v>
      </c>
      <c r="D370" s="107" t="s">
        <v>351</v>
      </c>
      <c r="E370" s="107" t="s">
        <v>929</v>
      </c>
      <c r="F370" s="107" t="s">
        <v>77</v>
      </c>
      <c r="G370" s="107">
        <v>8</v>
      </c>
      <c r="H370" s="8"/>
      <c r="I370" s="3"/>
      <c r="J370" s="17"/>
      <c r="K370" s="309">
        <v>49.28</v>
      </c>
      <c r="L370" s="91">
        <f t="shared" si="32"/>
        <v>0</v>
      </c>
      <c r="M370" s="310">
        <f>K370/1</f>
        <v>49.28</v>
      </c>
      <c r="N370" s="87">
        <f t="shared" ref="N370:N374" si="33">K370/1000*10</f>
        <v>0.49280000000000002</v>
      </c>
    </row>
    <row r="371" spans="1:14" x14ac:dyDescent="0.2">
      <c r="A371" s="524"/>
      <c r="B371" s="53" t="s">
        <v>1291</v>
      </c>
      <c r="C371" s="106">
        <v>63965</v>
      </c>
      <c r="D371" s="107" t="s">
        <v>351</v>
      </c>
      <c r="E371" s="107" t="s">
        <v>929</v>
      </c>
      <c r="F371" s="107" t="s">
        <v>77</v>
      </c>
      <c r="G371" s="107">
        <v>8</v>
      </c>
      <c r="H371" s="8"/>
      <c r="I371" s="3"/>
      <c r="J371" s="17"/>
      <c r="K371" s="309">
        <v>40.32</v>
      </c>
      <c r="L371" s="91">
        <f t="shared" si="32"/>
        <v>0</v>
      </c>
      <c r="M371" s="310">
        <f t="shared" ref="M371:M374" si="34">K371/1</f>
        <v>40.32</v>
      </c>
      <c r="N371" s="87">
        <f t="shared" si="33"/>
        <v>0.4032</v>
      </c>
    </row>
    <row r="372" spans="1:14" x14ac:dyDescent="0.2">
      <c r="A372" s="524"/>
      <c r="B372" s="53" t="s">
        <v>1292</v>
      </c>
      <c r="C372" s="106">
        <v>185998</v>
      </c>
      <c r="D372" s="107" t="s">
        <v>351</v>
      </c>
      <c r="E372" s="107" t="s">
        <v>929</v>
      </c>
      <c r="F372" s="107" t="s">
        <v>77</v>
      </c>
      <c r="G372" s="107">
        <v>8</v>
      </c>
      <c r="H372" s="8"/>
      <c r="I372" s="3"/>
      <c r="J372" s="17"/>
      <c r="K372" s="309">
        <v>82.08</v>
      </c>
      <c r="L372" s="91">
        <f>K372*J372</f>
        <v>0</v>
      </c>
      <c r="M372" s="310">
        <f t="shared" si="34"/>
        <v>82.08</v>
      </c>
      <c r="N372" s="87">
        <f t="shared" si="33"/>
        <v>0.82079999999999997</v>
      </c>
    </row>
    <row r="373" spans="1:14" x14ac:dyDescent="0.2">
      <c r="A373" s="524"/>
      <c r="B373" s="53" t="s">
        <v>1293</v>
      </c>
      <c r="C373" s="106">
        <v>190023</v>
      </c>
      <c r="D373" s="107" t="s">
        <v>351</v>
      </c>
      <c r="E373" s="107" t="s">
        <v>929</v>
      </c>
      <c r="F373" s="107" t="s">
        <v>77</v>
      </c>
      <c r="G373" s="107">
        <v>8</v>
      </c>
      <c r="H373" s="8"/>
      <c r="I373" s="3"/>
      <c r="J373" s="17"/>
      <c r="K373" s="309">
        <v>55.12</v>
      </c>
      <c r="L373" s="91">
        <f>K373*J373</f>
        <v>0</v>
      </c>
      <c r="M373" s="310">
        <f t="shared" si="34"/>
        <v>55.12</v>
      </c>
      <c r="N373" s="87">
        <f t="shared" si="33"/>
        <v>0.55119999999999991</v>
      </c>
    </row>
    <row r="374" spans="1:14" ht="17" thickBot="1" x14ac:dyDescent="0.25">
      <c r="A374" s="524"/>
      <c r="B374" s="53" t="s">
        <v>1294</v>
      </c>
      <c r="C374" s="530">
        <v>63973</v>
      </c>
      <c r="D374" s="107" t="s">
        <v>351</v>
      </c>
      <c r="E374" s="107" t="s">
        <v>929</v>
      </c>
      <c r="F374" s="107" t="s">
        <v>77</v>
      </c>
      <c r="G374" s="107">
        <v>8</v>
      </c>
      <c r="H374" s="8"/>
      <c r="I374" s="3"/>
      <c r="J374" s="17"/>
      <c r="K374" s="309">
        <v>93.96</v>
      </c>
      <c r="L374" s="91">
        <f t="shared" si="32"/>
        <v>0</v>
      </c>
      <c r="M374" s="310">
        <f t="shared" si="34"/>
        <v>93.96</v>
      </c>
      <c r="N374" s="87">
        <f t="shared" si="33"/>
        <v>0.93959999999999988</v>
      </c>
    </row>
    <row r="375" spans="1:14" ht="35" thickBot="1" x14ac:dyDescent="0.25">
      <c r="B375" s="324" t="s">
        <v>1295</v>
      </c>
      <c r="C375" s="304" t="s">
        <v>65</v>
      </c>
      <c r="D375" s="305" t="s">
        <v>696</v>
      </c>
      <c r="E375" s="305" t="s">
        <v>697</v>
      </c>
      <c r="F375" s="305" t="s">
        <v>348</v>
      </c>
      <c r="G375" s="305" t="s">
        <v>349</v>
      </c>
      <c r="H375" s="278" t="s">
        <v>67</v>
      </c>
      <c r="I375" s="278" t="s">
        <v>68</v>
      </c>
      <c r="J375" s="278" t="s">
        <v>69</v>
      </c>
      <c r="K375" s="279" t="s">
        <v>70</v>
      </c>
      <c r="L375" s="280" t="s">
        <v>25</v>
      </c>
      <c r="M375" s="310"/>
      <c r="N375" s="87"/>
    </row>
    <row r="376" spans="1:14" x14ac:dyDescent="0.2">
      <c r="A376" s="524"/>
      <c r="B376" s="53" t="s">
        <v>1296</v>
      </c>
      <c r="C376" s="106">
        <v>169225</v>
      </c>
      <c r="D376" s="107" t="s">
        <v>351</v>
      </c>
      <c r="E376" s="107" t="s">
        <v>1297</v>
      </c>
      <c r="F376" s="107" t="s">
        <v>77</v>
      </c>
      <c r="G376" s="107">
        <v>12</v>
      </c>
      <c r="H376" s="8"/>
      <c r="I376" s="3"/>
      <c r="J376" s="17"/>
      <c r="K376" s="309">
        <v>58.56</v>
      </c>
      <c r="L376" s="91">
        <f>K376*J376</f>
        <v>0</v>
      </c>
      <c r="M376" s="310">
        <f>K376/5.4</f>
        <v>10.844444444444445</v>
      </c>
      <c r="N376" s="87">
        <f>K376/5400*5</f>
        <v>5.4222222222222227E-2</v>
      </c>
    </row>
    <row r="377" spans="1:14" x14ac:dyDescent="0.2">
      <c r="A377" s="524"/>
      <c r="B377" s="99" t="s">
        <v>1298</v>
      </c>
      <c r="C377" s="106">
        <v>59059</v>
      </c>
      <c r="D377" s="107" t="s">
        <v>1299</v>
      </c>
      <c r="E377" s="107" t="s">
        <v>1300</v>
      </c>
      <c r="F377" s="107" t="s">
        <v>77</v>
      </c>
      <c r="G377" s="107">
        <v>4</v>
      </c>
      <c r="H377" s="8"/>
      <c r="I377" s="3"/>
      <c r="J377" s="17"/>
      <c r="K377" s="309">
        <v>186.2</v>
      </c>
      <c r="L377" s="91">
        <f t="shared" si="32"/>
        <v>0</v>
      </c>
      <c r="M377" s="310">
        <f>K377/16</f>
        <v>11.637499999999999</v>
      </c>
      <c r="N377" s="87">
        <f>K377/16000*10</f>
        <v>0.11637499999999998</v>
      </c>
    </row>
    <row r="378" spans="1:14" x14ac:dyDescent="0.2">
      <c r="A378" s="524"/>
      <c r="B378" s="53" t="s">
        <v>1301</v>
      </c>
      <c r="C378" s="106">
        <v>166821</v>
      </c>
      <c r="D378" s="107" t="s">
        <v>1115</v>
      </c>
      <c r="E378" s="107" t="s">
        <v>1302</v>
      </c>
      <c r="F378" s="107" t="s">
        <v>77</v>
      </c>
      <c r="G378" s="107">
        <v>6</v>
      </c>
      <c r="H378" s="8"/>
      <c r="I378" s="3"/>
      <c r="J378" s="17"/>
      <c r="K378" s="309">
        <v>178.2</v>
      </c>
      <c r="L378" s="91">
        <f t="shared" si="32"/>
        <v>0</v>
      </c>
      <c r="M378" s="310">
        <f>K378/7.68</f>
        <v>23.203125</v>
      </c>
      <c r="N378" s="87">
        <f>K378/7680*10</f>
        <v>0.23203124999999997</v>
      </c>
    </row>
    <row r="379" spans="1:14" ht="17" thickBot="1" x14ac:dyDescent="0.25">
      <c r="A379" s="524"/>
      <c r="B379" s="53" t="s">
        <v>1303</v>
      </c>
      <c r="C379" s="106">
        <v>108943</v>
      </c>
      <c r="D379" s="107" t="s">
        <v>1304</v>
      </c>
      <c r="E379" s="107" t="s">
        <v>1305</v>
      </c>
      <c r="F379" s="107" t="s">
        <v>77</v>
      </c>
      <c r="G379" s="107">
        <v>1</v>
      </c>
      <c r="H379" s="8"/>
      <c r="I379" s="3"/>
      <c r="J379" s="17"/>
      <c r="K379" s="309">
        <v>65.88</v>
      </c>
      <c r="L379" s="91">
        <f>K379*J379</f>
        <v>0</v>
      </c>
      <c r="M379" s="310">
        <f>K379/20</f>
        <v>3.2939999999999996</v>
      </c>
      <c r="N379" s="87">
        <f>K379/20000*10</f>
        <v>3.2939999999999997E-2</v>
      </c>
    </row>
    <row r="380" spans="1:14" ht="35" thickBot="1" x14ac:dyDescent="0.25">
      <c r="B380" s="324" t="s">
        <v>1306</v>
      </c>
      <c r="C380" s="304" t="s">
        <v>65</v>
      </c>
      <c r="D380" s="305" t="s">
        <v>696</v>
      </c>
      <c r="E380" s="305" t="s">
        <v>697</v>
      </c>
      <c r="F380" s="305" t="s">
        <v>348</v>
      </c>
      <c r="G380" s="305" t="s">
        <v>349</v>
      </c>
      <c r="H380" s="278" t="s">
        <v>67</v>
      </c>
      <c r="I380" s="278" t="s">
        <v>68</v>
      </c>
      <c r="J380" s="278" t="s">
        <v>69</v>
      </c>
      <c r="K380" s="279" t="s">
        <v>70</v>
      </c>
      <c r="L380" s="280" t="s">
        <v>25</v>
      </c>
      <c r="M380" s="310"/>
      <c r="N380" s="87"/>
    </row>
    <row r="381" spans="1:14" x14ac:dyDescent="0.2">
      <c r="A381" s="524"/>
      <c r="B381" s="53" t="s">
        <v>1307</v>
      </c>
      <c r="C381" s="106">
        <v>36205</v>
      </c>
      <c r="D381" s="107" t="s">
        <v>752</v>
      </c>
      <c r="E381" s="107" t="s">
        <v>1051</v>
      </c>
      <c r="F381" s="107" t="s">
        <v>77</v>
      </c>
      <c r="G381" s="107">
        <v>6</v>
      </c>
      <c r="H381" s="8"/>
      <c r="I381" s="3"/>
      <c r="J381" s="17"/>
      <c r="K381" s="309">
        <v>63.3</v>
      </c>
      <c r="L381" s="91">
        <f t="shared" si="32"/>
        <v>0</v>
      </c>
      <c r="M381" s="310"/>
      <c r="N381" s="87"/>
    </row>
    <row r="382" spans="1:14" x14ac:dyDescent="0.2">
      <c r="A382" s="524"/>
      <c r="B382" s="53" t="s">
        <v>1308</v>
      </c>
      <c r="C382" s="106">
        <v>71549</v>
      </c>
      <c r="D382" s="107" t="s">
        <v>752</v>
      </c>
      <c r="E382" s="107" t="s">
        <v>978</v>
      </c>
      <c r="F382" s="107" t="s">
        <v>77</v>
      </c>
      <c r="G382" s="107">
        <v>6</v>
      </c>
      <c r="H382" s="8"/>
      <c r="I382" s="3"/>
      <c r="J382" s="17"/>
      <c r="K382" s="309">
        <v>80.760000000000005</v>
      </c>
      <c r="L382" s="91">
        <f t="shared" si="32"/>
        <v>0</v>
      </c>
      <c r="M382" s="310">
        <f>K382/3</f>
        <v>26.92</v>
      </c>
      <c r="N382" s="87">
        <f>K382/3000*20</f>
        <v>0.5384000000000001</v>
      </c>
    </row>
    <row r="383" spans="1:14" x14ac:dyDescent="0.2">
      <c r="A383" s="524"/>
      <c r="B383" s="53" t="s">
        <v>1309</v>
      </c>
      <c r="C383" s="106">
        <v>48541</v>
      </c>
      <c r="D383" s="107" t="s">
        <v>752</v>
      </c>
      <c r="E383" s="107" t="s">
        <v>978</v>
      </c>
      <c r="F383" s="107" t="s">
        <v>77</v>
      </c>
      <c r="G383" s="107">
        <v>6</v>
      </c>
      <c r="H383" s="8"/>
      <c r="I383" s="3">
        <v>1</v>
      </c>
      <c r="J383" s="17"/>
      <c r="K383" s="309">
        <v>79.2</v>
      </c>
      <c r="L383" s="91">
        <f t="shared" si="32"/>
        <v>0</v>
      </c>
      <c r="M383" s="310">
        <f t="shared" ref="M383" si="35">K383/3</f>
        <v>26.400000000000002</v>
      </c>
      <c r="N383" s="87">
        <f>K383/3000*20</f>
        <v>0.52800000000000002</v>
      </c>
    </row>
    <row r="384" spans="1:14" x14ac:dyDescent="0.2">
      <c r="A384" s="524"/>
      <c r="B384" s="53" t="s">
        <v>1310</v>
      </c>
      <c r="C384" s="106">
        <v>164144</v>
      </c>
      <c r="D384" s="107" t="s">
        <v>1311</v>
      </c>
      <c r="E384" s="107" t="s">
        <v>978</v>
      </c>
      <c r="F384" s="107" t="s">
        <v>77</v>
      </c>
      <c r="G384" s="107">
        <v>6</v>
      </c>
      <c r="H384" s="8"/>
      <c r="I384" s="3"/>
      <c r="J384" s="17"/>
      <c r="K384" s="309">
        <v>91.38</v>
      </c>
      <c r="L384" s="91">
        <f t="shared" si="32"/>
        <v>0</v>
      </c>
      <c r="M384" s="310">
        <f>K384/2</f>
        <v>45.69</v>
      </c>
      <c r="N384" s="87">
        <f>K384/2000*20</f>
        <v>0.91379999999999995</v>
      </c>
    </row>
    <row r="385" spans="1:14" ht="17" thickBot="1" x14ac:dyDescent="0.25">
      <c r="A385" s="524"/>
      <c r="B385" s="53" t="s">
        <v>1312</v>
      </c>
      <c r="C385" s="106">
        <v>48176</v>
      </c>
      <c r="D385" s="107" t="s">
        <v>752</v>
      </c>
      <c r="E385" s="107" t="s">
        <v>1313</v>
      </c>
      <c r="F385" s="107" t="s">
        <v>77</v>
      </c>
      <c r="G385" s="107">
        <v>6</v>
      </c>
      <c r="H385" s="8"/>
      <c r="I385" s="3">
        <v>1</v>
      </c>
      <c r="J385" s="17"/>
      <c r="K385" s="309">
        <v>0.18809999999999999</v>
      </c>
      <c r="L385" s="91">
        <f t="shared" si="32"/>
        <v>0</v>
      </c>
      <c r="M385" s="310">
        <f t="shared" ref="M385" si="36">K385/2</f>
        <v>9.4049999999999995E-2</v>
      </c>
      <c r="N385" s="87">
        <f>K385/2000*20</f>
        <v>1.8809999999999999E-3</v>
      </c>
    </row>
    <row r="386" spans="1:14" ht="35" thickBot="1" x14ac:dyDescent="0.25">
      <c r="B386" s="324" t="s">
        <v>1314</v>
      </c>
      <c r="C386" s="304" t="s">
        <v>65</v>
      </c>
      <c r="D386" s="305" t="s">
        <v>696</v>
      </c>
      <c r="E386" s="305" t="s">
        <v>697</v>
      </c>
      <c r="F386" s="305" t="s">
        <v>348</v>
      </c>
      <c r="G386" s="305" t="s">
        <v>349</v>
      </c>
      <c r="H386" s="278" t="s">
        <v>67</v>
      </c>
      <c r="I386" s="278" t="s">
        <v>68</v>
      </c>
      <c r="J386" s="278" t="s">
        <v>69</v>
      </c>
      <c r="K386" s="279" t="s">
        <v>70</v>
      </c>
      <c r="L386" s="280" t="s">
        <v>25</v>
      </c>
      <c r="M386" s="310"/>
      <c r="N386" s="87"/>
    </row>
    <row r="387" spans="1:14" x14ac:dyDescent="0.2">
      <c r="A387" s="524"/>
      <c r="B387" s="495" t="s">
        <v>1315</v>
      </c>
      <c r="C387" s="114">
        <v>7774</v>
      </c>
      <c r="D387" s="478" t="s">
        <v>892</v>
      </c>
      <c r="E387" s="478" t="s">
        <v>1316</v>
      </c>
      <c r="F387" s="478" t="s">
        <v>77</v>
      </c>
      <c r="G387" s="478">
        <v>1</v>
      </c>
      <c r="H387" s="479"/>
      <c r="I387" s="496"/>
      <c r="J387" s="17"/>
      <c r="K387" s="476">
        <v>20.93</v>
      </c>
      <c r="L387" s="91">
        <f t="shared" si="32"/>
        <v>0</v>
      </c>
      <c r="M387" s="310"/>
      <c r="N387" s="87"/>
    </row>
    <row r="388" spans="1:14" x14ac:dyDescent="0.2">
      <c r="A388" s="524"/>
      <c r="B388" s="495" t="s">
        <v>1317</v>
      </c>
      <c r="C388" s="114">
        <v>79955</v>
      </c>
      <c r="D388" s="478" t="s">
        <v>892</v>
      </c>
      <c r="E388" s="478" t="s">
        <v>1318</v>
      </c>
      <c r="F388" s="478" t="s">
        <v>77</v>
      </c>
      <c r="G388" s="478">
        <v>1</v>
      </c>
      <c r="H388" s="479"/>
      <c r="I388" s="496"/>
      <c r="J388" s="17"/>
      <c r="K388" s="476">
        <v>17.84</v>
      </c>
      <c r="L388" s="91">
        <f t="shared" si="32"/>
        <v>0</v>
      </c>
      <c r="M388" s="310"/>
      <c r="N388" s="87"/>
    </row>
    <row r="389" spans="1:14" x14ac:dyDescent="0.2">
      <c r="A389" s="524"/>
      <c r="B389" s="495" t="s">
        <v>1319</v>
      </c>
      <c r="C389" s="114">
        <v>7776</v>
      </c>
      <c r="D389" s="478" t="s">
        <v>892</v>
      </c>
      <c r="E389" s="478" t="s">
        <v>1320</v>
      </c>
      <c r="F389" s="478" t="s">
        <v>77</v>
      </c>
      <c r="G389" s="478">
        <v>1</v>
      </c>
      <c r="H389" s="479"/>
      <c r="I389" s="496"/>
      <c r="J389" s="17"/>
      <c r="K389" s="476">
        <v>16.21</v>
      </c>
      <c r="L389" s="91">
        <f t="shared" si="32"/>
        <v>0</v>
      </c>
      <c r="M389" s="310"/>
      <c r="N389" s="87"/>
    </row>
    <row r="390" spans="1:14" x14ac:dyDescent="0.2">
      <c r="A390" s="524"/>
      <c r="B390" s="495" t="s">
        <v>1321</v>
      </c>
      <c r="C390" s="114">
        <v>79954</v>
      </c>
      <c r="D390" s="478" t="s">
        <v>892</v>
      </c>
      <c r="E390" s="478" t="s">
        <v>1318</v>
      </c>
      <c r="F390" s="478" t="s">
        <v>77</v>
      </c>
      <c r="G390" s="478">
        <v>1</v>
      </c>
      <c r="H390" s="479"/>
      <c r="I390" s="496"/>
      <c r="J390" s="17"/>
      <c r="K390" s="476">
        <v>17.84</v>
      </c>
      <c r="L390" s="91">
        <f t="shared" si="32"/>
        <v>0</v>
      </c>
      <c r="M390" s="310"/>
      <c r="N390" s="87"/>
    </row>
    <row r="391" spans="1:14" x14ac:dyDescent="0.2">
      <c r="A391" s="524"/>
      <c r="B391" s="495" t="s">
        <v>1322</v>
      </c>
      <c r="C391" s="114">
        <v>7873</v>
      </c>
      <c r="D391" s="478" t="s">
        <v>892</v>
      </c>
      <c r="E391" s="478" t="s">
        <v>1323</v>
      </c>
      <c r="F391" s="478" t="s">
        <v>77</v>
      </c>
      <c r="G391" s="478">
        <v>1</v>
      </c>
      <c r="H391" s="479"/>
      <c r="I391" s="496"/>
      <c r="J391" s="17"/>
      <c r="K391" s="476">
        <v>20.52</v>
      </c>
      <c r="L391" s="91">
        <f t="shared" si="32"/>
        <v>0</v>
      </c>
      <c r="M391" s="310"/>
      <c r="N391" s="87"/>
    </row>
    <row r="392" spans="1:14" x14ac:dyDescent="0.2">
      <c r="A392" s="524"/>
      <c r="B392" s="495" t="s">
        <v>1324</v>
      </c>
      <c r="C392" s="114">
        <v>158352</v>
      </c>
      <c r="D392" s="478" t="s">
        <v>1148</v>
      </c>
      <c r="E392" s="478" t="s">
        <v>1325</v>
      </c>
      <c r="F392" s="478" t="s">
        <v>77</v>
      </c>
      <c r="G392" s="478">
        <v>6</v>
      </c>
      <c r="H392" s="479"/>
      <c r="I392" s="496"/>
      <c r="J392" s="17"/>
      <c r="K392" s="476">
        <v>69.599999999999994</v>
      </c>
      <c r="L392" s="91">
        <f t="shared" si="32"/>
        <v>0</v>
      </c>
      <c r="M392" s="310"/>
      <c r="N392" s="87"/>
    </row>
    <row r="393" spans="1:14" x14ac:dyDescent="0.2">
      <c r="A393" s="524"/>
      <c r="B393" s="495" t="s">
        <v>1326</v>
      </c>
      <c r="C393" s="114">
        <v>8364</v>
      </c>
      <c r="D393" s="478" t="s">
        <v>1257</v>
      </c>
      <c r="E393" s="478" t="s">
        <v>1327</v>
      </c>
      <c r="F393" s="478" t="s">
        <v>77</v>
      </c>
      <c r="G393" s="478">
        <v>6</v>
      </c>
      <c r="H393" s="479"/>
      <c r="I393" s="496"/>
      <c r="J393" s="17"/>
      <c r="K393" s="476">
        <v>26.58</v>
      </c>
      <c r="L393" s="91">
        <f t="shared" si="32"/>
        <v>0</v>
      </c>
      <c r="M393" s="310"/>
      <c r="N393" s="87"/>
    </row>
    <row r="394" spans="1:14" x14ac:dyDescent="0.2">
      <c r="A394" s="524"/>
      <c r="B394" s="495" t="s">
        <v>1328</v>
      </c>
      <c r="C394" s="114">
        <v>2322</v>
      </c>
      <c r="D394" s="478" t="s">
        <v>1257</v>
      </c>
      <c r="E394" s="478" t="s">
        <v>1327</v>
      </c>
      <c r="F394" s="478" t="s">
        <v>77</v>
      </c>
      <c r="G394" s="595" t="s">
        <v>1329</v>
      </c>
      <c r="H394" s="479"/>
      <c r="I394" s="496"/>
      <c r="J394" s="17"/>
      <c r="K394" s="476">
        <v>26.58</v>
      </c>
      <c r="L394" s="91">
        <f t="shared" si="32"/>
        <v>0</v>
      </c>
      <c r="M394" s="310"/>
      <c r="N394" s="87"/>
    </row>
    <row r="395" spans="1:14" x14ac:dyDescent="0.2">
      <c r="A395" s="524"/>
      <c r="B395" s="495" t="s">
        <v>1330</v>
      </c>
      <c r="C395" s="114">
        <v>100100</v>
      </c>
      <c r="D395" s="478" t="s">
        <v>1331</v>
      </c>
      <c r="E395" s="478" t="s">
        <v>1332</v>
      </c>
      <c r="F395" s="478" t="s">
        <v>77</v>
      </c>
      <c r="G395" s="478">
        <v>6</v>
      </c>
      <c r="H395" s="479"/>
      <c r="I395" s="496"/>
      <c r="J395" s="17"/>
      <c r="K395" s="476">
        <v>48.36</v>
      </c>
      <c r="L395" s="91">
        <f t="shared" si="32"/>
        <v>0</v>
      </c>
      <c r="M395" s="310"/>
      <c r="N395" s="87"/>
    </row>
    <row r="396" spans="1:14" x14ac:dyDescent="0.2">
      <c r="A396" s="524"/>
      <c r="B396" s="495" t="s">
        <v>1333</v>
      </c>
      <c r="C396" s="114">
        <v>4745</v>
      </c>
      <c r="D396" s="478" t="s">
        <v>1334</v>
      </c>
      <c r="E396" s="478" t="s">
        <v>1327</v>
      </c>
      <c r="F396" s="478" t="s">
        <v>77</v>
      </c>
      <c r="G396" s="478">
        <v>6</v>
      </c>
      <c r="H396" s="479"/>
      <c r="I396" s="496"/>
      <c r="J396" s="17"/>
      <c r="K396" s="476">
        <v>26.58</v>
      </c>
      <c r="L396" s="91">
        <f t="shared" si="32"/>
        <v>0</v>
      </c>
      <c r="M396" s="310"/>
      <c r="N396" s="87"/>
    </row>
    <row r="397" spans="1:14" x14ac:dyDescent="0.2">
      <c r="A397" s="524"/>
      <c r="B397" s="495" t="s">
        <v>1335</v>
      </c>
      <c r="C397" s="114">
        <v>4894</v>
      </c>
      <c r="D397" s="478" t="s">
        <v>1334</v>
      </c>
      <c r="E397" s="478" t="s">
        <v>1327</v>
      </c>
      <c r="F397" s="478" t="s">
        <v>77</v>
      </c>
      <c r="G397" s="478">
        <v>6</v>
      </c>
      <c r="H397" s="479"/>
      <c r="I397" s="496"/>
      <c r="J397" s="17"/>
      <c r="K397" s="476">
        <v>26.58</v>
      </c>
      <c r="L397" s="91">
        <f t="shared" si="32"/>
        <v>0</v>
      </c>
      <c r="M397" s="310"/>
      <c r="N397" s="87"/>
    </row>
    <row r="398" spans="1:14" x14ac:dyDescent="0.2">
      <c r="A398" s="524"/>
      <c r="B398" s="495" t="s">
        <v>1336</v>
      </c>
      <c r="C398" s="114">
        <v>2236</v>
      </c>
      <c r="D398" s="478" t="s">
        <v>1334</v>
      </c>
      <c r="E398" s="478" t="s">
        <v>1327</v>
      </c>
      <c r="F398" s="478" t="s">
        <v>77</v>
      </c>
      <c r="G398" s="478">
        <v>6</v>
      </c>
      <c r="H398" s="479"/>
      <c r="I398" s="496"/>
      <c r="J398" s="17"/>
      <c r="K398" s="476">
        <v>26.58</v>
      </c>
      <c r="L398" s="91">
        <f t="shared" si="32"/>
        <v>0</v>
      </c>
      <c r="M398" s="310"/>
      <c r="N398" s="87"/>
    </row>
    <row r="399" spans="1:14" x14ac:dyDescent="0.2">
      <c r="A399" s="524"/>
      <c r="B399" s="495" t="s">
        <v>1337</v>
      </c>
      <c r="C399" s="114">
        <v>7865</v>
      </c>
      <c r="D399" s="478" t="s">
        <v>892</v>
      </c>
      <c r="E399" s="478" t="s">
        <v>1316</v>
      </c>
      <c r="F399" s="478" t="s">
        <v>77</v>
      </c>
      <c r="G399" s="478">
        <v>6</v>
      </c>
      <c r="H399" s="479"/>
      <c r="I399" s="496"/>
      <c r="J399" s="17"/>
      <c r="K399" s="476">
        <v>20.93</v>
      </c>
      <c r="L399" s="91">
        <f t="shared" si="32"/>
        <v>0</v>
      </c>
      <c r="M399" s="310"/>
      <c r="N399" s="87"/>
    </row>
    <row r="400" spans="1:14" x14ac:dyDescent="0.2">
      <c r="A400" s="524"/>
      <c r="B400" s="495" t="s">
        <v>1338</v>
      </c>
      <c r="C400" s="114">
        <v>100101</v>
      </c>
      <c r="D400" s="478" t="s">
        <v>892</v>
      </c>
      <c r="E400" s="478" t="s">
        <v>1339</v>
      </c>
      <c r="F400" s="478" t="s">
        <v>77</v>
      </c>
      <c r="G400" s="478">
        <v>6</v>
      </c>
      <c r="H400" s="479"/>
      <c r="I400" s="496"/>
      <c r="J400" s="17"/>
      <c r="K400" s="476">
        <v>91.8</v>
      </c>
      <c r="L400" s="91">
        <f t="shared" si="32"/>
        <v>0</v>
      </c>
      <c r="M400" s="310"/>
      <c r="N400" s="87"/>
    </row>
    <row r="401" spans="1:14" x14ac:dyDescent="0.2">
      <c r="A401" s="524"/>
      <c r="B401" s="495" t="s">
        <v>1340</v>
      </c>
      <c r="C401" s="114">
        <v>7871</v>
      </c>
      <c r="D401" s="478" t="s">
        <v>892</v>
      </c>
      <c r="E401" s="478" t="s">
        <v>1341</v>
      </c>
      <c r="F401" s="478" t="s">
        <v>77</v>
      </c>
      <c r="G401" s="478">
        <v>1</v>
      </c>
      <c r="H401" s="479"/>
      <c r="I401" s="496"/>
      <c r="J401" s="17"/>
      <c r="K401" s="497">
        <v>20.93</v>
      </c>
      <c r="L401" s="91">
        <f t="shared" si="32"/>
        <v>0</v>
      </c>
      <c r="M401" s="310"/>
      <c r="N401" s="87"/>
    </row>
    <row r="402" spans="1:14" x14ac:dyDescent="0.2">
      <c r="A402" s="524"/>
      <c r="B402" s="495" t="s">
        <v>1342</v>
      </c>
      <c r="C402" s="114">
        <v>65235</v>
      </c>
      <c r="D402" s="478" t="s">
        <v>892</v>
      </c>
      <c r="E402" s="478" t="s">
        <v>1323</v>
      </c>
      <c r="F402" s="478" t="s">
        <v>77</v>
      </c>
      <c r="G402" s="478">
        <v>1</v>
      </c>
      <c r="H402" s="479"/>
      <c r="I402" s="496"/>
      <c r="J402" s="17"/>
      <c r="K402" s="497">
        <v>20.93</v>
      </c>
      <c r="L402" s="91">
        <f t="shared" si="32"/>
        <v>0</v>
      </c>
      <c r="M402" s="310"/>
      <c r="N402" s="87"/>
    </row>
    <row r="403" spans="1:14" x14ac:dyDescent="0.2">
      <c r="A403" s="524"/>
      <c r="B403" s="495" t="s">
        <v>1343</v>
      </c>
      <c r="C403" s="114">
        <v>1965</v>
      </c>
      <c r="D403" s="478" t="s">
        <v>892</v>
      </c>
      <c r="E403" s="478" t="s">
        <v>1323</v>
      </c>
      <c r="F403" s="478" t="s">
        <v>77</v>
      </c>
      <c r="G403" s="478">
        <v>1</v>
      </c>
      <c r="H403" s="479"/>
      <c r="I403" s="496"/>
      <c r="J403" s="17"/>
      <c r="K403" s="497">
        <v>13.69</v>
      </c>
      <c r="L403" s="91">
        <f t="shared" si="32"/>
        <v>0</v>
      </c>
      <c r="M403" s="310"/>
      <c r="N403" s="87"/>
    </row>
    <row r="404" spans="1:14" x14ac:dyDescent="0.2">
      <c r="A404" s="524"/>
      <c r="B404" s="495" t="s">
        <v>1344</v>
      </c>
      <c r="C404" s="114">
        <v>7710</v>
      </c>
      <c r="D404" s="478" t="s">
        <v>892</v>
      </c>
      <c r="E404" s="478" t="s">
        <v>1320</v>
      </c>
      <c r="F404" s="478" t="s">
        <v>77</v>
      </c>
      <c r="G404" s="478">
        <v>1</v>
      </c>
      <c r="H404" s="479"/>
      <c r="I404" s="496"/>
      <c r="J404" s="17"/>
      <c r="K404" s="497">
        <v>17.809999999999999</v>
      </c>
      <c r="L404" s="91">
        <f t="shared" si="32"/>
        <v>0</v>
      </c>
      <c r="M404" s="310"/>
      <c r="N404" s="87"/>
    </row>
    <row r="405" spans="1:14" x14ac:dyDescent="0.2">
      <c r="A405" s="524"/>
      <c r="B405" s="495" t="s">
        <v>1345</v>
      </c>
      <c r="C405" s="114">
        <v>539</v>
      </c>
      <c r="D405" s="478" t="s">
        <v>1346</v>
      </c>
      <c r="E405" s="478" t="s">
        <v>1347</v>
      </c>
      <c r="F405" s="478" t="s">
        <v>77</v>
      </c>
      <c r="G405" s="478">
        <v>1</v>
      </c>
      <c r="H405" s="479"/>
      <c r="I405" s="496"/>
      <c r="J405" s="17"/>
      <c r="K405" s="497">
        <v>13.5</v>
      </c>
      <c r="L405" s="91">
        <f t="shared" si="32"/>
        <v>0</v>
      </c>
      <c r="M405" s="310"/>
      <c r="N405" s="87"/>
    </row>
    <row r="406" spans="1:14" ht="17" thickBot="1" x14ac:dyDescent="0.25">
      <c r="A406" s="524"/>
      <c r="B406" s="495" t="s">
        <v>1348</v>
      </c>
      <c r="C406" s="114">
        <v>538</v>
      </c>
      <c r="D406" s="478" t="s">
        <v>1346</v>
      </c>
      <c r="E406" s="478" t="s">
        <v>1347</v>
      </c>
      <c r="F406" s="478" t="s">
        <v>77</v>
      </c>
      <c r="G406" s="478">
        <v>1</v>
      </c>
      <c r="H406" s="479"/>
      <c r="I406" s="496"/>
      <c r="J406" s="17"/>
      <c r="K406" s="497">
        <v>27.32</v>
      </c>
      <c r="L406" s="91">
        <f t="shared" si="32"/>
        <v>0</v>
      </c>
      <c r="M406" s="310"/>
      <c r="N406" s="87"/>
    </row>
    <row r="407" spans="1:14" ht="35" thickBot="1" x14ac:dyDescent="0.25">
      <c r="B407" s="324" t="s">
        <v>1349</v>
      </c>
      <c r="C407" s="304" t="s">
        <v>65</v>
      </c>
      <c r="D407" s="305" t="s">
        <v>696</v>
      </c>
      <c r="E407" s="305" t="s">
        <v>697</v>
      </c>
      <c r="F407" s="305" t="s">
        <v>348</v>
      </c>
      <c r="G407" s="305" t="s">
        <v>349</v>
      </c>
      <c r="H407" s="278" t="s">
        <v>67</v>
      </c>
      <c r="I407" s="278" t="s">
        <v>68</v>
      </c>
      <c r="J407" s="278" t="s">
        <v>69</v>
      </c>
      <c r="K407" s="279" t="s">
        <v>70</v>
      </c>
      <c r="L407" s="280" t="s">
        <v>25</v>
      </c>
      <c r="M407" s="310"/>
      <c r="N407" s="87"/>
    </row>
    <row r="408" spans="1:14" x14ac:dyDescent="0.2">
      <c r="A408" s="524"/>
      <c r="B408" s="53" t="s">
        <v>1350</v>
      </c>
      <c r="C408" s="106">
        <v>149862</v>
      </c>
      <c r="D408" s="107" t="s">
        <v>531</v>
      </c>
      <c r="E408" s="107" t="s">
        <v>1351</v>
      </c>
      <c r="F408" s="107" t="s">
        <v>77</v>
      </c>
      <c r="G408" s="107">
        <v>1</v>
      </c>
      <c r="H408" s="8"/>
      <c r="I408" s="3"/>
      <c r="J408" s="17"/>
      <c r="K408" s="309">
        <v>36.25</v>
      </c>
      <c r="L408" s="91">
        <f t="shared" ref="L408:L415" si="37">K408*J408</f>
        <v>0</v>
      </c>
      <c r="M408" s="310"/>
      <c r="N408" s="87"/>
    </row>
    <row r="409" spans="1:14" x14ac:dyDescent="0.2">
      <c r="A409" s="524"/>
      <c r="B409" s="614" t="s">
        <v>1352</v>
      </c>
      <c r="C409" s="584">
        <v>137962</v>
      </c>
      <c r="D409" s="532" t="s">
        <v>1353</v>
      </c>
      <c r="E409" s="107" t="s">
        <v>1354</v>
      </c>
      <c r="F409" s="107" t="s">
        <v>77</v>
      </c>
      <c r="G409" s="107">
        <v>1</v>
      </c>
      <c r="H409" s="8"/>
      <c r="I409" s="3"/>
      <c r="J409" s="17"/>
      <c r="K409" s="309">
        <v>11.88</v>
      </c>
      <c r="L409" s="91">
        <f t="shared" si="37"/>
        <v>0</v>
      </c>
      <c r="M409" s="310"/>
      <c r="N409" s="87"/>
    </row>
    <row r="410" spans="1:14" x14ac:dyDescent="0.2">
      <c r="A410" s="524"/>
      <c r="B410" s="53" t="s">
        <v>1355</v>
      </c>
      <c r="C410" s="106">
        <v>36524</v>
      </c>
      <c r="D410" s="107" t="s">
        <v>1356</v>
      </c>
      <c r="E410" s="107" t="s">
        <v>1357</v>
      </c>
      <c r="F410" s="107" t="s">
        <v>77</v>
      </c>
      <c r="G410" s="107">
        <v>1</v>
      </c>
      <c r="H410" s="8"/>
      <c r="I410" s="3"/>
      <c r="J410" s="17"/>
      <c r="K410" s="309">
        <v>14.8</v>
      </c>
      <c r="L410" s="91">
        <f t="shared" si="37"/>
        <v>0</v>
      </c>
      <c r="M410" s="310">
        <f>K410*1.19</f>
        <v>17.611999999999998</v>
      </c>
      <c r="N410" s="87">
        <f>K410/12</f>
        <v>1.2333333333333334</v>
      </c>
    </row>
    <row r="411" spans="1:14" x14ac:dyDescent="0.2">
      <c r="A411" s="524"/>
      <c r="B411" s="53" t="s">
        <v>1358</v>
      </c>
      <c r="C411" s="106">
        <v>42548</v>
      </c>
      <c r="D411" s="107" t="s">
        <v>1356</v>
      </c>
      <c r="E411" s="107" t="s">
        <v>1357</v>
      </c>
      <c r="F411" s="107" t="s">
        <v>77</v>
      </c>
      <c r="G411" s="107">
        <v>1</v>
      </c>
      <c r="H411" s="8"/>
      <c r="I411" s="3"/>
      <c r="J411" s="17"/>
      <c r="K411" s="309">
        <v>14.8</v>
      </c>
      <c r="L411" s="91">
        <f t="shared" si="37"/>
        <v>0</v>
      </c>
      <c r="M411" s="310">
        <f t="shared" ref="M411" si="38">K411*1.19</f>
        <v>17.611999999999998</v>
      </c>
      <c r="N411" s="87">
        <f>K411/12</f>
        <v>1.2333333333333334</v>
      </c>
    </row>
    <row r="412" spans="1:14" x14ac:dyDescent="0.2">
      <c r="A412" s="524"/>
      <c r="B412" s="53" t="s">
        <v>1359</v>
      </c>
      <c r="C412" s="106">
        <v>42549</v>
      </c>
      <c r="D412" s="107" t="s">
        <v>1356</v>
      </c>
      <c r="E412" s="107" t="s">
        <v>1357</v>
      </c>
      <c r="F412" s="107" t="s">
        <v>77</v>
      </c>
      <c r="G412" s="107">
        <v>1</v>
      </c>
      <c r="H412" s="8"/>
      <c r="I412" s="3"/>
      <c r="J412" s="17"/>
      <c r="K412" s="309">
        <v>14.8</v>
      </c>
      <c r="L412" s="91">
        <f t="shared" si="37"/>
        <v>0</v>
      </c>
      <c r="M412" s="310"/>
      <c r="N412" s="87"/>
    </row>
    <row r="413" spans="1:14" x14ac:dyDescent="0.2">
      <c r="A413" s="524"/>
      <c r="B413" s="53" t="s">
        <v>1360</v>
      </c>
      <c r="C413" s="106">
        <v>200410</v>
      </c>
      <c r="D413" s="107" t="s">
        <v>1356</v>
      </c>
      <c r="E413" s="107" t="s">
        <v>1357</v>
      </c>
      <c r="F413" s="107" t="s">
        <v>77</v>
      </c>
      <c r="G413" s="107">
        <v>1</v>
      </c>
      <c r="H413" s="8"/>
      <c r="I413" s="3"/>
      <c r="J413" s="17"/>
      <c r="K413" s="309">
        <v>14.8</v>
      </c>
      <c r="L413" s="91">
        <f t="shared" si="37"/>
        <v>0</v>
      </c>
      <c r="M413" s="310"/>
      <c r="N413" s="87"/>
    </row>
    <row r="414" spans="1:14" x14ac:dyDescent="0.2">
      <c r="A414" s="524"/>
      <c r="B414" s="53" t="s">
        <v>1361</v>
      </c>
      <c r="C414" s="106">
        <v>128666</v>
      </c>
      <c r="D414" s="107" t="s">
        <v>1362</v>
      </c>
      <c r="E414" s="107" t="s">
        <v>1087</v>
      </c>
      <c r="F414" s="107" t="s">
        <v>77</v>
      </c>
      <c r="G414" s="107">
        <v>40</v>
      </c>
      <c r="H414" s="8"/>
      <c r="I414" s="3"/>
      <c r="J414" s="17"/>
      <c r="K414" s="309">
        <v>49.6</v>
      </c>
      <c r="L414" s="91">
        <f t="shared" si="37"/>
        <v>0</v>
      </c>
      <c r="M414" s="310"/>
      <c r="N414" s="87"/>
    </row>
    <row r="415" spans="1:14" x14ac:dyDescent="0.2">
      <c r="A415" s="524"/>
      <c r="B415" s="53" t="s">
        <v>1363</v>
      </c>
      <c r="C415" s="106">
        <v>59432</v>
      </c>
      <c r="D415" s="107" t="s">
        <v>1364</v>
      </c>
      <c r="E415" s="107" t="s">
        <v>1365</v>
      </c>
      <c r="F415" s="107" t="s">
        <v>77</v>
      </c>
      <c r="G415" s="107">
        <v>1</v>
      </c>
      <c r="H415" s="8"/>
      <c r="I415" s="3"/>
      <c r="J415" s="17"/>
      <c r="K415" s="309">
        <v>11.61</v>
      </c>
      <c r="L415" s="91">
        <f t="shared" si="37"/>
        <v>0</v>
      </c>
      <c r="M415" s="310"/>
      <c r="N415" s="87"/>
    </row>
    <row r="416" spans="1:14" x14ac:dyDescent="0.2">
      <c r="A416" s="524"/>
      <c r="B416" s="53" t="s">
        <v>1366</v>
      </c>
      <c r="C416" s="106">
        <v>19236</v>
      </c>
      <c r="D416" s="107" t="s">
        <v>1367</v>
      </c>
      <c r="E416" s="107" t="s">
        <v>1368</v>
      </c>
      <c r="F416" s="107" t="s">
        <v>77</v>
      </c>
      <c r="G416" s="107">
        <v>2</v>
      </c>
      <c r="H416" s="8"/>
      <c r="I416" s="3"/>
      <c r="J416" s="17"/>
      <c r="K416" s="309">
        <v>21.34</v>
      </c>
      <c r="L416" s="91">
        <f t="shared" si="32"/>
        <v>0</v>
      </c>
      <c r="M416" s="310">
        <f>K416/12</f>
        <v>1.7783333333333333</v>
      </c>
      <c r="N416" s="87">
        <f>K416/12000*80</f>
        <v>0.14226666666666668</v>
      </c>
    </row>
    <row r="417" spans="1:14" x14ac:dyDescent="0.2">
      <c r="A417" s="524"/>
      <c r="B417" s="53" t="s">
        <v>1369</v>
      </c>
      <c r="C417" s="106">
        <v>73268</v>
      </c>
      <c r="D417" s="107" t="s">
        <v>1367</v>
      </c>
      <c r="E417" s="107" t="s">
        <v>1368</v>
      </c>
      <c r="F417" s="107" t="s">
        <v>77</v>
      </c>
      <c r="G417" s="107">
        <v>2</v>
      </c>
      <c r="H417" s="8"/>
      <c r="I417" s="3"/>
      <c r="J417" s="17"/>
      <c r="K417" s="309">
        <v>21.34</v>
      </c>
      <c r="L417" s="91">
        <f t="shared" si="32"/>
        <v>0</v>
      </c>
      <c r="M417" s="310">
        <f>K417/10</f>
        <v>2.1339999999999999</v>
      </c>
      <c r="N417" s="87">
        <f>K417/10000*80</f>
        <v>0.17072000000000001</v>
      </c>
    </row>
    <row r="418" spans="1:14" x14ac:dyDescent="0.2">
      <c r="A418" s="524"/>
      <c r="B418" s="53" t="s">
        <v>1370</v>
      </c>
      <c r="C418" s="106">
        <v>19288</v>
      </c>
      <c r="D418" s="107" t="s">
        <v>1367</v>
      </c>
      <c r="E418" s="107" t="s">
        <v>1368</v>
      </c>
      <c r="F418" s="107" t="s">
        <v>77</v>
      </c>
      <c r="G418" s="107">
        <v>2</v>
      </c>
      <c r="H418" s="8"/>
      <c r="I418" s="3"/>
      <c r="J418" s="17"/>
      <c r="K418" s="309">
        <v>25.7</v>
      </c>
      <c r="L418" s="91">
        <f t="shared" si="32"/>
        <v>0</v>
      </c>
      <c r="M418" s="310">
        <f>K418/10</f>
        <v>2.57</v>
      </c>
      <c r="N418" s="87">
        <f t="shared" ref="N418:N425" si="39">K418/10000*80</f>
        <v>0.20559999999999998</v>
      </c>
    </row>
    <row r="419" spans="1:14" x14ac:dyDescent="0.2">
      <c r="A419" s="524"/>
      <c r="B419" s="53" t="s">
        <v>1371</v>
      </c>
      <c r="C419" s="106">
        <v>19225</v>
      </c>
      <c r="D419" s="107" t="s">
        <v>1367</v>
      </c>
      <c r="E419" s="107" t="s">
        <v>870</v>
      </c>
      <c r="F419" s="107" t="s">
        <v>77</v>
      </c>
      <c r="G419" s="107">
        <v>2</v>
      </c>
      <c r="H419" s="8"/>
      <c r="I419" s="3"/>
      <c r="J419" s="17"/>
      <c r="K419" s="309">
        <v>21.34</v>
      </c>
      <c r="L419" s="91">
        <f t="shared" si="32"/>
        <v>0</v>
      </c>
      <c r="M419" s="310">
        <f>K419/5</f>
        <v>4.2679999999999998</v>
      </c>
      <c r="N419" s="87">
        <f t="shared" si="39"/>
        <v>0.17072000000000001</v>
      </c>
    </row>
    <row r="420" spans="1:14" x14ac:dyDescent="0.2">
      <c r="A420" s="524"/>
      <c r="B420" s="53" t="s">
        <v>1372</v>
      </c>
      <c r="C420" s="106">
        <v>19238</v>
      </c>
      <c r="D420" s="107" t="s">
        <v>1367</v>
      </c>
      <c r="E420" s="107" t="s">
        <v>1368</v>
      </c>
      <c r="F420" s="107" t="s">
        <v>77</v>
      </c>
      <c r="G420" s="107">
        <v>2</v>
      </c>
      <c r="H420" s="8"/>
      <c r="I420" s="3"/>
      <c r="J420" s="17"/>
      <c r="K420" s="309">
        <v>21.34</v>
      </c>
      <c r="L420" s="91">
        <f t="shared" si="32"/>
        <v>0</v>
      </c>
      <c r="M420" s="310">
        <f>K420/10</f>
        <v>2.1339999999999999</v>
      </c>
      <c r="N420" s="87">
        <f t="shared" si="39"/>
        <v>0.17072000000000001</v>
      </c>
    </row>
    <row r="421" spans="1:14" x14ac:dyDescent="0.2">
      <c r="A421" s="524"/>
      <c r="B421" s="53" t="s">
        <v>1373</v>
      </c>
      <c r="C421" s="106">
        <v>19246</v>
      </c>
      <c r="D421" s="107" t="s">
        <v>1367</v>
      </c>
      <c r="E421" s="107" t="s">
        <v>870</v>
      </c>
      <c r="F421" s="107" t="s">
        <v>77</v>
      </c>
      <c r="G421" s="107">
        <v>2</v>
      </c>
      <c r="H421" s="8"/>
      <c r="I421" s="3"/>
      <c r="J421" s="17"/>
      <c r="K421" s="309">
        <v>21.34</v>
      </c>
      <c r="L421" s="91">
        <f t="shared" si="32"/>
        <v>0</v>
      </c>
      <c r="M421" s="310">
        <f t="shared" ref="M421:M427" si="40">K421/10</f>
        <v>2.1339999999999999</v>
      </c>
      <c r="N421" s="87">
        <f t="shared" si="39"/>
        <v>0.17072000000000001</v>
      </c>
    </row>
    <row r="422" spans="1:14" x14ac:dyDescent="0.2">
      <c r="A422" s="524"/>
      <c r="B422" s="53" t="s">
        <v>1374</v>
      </c>
      <c r="C422" s="106">
        <v>19235</v>
      </c>
      <c r="D422" s="107" t="s">
        <v>1367</v>
      </c>
      <c r="E422" s="107" t="s">
        <v>1368</v>
      </c>
      <c r="F422" s="107" t="s">
        <v>77</v>
      </c>
      <c r="G422" s="107">
        <v>2</v>
      </c>
      <c r="H422" s="8"/>
      <c r="I422" s="3"/>
      <c r="J422" s="17"/>
      <c r="K422" s="309">
        <v>21.34</v>
      </c>
      <c r="L422" s="91">
        <f t="shared" si="32"/>
        <v>0</v>
      </c>
      <c r="M422" s="310">
        <f t="shared" si="40"/>
        <v>2.1339999999999999</v>
      </c>
      <c r="N422" s="87">
        <f t="shared" si="39"/>
        <v>0.17072000000000001</v>
      </c>
    </row>
    <row r="423" spans="1:14" x14ac:dyDescent="0.2">
      <c r="A423" s="524"/>
      <c r="B423" s="53" t="s">
        <v>1375</v>
      </c>
      <c r="C423" s="106">
        <v>19240</v>
      </c>
      <c r="D423" s="107" t="s">
        <v>1367</v>
      </c>
      <c r="E423" s="107" t="s">
        <v>1368</v>
      </c>
      <c r="F423" s="107" t="s">
        <v>77</v>
      </c>
      <c r="G423" s="107">
        <v>2</v>
      </c>
      <c r="H423" s="8"/>
      <c r="I423" s="3"/>
      <c r="J423" s="17"/>
      <c r="K423" s="309">
        <v>21.34</v>
      </c>
      <c r="L423" s="91">
        <f t="shared" si="32"/>
        <v>0</v>
      </c>
      <c r="M423" s="310">
        <f t="shared" si="40"/>
        <v>2.1339999999999999</v>
      </c>
      <c r="N423" s="87">
        <f t="shared" si="39"/>
        <v>0.17072000000000001</v>
      </c>
    </row>
    <row r="424" spans="1:14" x14ac:dyDescent="0.2">
      <c r="A424" s="524"/>
      <c r="B424" s="53" t="s">
        <v>1376</v>
      </c>
      <c r="C424" s="106">
        <v>150280</v>
      </c>
      <c r="D424" s="107" t="s">
        <v>1367</v>
      </c>
      <c r="E424" s="107" t="s">
        <v>1368</v>
      </c>
      <c r="F424" s="107" t="s">
        <v>77</v>
      </c>
      <c r="G424" s="107">
        <v>2</v>
      </c>
      <c r="H424" s="8"/>
      <c r="I424" s="3"/>
      <c r="J424" s="17"/>
      <c r="K424" s="309">
        <v>21.34</v>
      </c>
      <c r="L424" s="91">
        <f t="shared" si="32"/>
        <v>0</v>
      </c>
      <c r="M424" s="310"/>
      <c r="N424" s="87"/>
    </row>
    <row r="425" spans="1:14" x14ac:dyDescent="0.2">
      <c r="A425" s="524"/>
      <c r="B425" s="53" t="s">
        <v>1377</v>
      </c>
      <c r="C425" s="106">
        <v>126517</v>
      </c>
      <c r="D425" s="107" t="s">
        <v>1378</v>
      </c>
      <c r="E425" s="107" t="s">
        <v>870</v>
      </c>
      <c r="F425" s="107" t="s">
        <v>77</v>
      </c>
      <c r="G425" s="107">
        <v>2</v>
      </c>
      <c r="H425" s="8"/>
      <c r="I425" s="3"/>
      <c r="J425" s="17"/>
      <c r="K425" s="309">
        <v>48.18</v>
      </c>
      <c r="L425" s="91">
        <f t="shared" si="32"/>
        <v>0</v>
      </c>
      <c r="M425" s="310">
        <f t="shared" si="40"/>
        <v>4.8179999999999996</v>
      </c>
      <c r="N425" s="87">
        <f t="shared" si="39"/>
        <v>0.38544</v>
      </c>
    </row>
    <row r="426" spans="1:14" x14ac:dyDescent="0.2">
      <c r="A426" s="524"/>
      <c r="B426" s="53" t="s">
        <v>1379</v>
      </c>
      <c r="C426" s="106">
        <v>172889</v>
      </c>
      <c r="D426" s="107" t="s">
        <v>1380</v>
      </c>
      <c r="E426" s="107" t="s">
        <v>832</v>
      </c>
      <c r="F426" s="107" t="s">
        <v>466</v>
      </c>
      <c r="G426" s="107">
        <v>1</v>
      </c>
      <c r="H426" s="8"/>
      <c r="I426" s="3"/>
      <c r="J426" s="17"/>
      <c r="K426" s="309">
        <v>33.11</v>
      </c>
      <c r="L426" s="91">
        <f t="shared" si="32"/>
        <v>0</v>
      </c>
      <c r="M426" s="310">
        <f t="shared" si="40"/>
        <v>3.3109999999999999</v>
      </c>
      <c r="N426" s="87">
        <f>K426/10000*80</f>
        <v>0.26488</v>
      </c>
    </row>
    <row r="427" spans="1:14" x14ac:dyDescent="0.2">
      <c r="A427" s="524"/>
      <c r="B427" s="53" t="s">
        <v>1381</v>
      </c>
      <c r="C427" s="106">
        <v>181516</v>
      </c>
      <c r="D427" s="107" t="s">
        <v>752</v>
      </c>
      <c r="E427" s="107" t="s">
        <v>1368</v>
      </c>
      <c r="F427" s="107" t="s">
        <v>466</v>
      </c>
      <c r="G427" s="107">
        <v>1</v>
      </c>
      <c r="H427" s="8"/>
      <c r="I427" s="3"/>
      <c r="J427" s="17"/>
      <c r="K427" s="309">
        <v>18.07</v>
      </c>
      <c r="L427" s="91">
        <f t="shared" si="32"/>
        <v>0</v>
      </c>
      <c r="M427" s="310">
        <f t="shared" si="40"/>
        <v>1.8069999999999999</v>
      </c>
      <c r="N427" s="87">
        <f>K427/10000*80</f>
        <v>0.14455999999999999</v>
      </c>
    </row>
    <row r="428" spans="1:14" x14ac:dyDescent="0.2">
      <c r="A428" s="524"/>
      <c r="B428" s="53" t="s">
        <v>1382</v>
      </c>
      <c r="C428" s="106">
        <v>47384</v>
      </c>
      <c r="D428" s="107" t="s">
        <v>1383</v>
      </c>
      <c r="E428" s="107" t="s">
        <v>703</v>
      </c>
      <c r="F428" s="107" t="s">
        <v>77</v>
      </c>
      <c r="G428" s="107">
        <v>12</v>
      </c>
      <c r="H428" s="8"/>
      <c r="I428" s="3"/>
      <c r="J428" s="17"/>
      <c r="K428" s="309">
        <v>32.64</v>
      </c>
      <c r="L428" s="91">
        <f t="shared" si="32"/>
        <v>0</v>
      </c>
      <c r="M428" s="310">
        <f>K428/12</f>
        <v>2.72</v>
      </c>
      <c r="N428" s="87">
        <f>K428/12000*80</f>
        <v>0.21760000000000002</v>
      </c>
    </row>
    <row r="429" spans="1:14" x14ac:dyDescent="0.2">
      <c r="A429" s="524"/>
      <c r="B429" s="53" t="s">
        <v>1384</v>
      </c>
      <c r="C429" s="106">
        <v>170166</v>
      </c>
      <c r="D429" s="107" t="s">
        <v>1380</v>
      </c>
      <c r="E429" s="107" t="s">
        <v>832</v>
      </c>
      <c r="F429" s="107" t="s">
        <v>466</v>
      </c>
      <c r="G429" s="107">
        <v>1</v>
      </c>
      <c r="H429" s="8"/>
      <c r="I429" s="3"/>
      <c r="J429" s="17"/>
      <c r="K429" s="309">
        <v>24.84</v>
      </c>
      <c r="L429" s="91">
        <f t="shared" si="32"/>
        <v>0</v>
      </c>
      <c r="M429" s="310">
        <f>K429/10</f>
        <v>2.484</v>
      </c>
      <c r="N429" s="87">
        <f>K429/10000*80</f>
        <v>0.19872000000000001</v>
      </c>
    </row>
    <row r="430" spans="1:14" x14ac:dyDescent="0.2">
      <c r="A430" s="524"/>
      <c r="B430" s="53" t="s">
        <v>1385</v>
      </c>
      <c r="C430" s="106">
        <v>790</v>
      </c>
      <c r="D430" s="107" t="s">
        <v>1386</v>
      </c>
      <c r="E430" s="107" t="s">
        <v>832</v>
      </c>
      <c r="F430" s="107" t="s">
        <v>466</v>
      </c>
      <c r="G430" s="107">
        <v>1</v>
      </c>
      <c r="H430" s="8"/>
      <c r="I430" s="3"/>
      <c r="J430" s="17"/>
      <c r="K430" s="309">
        <v>19.72</v>
      </c>
      <c r="L430" s="91">
        <f t="shared" si="32"/>
        <v>0</v>
      </c>
      <c r="M430" s="310"/>
      <c r="N430" s="87"/>
    </row>
    <row r="431" spans="1:14" ht="17" thickBot="1" x14ac:dyDescent="0.25">
      <c r="A431" s="524"/>
      <c r="B431" s="53" t="s">
        <v>1387</v>
      </c>
      <c r="C431" s="106">
        <v>140812</v>
      </c>
      <c r="D431" s="107" t="s">
        <v>1388</v>
      </c>
      <c r="E431" s="107" t="s">
        <v>1389</v>
      </c>
      <c r="F431" s="107" t="s">
        <v>77</v>
      </c>
      <c r="G431" s="107"/>
      <c r="H431" s="8"/>
      <c r="I431" s="3"/>
      <c r="J431" s="17"/>
      <c r="K431" s="309">
        <v>18.420000000000002</v>
      </c>
      <c r="L431" s="91">
        <f t="shared" si="32"/>
        <v>0</v>
      </c>
      <c r="M431" s="310"/>
      <c r="N431" s="87"/>
    </row>
    <row r="432" spans="1:14" ht="35" thickBot="1" x14ac:dyDescent="0.25">
      <c r="B432" s="324" t="s">
        <v>1390</v>
      </c>
      <c r="C432" s="304" t="s">
        <v>65</v>
      </c>
      <c r="D432" s="305" t="s">
        <v>696</v>
      </c>
      <c r="E432" s="305" t="s">
        <v>697</v>
      </c>
      <c r="F432" s="305" t="s">
        <v>348</v>
      </c>
      <c r="G432" s="305" t="s">
        <v>349</v>
      </c>
      <c r="H432" s="278" t="s">
        <v>67</v>
      </c>
      <c r="I432" s="278" t="s">
        <v>68</v>
      </c>
      <c r="J432" s="278" t="s">
        <v>69</v>
      </c>
      <c r="K432" s="279" t="s">
        <v>70</v>
      </c>
      <c r="L432" s="280" t="s">
        <v>25</v>
      </c>
      <c r="M432" s="4"/>
      <c r="N432" s="4"/>
    </row>
    <row r="433" spans="1:14" x14ac:dyDescent="0.2">
      <c r="A433" s="524"/>
      <c r="B433" s="228" t="s">
        <v>1391</v>
      </c>
      <c r="C433" s="106">
        <v>131798</v>
      </c>
      <c r="D433" s="107" t="s">
        <v>1392</v>
      </c>
      <c r="E433" s="107" t="s">
        <v>1393</v>
      </c>
      <c r="F433" s="107" t="s">
        <v>1394</v>
      </c>
      <c r="G433" s="107">
        <v>1</v>
      </c>
      <c r="H433" s="8"/>
      <c r="I433" s="470"/>
      <c r="J433" s="17"/>
      <c r="K433" s="476">
        <v>16.940000000000001</v>
      </c>
      <c r="L433" s="91"/>
      <c r="M433" s="310"/>
      <c r="N433" s="87"/>
    </row>
    <row r="434" spans="1:14" x14ac:dyDescent="0.2">
      <c r="A434" s="524"/>
      <c r="B434" s="228" t="s">
        <v>1395</v>
      </c>
      <c r="C434" s="106">
        <v>131864</v>
      </c>
      <c r="D434" s="107" t="s">
        <v>1392</v>
      </c>
      <c r="E434" s="107" t="s">
        <v>1393</v>
      </c>
      <c r="F434" s="107" t="s">
        <v>1394</v>
      </c>
      <c r="G434" s="107">
        <v>1</v>
      </c>
      <c r="H434" s="8"/>
      <c r="I434" s="470"/>
      <c r="J434" s="17"/>
      <c r="K434" s="476">
        <v>16.940000000000001</v>
      </c>
      <c r="L434" s="91"/>
      <c r="M434" s="310"/>
      <c r="N434" s="87"/>
    </row>
    <row r="435" spans="1:14" x14ac:dyDescent="0.2">
      <c r="A435" s="524"/>
      <c r="B435" s="228" t="s">
        <v>1396</v>
      </c>
      <c r="C435" s="106">
        <v>131692</v>
      </c>
      <c r="D435" s="107" t="s">
        <v>1392</v>
      </c>
      <c r="E435" s="107" t="s">
        <v>1393</v>
      </c>
      <c r="F435" s="107" t="s">
        <v>1394</v>
      </c>
      <c r="G435" s="107">
        <v>1</v>
      </c>
      <c r="H435" s="8"/>
      <c r="I435" s="470"/>
      <c r="J435" s="17"/>
      <c r="K435" s="476">
        <v>16.940000000000001</v>
      </c>
      <c r="L435" s="91"/>
      <c r="M435" s="310"/>
      <c r="N435" s="87"/>
    </row>
    <row r="436" spans="1:14" x14ac:dyDescent="0.2">
      <c r="A436" s="524"/>
      <c r="B436" s="228" t="s">
        <v>1397</v>
      </c>
      <c r="C436" s="106">
        <v>131789</v>
      </c>
      <c r="D436" s="107" t="s">
        <v>1392</v>
      </c>
      <c r="E436" s="107" t="s">
        <v>1393</v>
      </c>
      <c r="F436" s="107" t="s">
        <v>1394</v>
      </c>
      <c r="G436" s="107">
        <v>1</v>
      </c>
      <c r="H436" s="8"/>
      <c r="I436" s="470"/>
      <c r="J436" s="17"/>
      <c r="K436" s="476">
        <v>16.940000000000001</v>
      </c>
      <c r="L436" s="91"/>
      <c r="M436" s="310"/>
      <c r="N436" s="87"/>
    </row>
    <row r="437" spans="1:14" x14ac:dyDescent="0.2">
      <c r="B437" s="324" t="s">
        <v>1398</v>
      </c>
      <c r="C437" s="325"/>
      <c r="D437" s="531" t="s">
        <v>1399</v>
      </c>
      <c r="E437" s="325"/>
      <c r="F437" s="325"/>
      <c r="G437" s="325"/>
      <c r="H437" s="10"/>
      <c r="I437" s="4"/>
      <c r="J437" s="4"/>
      <c r="K437" s="4"/>
      <c r="L437" s="4"/>
      <c r="M437" s="310"/>
      <c r="N437" s="87"/>
    </row>
    <row r="438" spans="1:14" x14ac:dyDescent="0.2">
      <c r="A438" s="524"/>
      <c r="B438" s="97" t="s">
        <v>1400</v>
      </c>
      <c r="C438" s="100">
        <v>187145</v>
      </c>
      <c r="D438" s="101" t="s">
        <v>1401</v>
      </c>
      <c r="E438" s="101" t="s">
        <v>1402</v>
      </c>
      <c r="F438" s="101" t="s">
        <v>77</v>
      </c>
      <c r="G438" s="101">
        <v>12</v>
      </c>
      <c r="H438" s="8"/>
      <c r="I438" s="3"/>
      <c r="J438" s="17"/>
      <c r="K438" s="317">
        <v>42.72</v>
      </c>
      <c r="L438" s="91">
        <f>K438*J438</f>
        <v>0</v>
      </c>
      <c r="M438" s="310"/>
      <c r="N438" s="87">
        <f>K438/200</f>
        <v>0.21359999999999998</v>
      </c>
    </row>
    <row r="439" spans="1:14" x14ac:dyDescent="0.2">
      <c r="A439" s="524"/>
      <c r="B439" s="97" t="s">
        <v>1403</v>
      </c>
      <c r="C439" s="100">
        <v>106617</v>
      </c>
      <c r="D439" s="101" t="s">
        <v>1401</v>
      </c>
      <c r="E439" s="101" t="s">
        <v>1402</v>
      </c>
      <c r="F439" s="101" t="s">
        <v>77</v>
      </c>
      <c r="G439" s="101">
        <v>12</v>
      </c>
      <c r="H439" s="8"/>
      <c r="I439" s="3"/>
      <c r="J439" s="17"/>
      <c r="K439" s="317">
        <v>42.72</v>
      </c>
      <c r="L439" s="91">
        <f>K439*J439</f>
        <v>0</v>
      </c>
      <c r="M439" s="310">
        <f>K439/3.96</f>
        <v>10.787878787878787</v>
      </c>
      <c r="N439" s="87">
        <f>K439/3960*10</f>
        <v>0.10787878787878788</v>
      </c>
    </row>
    <row r="440" spans="1:14" x14ac:dyDescent="0.2">
      <c r="A440" s="524"/>
      <c r="B440" s="97" t="s">
        <v>1404</v>
      </c>
      <c r="C440" s="100">
        <v>106660</v>
      </c>
      <c r="D440" s="101" t="s">
        <v>1257</v>
      </c>
      <c r="E440" s="101" t="s">
        <v>1402</v>
      </c>
      <c r="F440" s="101" t="s">
        <v>77</v>
      </c>
      <c r="G440" s="101">
        <v>12</v>
      </c>
      <c r="H440" s="8"/>
      <c r="I440" s="3"/>
      <c r="J440" s="17"/>
      <c r="K440" s="317">
        <v>32.4</v>
      </c>
      <c r="L440" s="91">
        <f t="shared" si="32"/>
        <v>0</v>
      </c>
      <c r="M440" s="310">
        <f t="shared" ref="M440:M441" si="41">K440/3.96</f>
        <v>8.1818181818181817</v>
      </c>
      <c r="N440" s="87">
        <f>K440/3960*10</f>
        <v>8.1818181818181804E-2</v>
      </c>
    </row>
    <row r="441" spans="1:14" x14ac:dyDescent="0.2">
      <c r="A441" s="524"/>
      <c r="B441" s="97" t="s">
        <v>1405</v>
      </c>
      <c r="C441" s="100">
        <v>196944</v>
      </c>
      <c r="D441" s="101" t="s">
        <v>1257</v>
      </c>
      <c r="E441" s="101" t="s">
        <v>1406</v>
      </c>
      <c r="F441" s="101" t="s">
        <v>77</v>
      </c>
      <c r="G441" s="101">
        <v>12</v>
      </c>
      <c r="H441" s="8"/>
      <c r="I441" s="3"/>
      <c r="J441" s="17"/>
      <c r="K441" s="317">
        <v>32.4</v>
      </c>
      <c r="L441" s="91">
        <f t="shared" si="32"/>
        <v>0</v>
      </c>
      <c r="M441" s="310">
        <f t="shared" si="41"/>
        <v>8.1818181818181817</v>
      </c>
      <c r="N441" s="87">
        <f>K441/3960*10</f>
        <v>8.1818181818181804E-2</v>
      </c>
    </row>
    <row r="442" spans="1:14" x14ac:dyDescent="0.2">
      <c r="A442" s="524"/>
      <c r="B442" s="53" t="s">
        <v>1407</v>
      </c>
      <c r="C442" s="106">
        <v>145981</v>
      </c>
      <c r="D442" s="107" t="s">
        <v>1334</v>
      </c>
      <c r="E442" s="107" t="s">
        <v>1408</v>
      </c>
      <c r="F442" s="107" t="s">
        <v>77</v>
      </c>
      <c r="G442" s="107">
        <v>4</v>
      </c>
      <c r="H442" s="8"/>
      <c r="I442" s="3"/>
      <c r="J442" s="17"/>
      <c r="K442" s="309">
        <v>71.760000000000005</v>
      </c>
      <c r="L442" s="91">
        <f t="shared" si="32"/>
        <v>0</v>
      </c>
      <c r="M442" s="310"/>
      <c r="N442" s="87"/>
    </row>
    <row r="443" spans="1:14" x14ac:dyDescent="0.2">
      <c r="A443" s="524"/>
      <c r="B443" s="53" t="s">
        <v>1409</v>
      </c>
      <c r="C443" s="106">
        <v>6817</v>
      </c>
      <c r="D443" s="107" t="s">
        <v>1410</v>
      </c>
      <c r="E443" s="107" t="s">
        <v>1408</v>
      </c>
      <c r="F443" s="107" t="s">
        <v>77</v>
      </c>
      <c r="G443" s="107">
        <v>6</v>
      </c>
      <c r="H443" s="8"/>
      <c r="I443" s="3"/>
      <c r="J443" s="17"/>
      <c r="K443" s="309">
        <v>127.08</v>
      </c>
      <c r="L443" s="91">
        <f t="shared" si="32"/>
        <v>0</v>
      </c>
      <c r="M443" s="310"/>
      <c r="N443" s="87"/>
    </row>
    <row r="444" spans="1:14" x14ac:dyDescent="0.2">
      <c r="A444" s="524"/>
      <c r="B444" s="53" t="s">
        <v>1411</v>
      </c>
      <c r="C444" s="106">
        <v>4677</v>
      </c>
      <c r="D444" s="107" t="s">
        <v>1410</v>
      </c>
      <c r="E444" s="107" t="s">
        <v>1412</v>
      </c>
      <c r="F444" s="107" t="s">
        <v>77</v>
      </c>
      <c r="G444" s="107">
        <v>6</v>
      </c>
      <c r="H444" s="8"/>
      <c r="I444" s="3"/>
      <c r="J444" s="17"/>
      <c r="K444" s="309">
        <v>123.36</v>
      </c>
      <c r="L444" s="91">
        <f t="shared" si="32"/>
        <v>0</v>
      </c>
      <c r="M444" s="310"/>
      <c r="N444" s="87"/>
    </row>
    <row r="445" spans="1:14" x14ac:dyDescent="0.2">
      <c r="A445" s="524"/>
      <c r="B445" s="53" t="s">
        <v>1413</v>
      </c>
      <c r="C445" s="106">
        <v>70315</v>
      </c>
      <c r="D445" s="107" t="s">
        <v>1414</v>
      </c>
      <c r="E445" s="107" t="s">
        <v>1302</v>
      </c>
      <c r="F445" s="107" t="s">
        <v>77</v>
      </c>
      <c r="G445" s="107">
        <v>6</v>
      </c>
      <c r="H445" s="8"/>
      <c r="I445" s="3"/>
      <c r="J445" s="17"/>
      <c r="K445" s="309">
        <v>112.56</v>
      </c>
      <c r="L445" s="91">
        <f t="shared" si="32"/>
        <v>0</v>
      </c>
      <c r="M445" s="310"/>
      <c r="N445" s="87"/>
    </row>
    <row r="446" spans="1:14" x14ac:dyDescent="0.2">
      <c r="A446" s="524"/>
      <c r="B446" s="53" t="s">
        <v>1415</v>
      </c>
      <c r="C446" s="106">
        <v>4675</v>
      </c>
      <c r="D446" s="107" t="s">
        <v>1410</v>
      </c>
      <c r="E446" s="107" t="s">
        <v>1416</v>
      </c>
      <c r="F446" s="107" t="s">
        <v>77</v>
      </c>
      <c r="G446" s="107">
        <v>4</v>
      </c>
      <c r="H446" s="8"/>
      <c r="I446" s="3"/>
      <c r="J446" s="17"/>
      <c r="K446" s="309">
        <v>75.16</v>
      </c>
      <c r="L446" s="91">
        <f t="shared" si="32"/>
        <v>0</v>
      </c>
      <c r="M446" s="310"/>
      <c r="N446" s="87"/>
    </row>
    <row r="447" spans="1:14" x14ac:dyDescent="0.2">
      <c r="A447" s="524"/>
      <c r="B447" s="53" t="s">
        <v>1417</v>
      </c>
      <c r="C447" s="106">
        <v>17062</v>
      </c>
      <c r="D447" s="107" t="s">
        <v>1410</v>
      </c>
      <c r="E447" s="107" t="s">
        <v>1412</v>
      </c>
      <c r="F447" s="107" t="s">
        <v>77</v>
      </c>
      <c r="G447" s="107">
        <v>6</v>
      </c>
      <c r="H447" s="8"/>
      <c r="I447" s="3"/>
      <c r="J447" s="17"/>
      <c r="K447" s="309">
        <v>123.36</v>
      </c>
      <c r="L447" s="91">
        <f t="shared" si="32"/>
        <v>0</v>
      </c>
      <c r="M447" s="310"/>
      <c r="N447" s="87"/>
    </row>
    <row r="448" spans="1:14" x14ac:dyDescent="0.2">
      <c r="A448" s="524"/>
      <c r="B448" s="53" t="s">
        <v>1418</v>
      </c>
      <c r="C448" s="106">
        <v>69152</v>
      </c>
      <c r="D448" s="107" t="s">
        <v>1419</v>
      </c>
      <c r="E448" s="107" t="s">
        <v>1420</v>
      </c>
      <c r="F448" s="107" t="s">
        <v>77</v>
      </c>
      <c r="G448" s="107">
        <v>2</v>
      </c>
      <c r="H448" s="8"/>
      <c r="I448" s="3"/>
      <c r="J448" s="17"/>
      <c r="K448" s="309">
        <v>19.98</v>
      </c>
      <c r="L448" s="91">
        <f t="shared" si="32"/>
        <v>0</v>
      </c>
      <c r="M448" s="310">
        <f>K448/2</f>
        <v>9.99</v>
      </c>
      <c r="N448" s="87">
        <f>K448/2000*10</f>
        <v>9.9900000000000003E-2</v>
      </c>
    </row>
    <row r="449" spans="1:14" x14ac:dyDescent="0.2">
      <c r="A449" s="524"/>
      <c r="B449" s="53" t="s">
        <v>1421</v>
      </c>
      <c r="C449" s="106">
        <v>157296</v>
      </c>
      <c r="D449" s="107" t="s">
        <v>1299</v>
      </c>
      <c r="E449" s="107" t="s">
        <v>1420</v>
      </c>
      <c r="F449" s="107" t="s">
        <v>77</v>
      </c>
      <c r="G449" s="107">
        <v>2</v>
      </c>
      <c r="H449" s="8"/>
      <c r="I449" s="3"/>
      <c r="J449" s="17"/>
      <c r="K449" s="309">
        <v>37.979999999999997</v>
      </c>
      <c r="L449" s="91">
        <f t="shared" si="32"/>
        <v>0</v>
      </c>
      <c r="M449" s="310">
        <f>K449/3</f>
        <v>12.659999999999998</v>
      </c>
      <c r="N449" s="87">
        <f>K449/3000*10</f>
        <v>0.12659999999999999</v>
      </c>
    </row>
    <row r="450" spans="1:14" ht="17" thickBot="1" x14ac:dyDescent="0.25">
      <c r="A450" s="524"/>
      <c r="B450" s="53" t="s">
        <v>1422</v>
      </c>
      <c r="C450" s="106">
        <v>58863</v>
      </c>
      <c r="D450" s="107" t="s">
        <v>351</v>
      </c>
      <c r="E450" s="107" t="s">
        <v>1423</v>
      </c>
      <c r="F450" s="107" t="s">
        <v>77</v>
      </c>
      <c r="G450" s="107">
        <v>3</v>
      </c>
      <c r="H450" s="8"/>
      <c r="I450" s="3"/>
      <c r="J450" s="17"/>
      <c r="K450" s="309">
        <v>14.85</v>
      </c>
      <c r="L450" s="91">
        <f>K450*J450</f>
        <v>0</v>
      </c>
      <c r="M450" s="310">
        <f>K450/2</f>
        <v>7.4249999999999998</v>
      </c>
      <c r="N450" s="87">
        <f>K450/2000*10</f>
        <v>7.4249999999999997E-2</v>
      </c>
    </row>
    <row r="451" spans="1:14" ht="35" thickBot="1" x14ac:dyDescent="0.25">
      <c r="B451" s="324" t="s">
        <v>1424</v>
      </c>
      <c r="C451" s="304" t="s">
        <v>65</v>
      </c>
      <c r="D451" s="305" t="s">
        <v>696</v>
      </c>
      <c r="E451" s="305" t="s">
        <v>697</v>
      </c>
      <c r="F451" s="305" t="s">
        <v>348</v>
      </c>
      <c r="G451" s="305" t="s">
        <v>349</v>
      </c>
      <c r="H451" s="278" t="s">
        <v>67</v>
      </c>
      <c r="I451" s="278" t="s">
        <v>68</v>
      </c>
      <c r="J451" s="278" t="s">
        <v>69</v>
      </c>
      <c r="K451" s="279" t="s">
        <v>70</v>
      </c>
      <c r="L451" s="280" t="s">
        <v>25</v>
      </c>
      <c r="M451" s="310"/>
      <c r="N451" s="87"/>
    </row>
    <row r="452" spans="1:14" x14ac:dyDescent="0.2">
      <c r="A452" s="524"/>
      <c r="B452" s="53" t="s">
        <v>1425</v>
      </c>
      <c r="C452" s="106">
        <v>65032</v>
      </c>
      <c r="D452" s="107" t="s">
        <v>351</v>
      </c>
      <c r="E452" s="107" t="s">
        <v>355</v>
      </c>
      <c r="F452" s="107" t="s">
        <v>77</v>
      </c>
      <c r="G452" s="107">
        <v>4</v>
      </c>
      <c r="H452" s="8"/>
      <c r="I452" s="3"/>
      <c r="J452" s="17"/>
      <c r="K452" s="309">
        <v>39.92</v>
      </c>
      <c r="L452" s="91">
        <f t="shared" ref="L452:L482" si="42">K452*J452</f>
        <v>0</v>
      </c>
      <c r="M452" s="310">
        <f>K452/15</f>
        <v>2.6613333333333333</v>
      </c>
      <c r="N452" s="87">
        <f>K452/15000*20</f>
        <v>5.3226666666666665E-2</v>
      </c>
    </row>
    <row r="453" spans="1:14" x14ac:dyDescent="0.2">
      <c r="A453" s="524"/>
      <c r="B453" s="53" t="s">
        <v>1426</v>
      </c>
      <c r="C453" s="106">
        <v>13803</v>
      </c>
      <c r="D453" s="107" t="s">
        <v>1162</v>
      </c>
      <c r="E453" s="107" t="s">
        <v>867</v>
      </c>
      <c r="F453" s="107" t="s">
        <v>190</v>
      </c>
      <c r="G453" s="107">
        <v>1</v>
      </c>
      <c r="H453" s="8"/>
      <c r="I453" s="3"/>
      <c r="J453" s="17"/>
      <c r="K453" s="309">
        <v>27.27</v>
      </c>
      <c r="L453" s="91">
        <f t="shared" si="42"/>
        <v>0</v>
      </c>
      <c r="M453" s="310">
        <f>K453/15</f>
        <v>1.8180000000000001</v>
      </c>
      <c r="N453" s="87">
        <f>K453/15000*20</f>
        <v>3.6359999999999996E-2</v>
      </c>
    </row>
    <row r="454" spans="1:14" x14ac:dyDescent="0.2">
      <c r="A454" s="524"/>
      <c r="B454" s="53" t="s">
        <v>1427</v>
      </c>
      <c r="C454" s="106">
        <v>65030</v>
      </c>
      <c r="D454" s="107" t="s">
        <v>351</v>
      </c>
      <c r="E454" s="107" t="s">
        <v>938</v>
      </c>
      <c r="F454" s="107" t="s">
        <v>77</v>
      </c>
      <c r="G454" s="107">
        <v>4</v>
      </c>
      <c r="H454" s="8"/>
      <c r="I454" s="3"/>
      <c r="J454" s="17"/>
      <c r="K454" s="309">
        <v>38.68</v>
      </c>
      <c r="L454" s="91">
        <f t="shared" si="42"/>
        <v>0</v>
      </c>
      <c r="M454" s="310">
        <f>K454/9</f>
        <v>4.2977777777777781</v>
      </c>
      <c r="N454" s="87">
        <f>K454/9000*20</f>
        <v>8.5955555555555563E-2</v>
      </c>
    </row>
    <row r="455" spans="1:14" x14ac:dyDescent="0.2">
      <c r="A455" s="524"/>
      <c r="B455" s="53" t="s">
        <v>1428</v>
      </c>
      <c r="C455" s="106">
        <v>122052</v>
      </c>
      <c r="D455" s="107" t="s">
        <v>1429</v>
      </c>
      <c r="E455" s="107" t="s">
        <v>1430</v>
      </c>
      <c r="F455" s="107" t="s">
        <v>77</v>
      </c>
      <c r="G455" s="107">
        <v>1</v>
      </c>
      <c r="H455" s="8"/>
      <c r="I455" s="3"/>
      <c r="J455" s="17"/>
      <c r="K455" s="309">
        <v>21.83</v>
      </c>
      <c r="L455" s="91">
        <f t="shared" si="42"/>
        <v>0</v>
      </c>
      <c r="M455" s="310"/>
      <c r="N455" s="87"/>
    </row>
    <row r="456" spans="1:14" x14ac:dyDescent="0.2">
      <c r="A456" s="524"/>
      <c r="B456" s="53" t="s">
        <v>1431</v>
      </c>
      <c r="C456" s="106">
        <v>122053</v>
      </c>
      <c r="D456" s="107" t="s">
        <v>1432</v>
      </c>
      <c r="E456" s="107" t="s">
        <v>1430</v>
      </c>
      <c r="F456" s="107" t="s">
        <v>77</v>
      </c>
      <c r="G456" s="107">
        <v>1</v>
      </c>
      <c r="H456" s="8"/>
      <c r="I456" s="3"/>
      <c r="J456" s="17"/>
      <c r="K456" s="309">
        <v>21.89</v>
      </c>
      <c r="L456" s="91">
        <f t="shared" si="42"/>
        <v>0</v>
      </c>
      <c r="M456" s="310"/>
      <c r="N456" s="87">
        <f>K456/2500</f>
        <v>8.7559999999999999E-3</v>
      </c>
    </row>
    <row r="457" spans="1:14" x14ac:dyDescent="0.2">
      <c r="A457" s="524"/>
      <c r="B457" s="53" t="s">
        <v>1433</v>
      </c>
      <c r="C457" s="106">
        <v>105116</v>
      </c>
      <c r="D457" s="107" t="s">
        <v>1434</v>
      </c>
      <c r="E457" s="107" t="s">
        <v>1435</v>
      </c>
      <c r="F457" s="107" t="s">
        <v>77</v>
      </c>
      <c r="G457" s="107">
        <v>1</v>
      </c>
      <c r="H457" s="8"/>
      <c r="I457" s="3"/>
      <c r="J457" s="17"/>
      <c r="K457" s="309">
        <v>27.42</v>
      </c>
      <c r="L457" s="91">
        <f>K457*J457</f>
        <v>0</v>
      </c>
      <c r="M457" s="310"/>
      <c r="N457" s="87">
        <f>K457/1000</f>
        <v>2.7420000000000003E-2</v>
      </c>
    </row>
    <row r="458" spans="1:14" ht="17" thickBot="1" x14ac:dyDescent="0.25">
      <c r="A458" s="524"/>
      <c r="B458" s="53" t="s">
        <v>1436</v>
      </c>
      <c r="C458" s="106">
        <v>43873</v>
      </c>
      <c r="D458" s="107" t="s">
        <v>1437</v>
      </c>
      <c r="E458" s="107" t="s">
        <v>1438</v>
      </c>
      <c r="F458" s="107" t="s">
        <v>1439</v>
      </c>
      <c r="G458" s="107">
        <v>1</v>
      </c>
      <c r="H458" s="8"/>
      <c r="I458" s="3"/>
      <c r="J458" s="17"/>
      <c r="K458" s="309">
        <v>26.75</v>
      </c>
      <c r="L458" s="91">
        <f t="shared" si="42"/>
        <v>0</v>
      </c>
      <c r="M458" s="310">
        <f>K458/15</f>
        <v>1.7833333333333334</v>
      </c>
      <c r="N458" s="87">
        <f>K458/15000*20</f>
        <v>3.5666666666666666E-2</v>
      </c>
    </row>
    <row r="459" spans="1:14" ht="35" thickBot="1" x14ac:dyDescent="0.25">
      <c r="B459" s="297" t="s">
        <v>1440</v>
      </c>
      <c r="C459" s="304" t="s">
        <v>65</v>
      </c>
      <c r="D459" s="305" t="s">
        <v>696</v>
      </c>
      <c r="E459" s="305" t="s">
        <v>697</v>
      </c>
      <c r="F459" s="305" t="s">
        <v>348</v>
      </c>
      <c r="G459" s="305" t="s">
        <v>349</v>
      </c>
      <c r="H459" s="278" t="s">
        <v>67</v>
      </c>
      <c r="I459" s="278" t="s">
        <v>68</v>
      </c>
      <c r="J459" s="278" t="s">
        <v>69</v>
      </c>
      <c r="K459" s="279" t="s">
        <v>70</v>
      </c>
      <c r="L459" s="280" t="s">
        <v>25</v>
      </c>
      <c r="M459" s="310"/>
      <c r="N459" s="87"/>
    </row>
    <row r="460" spans="1:14" x14ac:dyDescent="0.2">
      <c r="A460" s="524"/>
      <c r="B460" s="53" t="s">
        <v>1441</v>
      </c>
      <c r="C460" s="106">
        <v>2020</v>
      </c>
      <c r="D460" s="107" t="s">
        <v>1419</v>
      </c>
      <c r="E460" s="107" t="s">
        <v>975</v>
      </c>
      <c r="F460" s="107" t="s">
        <v>77</v>
      </c>
      <c r="G460" s="107">
        <v>6</v>
      </c>
      <c r="H460" s="8"/>
      <c r="I460" s="3"/>
      <c r="J460" s="17"/>
      <c r="K460" s="309">
        <v>99.36</v>
      </c>
      <c r="L460" s="91">
        <f t="shared" si="42"/>
        <v>0</v>
      </c>
      <c r="M460" s="310">
        <f>K460/6</f>
        <v>16.559999999999999</v>
      </c>
      <c r="N460" s="87">
        <f>K460/6000*25</f>
        <v>0.41399999999999998</v>
      </c>
    </row>
    <row r="461" spans="1:14" x14ac:dyDescent="0.2">
      <c r="A461" s="524"/>
      <c r="B461" s="53" t="s">
        <v>1442</v>
      </c>
      <c r="C461" s="106">
        <v>163593</v>
      </c>
      <c r="D461" s="107" t="s">
        <v>1443</v>
      </c>
      <c r="E461" s="107" t="s">
        <v>352</v>
      </c>
      <c r="F461" s="107" t="s">
        <v>77</v>
      </c>
      <c r="G461" s="107">
        <v>6</v>
      </c>
      <c r="H461" s="8"/>
      <c r="I461" s="3"/>
      <c r="J461" s="17"/>
      <c r="K461" s="309">
        <v>48.8</v>
      </c>
      <c r="L461" s="91">
        <f t="shared" si="42"/>
        <v>0</v>
      </c>
      <c r="M461" s="310"/>
      <c r="N461" s="87"/>
    </row>
    <row r="462" spans="1:14" x14ac:dyDescent="0.2">
      <c r="A462" s="524"/>
      <c r="B462" s="53" t="s">
        <v>1444</v>
      </c>
      <c r="C462" s="106">
        <v>163562</v>
      </c>
      <c r="D462" s="107" t="s">
        <v>1445</v>
      </c>
      <c r="E462" s="107" t="s">
        <v>352</v>
      </c>
      <c r="F462" s="107" t="s">
        <v>77</v>
      </c>
      <c r="G462" s="107">
        <v>6</v>
      </c>
      <c r="H462" s="8"/>
      <c r="I462" s="3"/>
      <c r="J462" s="17"/>
      <c r="K462" s="309">
        <v>49.62</v>
      </c>
      <c r="L462" s="91">
        <f t="shared" si="42"/>
        <v>0</v>
      </c>
      <c r="M462" s="310">
        <f>K462/2.5</f>
        <v>19.847999999999999</v>
      </c>
      <c r="N462" s="87">
        <f>K462/2500*50</f>
        <v>0.99239999999999984</v>
      </c>
    </row>
    <row r="463" spans="1:14" x14ac:dyDescent="0.2">
      <c r="A463" s="524"/>
      <c r="B463" s="53" t="s">
        <v>1446</v>
      </c>
      <c r="C463" s="106">
        <v>146050</v>
      </c>
      <c r="D463" s="107" t="s">
        <v>742</v>
      </c>
      <c r="E463" s="107" t="s">
        <v>938</v>
      </c>
      <c r="F463" s="107" t="s">
        <v>77</v>
      </c>
      <c r="G463" s="107">
        <v>3</v>
      </c>
      <c r="H463" s="8"/>
      <c r="I463" s="3"/>
      <c r="J463" s="17"/>
      <c r="K463" s="309">
        <v>32.369999999999997</v>
      </c>
      <c r="L463" s="91">
        <f t="shared" si="42"/>
        <v>0</v>
      </c>
      <c r="M463" s="310">
        <f>K463/9</f>
        <v>3.5966666666666662</v>
      </c>
      <c r="N463" s="87">
        <f>K463/9150*50</f>
        <v>0.17688524590163932</v>
      </c>
    </row>
    <row r="464" spans="1:14" x14ac:dyDescent="0.2">
      <c r="A464" s="524"/>
      <c r="B464" s="53" t="s">
        <v>1447</v>
      </c>
      <c r="C464" s="106">
        <v>148712</v>
      </c>
      <c r="D464" s="107" t="s">
        <v>742</v>
      </c>
      <c r="E464" s="107" t="s">
        <v>355</v>
      </c>
      <c r="F464" s="107" t="s">
        <v>77</v>
      </c>
      <c r="G464" s="107">
        <v>3</v>
      </c>
      <c r="H464" s="8"/>
      <c r="I464" s="3"/>
      <c r="J464" s="17"/>
      <c r="K464" s="309">
        <v>25.8</v>
      </c>
      <c r="L464" s="91">
        <f t="shared" si="42"/>
        <v>0</v>
      </c>
      <c r="M464" s="310">
        <f>K464/9</f>
        <v>2.8666666666666667</v>
      </c>
      <c r="N464" s="87">
        <f>K464/9000*50</f>
        <v>0.14333333333333334</v>
      </c>
    </row>
    <row r="465" spans="1:14" x14ac:dyDescent="0.2">
      <c r="A465" s="524"/>
      <c r="B465" s="53" t="s">
        <v>1448</v>
      </c>
      <c r="C465" s="106">
        <v>147359</v>
      </c>
      <c r="D465" s="107" t="s">
        <v>742</v>
      </c>
      <c r="E465" s="107" t="s">
        <v>355</v>
      </c>
      <c r="F465" s="107" t="s">
        <v>77</v>
      </c>
      <c r="G465" s="107">
        <v>3</v>
      </c>
      <c r="H465" s="8"/>
      <c r="I465" s="3"/>
      <c r="J465" s="17"/>
      <c r="K465" s="309">
        <v>42.42</v>
      </c>
      <c r="L465" s="91">
        <f t="shared" si="42"/>
        <v>0</v>
      </c>
      <c r="M465" s="310"/>
      <c r="N465" s="87"/>
    </row>
    <row r="466" spans="1:14" x14ac:dyDescent="0.2">
      <c r="A466" s="524"/>
      <c r="B466" s="53" t="s">
        <v>1449</v>
      </c>
      <c r="C466" s="106">
        <v>18136</v>
      </c>
      <c r="D466" s="107" t="s">
        <v>1450</v>
      </c>
      <c r="E466" s="107" t="s">
        <v>1451</v>
      </c>
      <c r="F466" s="107" t="s">
        <v>77</v>
      </c>
      <c r="G466" s="107">
        <v>6</v>
      </c>
      <c r="H466" s="8"/>
      <c r="I466" s="3"/>
      <c r="J466" s="17"/>
      <c r="K466" s="309">
        <v>103.02</v>
      </c>
      <c r="L466" s="91">
        <f t="shared" si="42"/>
        <v>0</v>
      </c>
      <c r="M466" s="310">
        <f>K466/6</f>
        <v>17.169999999999998</v>
      </c>
      <c r="N466" s="87">
        <f>K466/6000*25</f>
        <v>0.42924999999999996</v>
      </c>
    </row>
    <row r="467" spans="1:14" x14ac:dyDescent="0.2">
      <c r="A467" s="524"/>
      <c r="B467" s="53" t="s">
        <v>1452</v>
      </c>
      <c r="C467" s="106">
        <v>42848</v>
      </c>
      <c r="D467" s="107" t="s">
        <v>1453</v>
      </c>
      <c r="E467" s="107" t="s">
        <v>1454</v>
      </c>
      <c r="F467" s="107" t="s">
        <v>77</v>
      </c>
      <c r="G467" s="107">
        <v>3</v>
      </c>
      <c r="H467" s="8"/>
      <c r="I467" s="3"/>
      <c r="J467" s="17"/>
      <c r="K467" s="309">
        <v>34.799999999999997</v>
      </c>
      <c r="L467" s="91">
        <f t="shared" si="42"/>
        <v>0</v>
      </c>
      <c r="M467" s="310">
        <f>K467/9</f>
        <v>3.8666666666666663</v>
      </c>
      <c r="N467" s="87">
        <f>K467/9000*50</f>
        <v>0.1933333333333333</v>
      </c>
    </row>
    <row r="468" spans="1:14" x14ac:dyDescent="0.2">
      <c r="A468" s="524"/>
      <c r="B468" s="53" t="s">
        <v>1455</v>
      </c>
      <c r="C468" s="106">
        <v>163561</v>
      </c>
      <c r="D468" s="107" t="s">
        <v>463</v>
      </c>
      <c r="E468" s="107" t="s">
        <v>352</v>
      </c>
      <c r="F468" s="107" t="s">
        <v>77</v>
      </c>
      <c r="G468" s="107">
        <v>6</v>
      </c>
      <c r="H468" s="8"/>
      <c r="I468" s="3"/>
      <c r="J468" s="17"/>
      <c r="K468" s="309">
        <v>43.5</v>
      </c>
      <c r="L468" s="91">
        <f t="shared" si="42"/>
        <v>0</v>
      </c>
      <c r="M468" s="310">
        <f>K468/3</f>
        <v>14.5</v>
      </c>
      <c r="N468" s="87">
        <f>K468/3000*50</f>
        <v>0.72500000000000009</v>
      </c>
    </row>
    <row r="469" spans="1:14" x14ac:dyDescent="0.2">
      <c r="A469" s="524"/>
      <c r="B469" s="53" t="s">
        <v>1456</v>
      </c>
      <c r="C469" s="106">
        <v>43208</v>
      </c>
      <c r="D469" s="107" t="s">
        <v>1457</v>
      </c>
      <c r="E469" s="107" t="s">
        <v>1458</v>
      </c>
      <c r="F469" s="107" t="s">
        <v>77</v>
      </c>
      <c r="G469" s="107">
        <v>3</v>
      </c>
      <c r="H469" s="8"/>
      <c r="I469" s="3"/>
      <c r="J469" s="17"/>
      <c r="K469" s="309">
        <v>21.21</v>
      </c>
      <c r="L469" s="91">
        <f t="shared" si="42"/>
        <v>0</v>
      </c>
      <c r="M469" s="310">
        <f>K469/15</f>
        <v>1.4140000000000001</v>
      </c>
      <c r="N469" s="87">
        <f>K469/15000*50</f>
        <v>7.0699999999999999E-2</v>
      </c>
    </row>
    <row r="470" spans="1:14" x14ac:dyDescent="0.2">
      <c r="A470" s="524"/>
      <c r="B470" s="53" t="s">
        <v>1459</v>
      </c>
      <c r="C470" s="106">
        <v>65017</v>
      </c>
      <c r="D470" s="107" t="s">
        <v>351</v>
      </c>
      <c r="E470" s="107" t="s">
        <v>377</v>
      </c>
      <c r="F470" s="107" t="s">
        <v>77</v>
      </c>
      <c r="G470" s="107">
        <v>10</v>
      </c>
      <c r="H470" s="8"/>
      <c r="I470" s="3"/>
      <c r="J470" s="17"/>
      <c r="K470" s="309">
        <v>41</v>
      </c>
      <c r="L470" s="91">
        <f t="shared" si="42"/>
        <v>0</v>
      </c>
      <c r="M470" s="310">
        <f>K470/7.5</f>
        <v>5.4666666666666668</v>
      </c>
      <c r="N470" s="87">
        <f>K470/7500*100</f>
        <v>0.54666666666666663</v>
      </c>
    </row>
    <row r="471" spans="1:14" x14ac:dyDescent="0.2">
      <c r="A471" s="524"/>
      <c r="B471" s="53" t="s">
        <v>1460</v>
      </c>
      <c r="C471" s="106">
        <v>12429</v>
      </c>
      <c r="D471" s="107" t="s">
        <v>1461</v>
      </c>
      <c r="E471" s="107" t="s">
        <v>594</v>
      </c>
      <c r="F471" s="107" t="s">
        <v>77</v>
      </c>
      <c r="G471" s="107">
        <v>2</v>
      </c>
      <c r="H471" s="8"/>
      <c r="I471" s="3"/>
      <c r="J471" s="17"/>
      <c r="K471" s="309">
        <v>74.56</v>
      </c>
      <c r="L471" s="91">
        <f t="shared" si="42"/>
        <v>0</v>
      </c>
      <c r="M471" s="310"/>
      <c r="N471" s="87"/>
    </row>
    <row r="472" spans="1:14" x14ac:dyDescent="0.2">
      <c r="A472" s="524"/>
      <c r="B472" s="53" t="s">
        <v>1462</v>
      </c>
      <c r="C472" s="106">
        <v>42847</v>
      </c>
      <c r="D472" s="107" t="s">
        <v>752</v>
      </c>
      <c r="E472" s="107" t="s">
        <v>1463</v>
      </c>
      <c r="F472" s="107" t="s">
        <v>77</v>
      </c>
      <c r="G472" s="107">
        <v>3</v>
      </c>
      <c r="H472" s="8"/>
      <c r="I472" s="3"/>
      <c r="J472" s="17"/>
      <c r="K472" s="309">
        <v>48.21</v>
      </c>
      <c r="L472" s="91">
        <f t="shared" si="42"/>
        <v>0</v>
      </c>
      <c r="M472" s="310"/>
      <c r="N472" s="87"/>
    </row>
    <row r="473" spans="1:14" x14ac:dyDescent="0.2">
      <c r="A473" s="524"/>
      <c r="B473" s="53" t="s">
        <v>1464</v>
      </c>
      <c r="C473" s="106">
        <v>65019</v>
      </c>
      <c r="D473" s="107" t="s">
        <v>351</v>
      </c>
      <c r="E473" s="107" t="s">
        <v>929</v>
      </c>
      <c r="F473" s="107" t="s">
        <v>77</v>
      </c>
      <c r="G473" s="107">
        <v>10</v>
      </c>
      <c r="H473" s="8"/>
      <c r="I473" s="3"/>
      <c r="J473" s="17"/>
      <c r="K473" s="309">
        <v>27</v>
      </c>
      <c r="L473" s="91">
        <f t="shared" si="42"/>
        <v>0</v>
      </c>
      <c r="M473" s="310">
        <f>K473/2.76</f>
        <v>9.7826086956521738</v>
      </c>
      <c r="N473" s="87">
        <f>K473/2760*25</f>
        <v>0.24456521739130438</v>
      </c>
    </row>
    <row r="474" spans="1:14" x14ac:dyDescent="0.2">
      <c r="A474" s="524"/>
      <c r="B474" s="53" t="s">
        <v>1465</v>
      </c>
      <c r="C474" s="106">
        <v>211579</v>
      </c>
      <c r="D474" s="107" t="s">
        <v>1466</v>
      </c>
      <c r="E474" s="107" t="s">
        <v>377</v>
      </c>
      <c r="F474" s="107" t="s">
        <v>77</v>
      </c>
      <c r="G474" s="107">
        <v>12</v>
      </c>
      <c r="H474" s="8"/>
      <c r="I474" s="3"/>
      <c r="J474" s="17"/>
      <c r="K474" s="309">
        <v>33.72</v>
      </c>
      <c r="L474" s="91">
        <f t="shared" si="42"/>
        <v>0</v>
      </c>
      <c r="M474" s="310">
        <f>K474/6</f>
        <v>5.62</v>
      </c>
      <c r="N474" s="87">
        <f>K474/6000*25</f>
        <v>0.14050000000000001</v>
      </c>
    </row>
    <row r="475" spans="1:14" x14ac:dyDescent="0.2">
      <c r="A475" s="524"/>
      <c r="B475" s="53" t="s">
        <v>1467</v>
      </c>
      <c r="C475" s="106">
        <v>190016</v>
      </c>
      <c r="D475" s="107" t="s">
        <v>351</v>
      </c>
      <c r="E475" s="107" t="s">
        <v>377</v>
      </c>
      <c r="F475" s="107" t="s">
        <v>466</v>
      </c>
      <c r="G475" s="107">
        <v>8</v>
      </c>
      <c r="H475" s="8"/>
      <c r="I475" s="3"/>
      <c r="J475" s="17"/>
      <c r="K475" s="309">
        <v>9.99</v>
      </c>
      <c r="L475" s="91">
        <f t="shared" si="42"/>
        <v>0</v>
      </c>
      <c r="M475" s="310">
        <f t="shared" ref="M475:M476" si="43">K475/6</f>
        <v>1.665</v>
      </c>
      <c r="N475" s="87">
        <f>K475/6000*25</f>
        <v>4.1625000000000002E-2</v>
      </c>
    </row>
    <row r="476" spans="1:14" x14ac:dyDescent="0.2">
      <c r="A476" s="524"/>
      <c r="B476" s="53" t="s">
        <v>1468</v>
      </c>
      <c r="C476" s="106">
        <v>190017</v>
      </c>
      <c r="D476" s="107" t="s">
        <v>351</v>
      </c>
      <c r="E476" s="107" t="s">
        <v>929</v>
      </c>
      <c r="F476" s="107" t="s">
        <v>466</v>
      </c>
      <c r="G476" s="107">
        <v>8</v>
      </c>
      <c r="H476" s="8"/>
      <c r="I476" s="3"/>
      <c r="J476" s="17"/>
      <c r="K476" s="309">
        <v>6.7</v>
      </c>
      <c r="L476" s="91">
        <f t="shared" si="42"/>
        <v>0</v>
      </c>
      <c r="M476" s="310">
        <f t="shared" si="43"/>
        <v>1.1166666666666667</v>
      </c>
      <c r="N476" s="87">
        <f>K476/6000*25</f>
        <v>2.7916666666666666E-2</v>
      </c>
    </row>
    <row r="477" spans="1:14" x14ac:dyDescent="0.2">
      <c r="A477" s="524"/>
      <c r="B477" s="53" t="s">
        <v>1469</v>
      </c>
      <c r="C477" s="106">
        <v>98980</v>
      </c>
      <c r="D477" s="107" t="s">
        <v>1470</v>
      </c>
      <c r="E477" s="107" t="s">
        <v>817</v>
      </c>
      <c r="F477" s="107" t="s">
        <v>77</v>
      </c>
      <c r="G477" s="107">
        <v>1</v>
      </c>
      <c r="H477" s="8"/>
      <c r="I477" s="3"/>
      <c r="J477" s="17"/>
      <c r="K477" s="309">
        <v>30.24</v>
      </c>
      <c r="L477" s="91">
        <f t="shared" si="42"/>
        <v>0</v>
      </c>
      <c r="M477" s="310">
        <f>K477/8.85</f>
        <v>3.4169491525423727</v>
      </c>
      <c r="N477" s="87">
        <f>K477/8850*25</f>
        <v>8.5423728813559321E-2</v>
      </c>
    </row>
    <row r="478" spans="1:14" x14ac:dyDescent="0.2">
      <c r="A478" s="524"/>
      <c r="B478" s="53" t="s">
        <v>1471</v>
      </c>
      <c r="C478" s="106">
        <v>11104</v>
      </c>
      <c r="D478" s="107" t="s">
        <v>1472</v>
      </c>
      <c r="E478" s="107" t="s">
        <v>355</v>
      </c>
      <c r="F478" s="107" t="s">
        <v>77</v>
      </c>
      <c r="G478" s="107">
        <v>1</v>
      </c>
      <c r="H478" s="8"/>
      <c r="I478" s="3"/>
      <c r="J478" s="17"/>
      <c r="K478" s="309">
        <v>45.3</v>
      </c>
      <c r="L478" s="91">
        <f t="shared" si="42"/>
        <v>0</v>
      </c>
      <c r="M478" s="310">
        <f>K478/7.5</f>
        <v>6.04</v>
      </c>
      <c r="N478" s="87">
        <f>K478/7500*100</f>
        <v>0.60399999999999998</v>
      </c>
    </row>
    <row r="479" spans="1:14" x14ac:dyDescent="0.2">
      <c r="A479" s="524"/>
      <c r="B479" s="113" t="s">
        <v>1473</v>
      </c>
      <c r="C479" s="106">
        <v>159920</v>
      </c>
      <c r="D479" s="107" t="s">
        <v>1474</v>
      </c>
      <c r="E479" s="107" t="s">
        <v>1171</v>
      </c>
      <c r="F479" s="107" t="s">
        <v>77</v>
      </c>
      <c r="G479" s="107">
        <v>6</v>
      </c>
      <c r="H479" s="8"/>
      <c r="I479" s="3"/>
      <c r="J479" s="17"/>
      <c r="K479" s="309">
        <v>147.96</v>
      </c>
      <c r="L479" s="91">
        <f t="shared" si="42"/>
        <v>0</v>
      </c>
      <c r="M479" s="310"/>
      <c r="N479" s="87"/>
    </row>
    <row r="480" spans="1:14" x14ac:dyDescent="0.2">
      <c r="A480" s="524"/>
      <c r="B480" s="53" t="s">
        <v>1475</v>
      </c>
      <c r="C480" s="106">
        <v>28164</v>
      </c>
      <c r="D480" s="107" t="s">
        <v>1476</v>
      </c>
      <c r="E480" s="107" t="s">
        <v>1477</v>
      </c>
      <c r="F480" s="107" t="s">
        <v>77</v>
      </c>
      <c r="G480" s="107">
        <v>6</v>
      </c>
      <c r="H480" s="8"/>
      <c r="I480" s="3"/>
      <c r="J480" s="17"/>
      <c r="K480" s="309">
        <v>49.56</v>
      </c>
      <c r="L480" s="91">
        <f t="shared" si="42"/>
        <v>0</v>
      </c>
      <c r="M480" s="310">
        <f>K480/9</f>
        <v>5.5066666666666668</v>
      </c>
      <c r="N480" s="87">
        <f>K480/9000*25</f>
        <v>0.13766666666666666</v>
      </c>
    </row>
    <row r="481" spans="1:14" x14ac:dyDescent="0.2">
      <c r="A481" s="524"/>
      <c r="B481" s="282" t="s">
        <v>1478</v>
      </c>
      <c r="C481" s="106">
        <v>187764</v>
      </c>
      <c r="D481" s="107" t="s">
        <v>351</v>
      </c>
      <c r="E481" s="107" t="s">
        <v>1479</v>
      </c>
      <c r="F481" s="107" t="s">
        <v>77</v>
      </c>
      <c r="G481" s="107">
        <v>1</v>
      </c>
      <c r="H481" s="8"/>
      <c r="I481" s="3"/>
      <c r="J481" s="17"/>
      <c r="K481" s="533">
        <v>38.85</v>
      </c>
      <c r="L481" s="91">
        <f t="shared" si="42"/>
        <v>0</v>
      </c>
      <c r="M481" s="310"/>
      <c r="N481" s="87"/>
    </row>
    <row r="482" spans="1:14" ht="17" thickBot="1" x14ac:dyDescent="0.25">
      <c r="A482" s="524"/>
      <c r="B482" s="282" t="s">
        <v>1480</v>
      </c>
      <c r="C482" s="106">
        <v>187763</v>
      </c>
      <c r="D482" s="107" t="s">
        <v>351</v>
      </c>
      <c r="E482" s="107" t="s">
        <v>1481</v>
      </c>
      <c r="F482" s="107" t="s">
        <v>77</v>
      </c>
      <c r="G482" s="107">
        <v>1</v>
      </c>
      <c r="H482" s="8"/>
      <c r="I482" s="3"/>
      <c r="J482" s="17"/>
      <c r="K482" s="533">
        <v>38.85</v>
      </c>
      <c r="L482" s="91">
        <f t="shared" si="42"/>
        <v>0</v>
      </c>
      <c r="M482" s="310"/>
      <c r="N482" s="87"/>
    </row>
    <row r="483" spans="1:14" ht="17" thickBot="1" x14ac:dyDescent="0.25">
      <c r="B483" s="453"/>
      <c r="C483" s="454"/>
      <c r="D483" s="455"/>
      <c r="E483" s="455"/>
      <c r="F483" s="455"/>
      <c r="G483" s="455"/>
      <c r="H483" s="455"/>
      <c r="I483" s="455"/>
      <c r="J483" s="454"/>
      <c r="K483" s="454"/>
      <c r="L483" s="105">
        <f>SUM(L47:L480)</f>
        <v>0</v>
      </c>
      <c r="M483" s="312"/>
      <c r="N483" s="87"/>
    </row>
  </sheetData>
  <mergeCells count="10">
    <mergeCell ref="I2:J2"/>
    <mergeCell ref="B10:L10"/>
    <mergeCell ref="I3:J3"/>
    <mergeCell ref="B2:G2"/>
    <mergeCell ref="C3:G3"/>
    <mergeCell ref="C4:G4"/>
    <mergeCell ref="C5:G5"/>
    <mergeCell ref="C6:G6"/>
    <mergeCell ref="C7:G7"/>
    <mergeCell ref="C8:G8"/>
  </mergeCells>
  <phoneticPr fontId="23" type="noConversion"/>
  <pageMargins left="0.23622047244094491" right="0.23622047244094491" top="0.74803149606299213" bottom="0.74803149606299213" header="0.31496062992125984" footer="0.31496062992125984"/>
  <pageSetup paperSize="9" scale="56" fitToHeight="7" orientation="portrait" r:id="rId1"/>
  <headerFooter>
    <oddFooter xml:space="preserve">&amp;L&amp;P
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7E372-DD47-C54D-B8E1-836AEADDA284}">
  <sheetPr>
    <tabColor rgb="FF92D050"/>
    <pageSetUpPr fitToPage="1"/>
  </sheetPr>
  <dimension ref="A1:J101"/>
  <sheetViews>
    <sheetView topLeftCell="A58" zoomScaleNormal="100" workbookViewId="0">
      <selection activeCell="H11" sqref="H11:H100"/>
    </sheetView>
  </sheetViews>
  <sheetFormatPr baseColWidth="10" defaultColWidth="8.6640625" defaultRowHeight="16" x14ac:dyDescent="0.2"/>
  <cols>
    <col min="1" max="1" width="3.83203125" style="33" customWidth="1"/>
    <col min="2" max="2" width="62.1640625" style="33" customWidth="1"/>
    <col min="3" max="3" width="18.33203125" style="268" customWidth="1"/>
    <col min="4" max="4" width="15.1640625" style="295" customWidth="1"/>
    <col min="5" max="7" width="15.6640625" style="33" customWidth="1"/>
    <col min="8" max="9" width="12.6640625" style="33" customWidth="1"/>
    <col min="10" max="16384" width="8.6640625" style="33"/>
  </cols>
  <sheetData>
    <row r="1" spans="1:9" ht="17" thickBot="1" x14ac:dyDescent="0.25"/>
    <row r="2" spans="1:9" ht="17" thickBot="1" x14ac:dyDescent="0.25">
      <c r="B2" s="684" t="s">
        <v>1482</v>
      </c>
      <c r="C2" s="685"/>
      <c r="D2" s="686"/>
      <c r="E2" s="295"/>
      <c r="F2" s="673" t="s">
        <v>61</v>
      </c>
      <c r="G2" s="626"/>
    </row>
    <row r="3" spans="1:9" ht="17" thickBot="1" x14ac:dyDescent="0.25">
      <c r="B3" s="296" t="s">
        <v>62</v>
      </c>
      <c r="C3" s="682"/>
      <c r="D3" s="683"/>
      <c r="E3" s="295"/>
      <c r="F3" s="680" t="str">
        <f>COVER!C9</f>
        <v>ian.shotam@programmed.com.au</v>
      </c>
      <c r="G3" s="681"/>
    </row>
    <row r="4" spans="1:9" x14ac:dyDescent="0.2">
      <c r="B4" s="69" t="str">
        <f>COVER!B12</f>
        <v>SITE</v>
      </c>
      <c r="C4" s="687" t="str">
        <f>COVER!C12</f>
        <v>GOLDEN GROVE</v>
      </c>
      <c r="D4" s="688"/>
    </row>
    <row r="5" spans="1:9" x14ac:dyDescent="0.2">
      <c r="B5" s="69" t="str">
        <f>COVER!B13</f>
        <v>MANAGERS NAME</v>
      </c>
      <c r="C5" s="687" t="str">
        <f>COVER!C13</f>
        <v>Ian Shotam</v>
      </c>
      <c r="D5" s="688"/>
    </row>
    <row r="6" spans="1:9" x14ac:dyDescent="0.2">
      <c r="B6" s="69" t="str">
        <f>COVER!B14</f>
        <v>DATE - ORDER PLACED</v>
      </c>
      <c r="C6" s="689">
        <f>COVER!C14</f>
        <v>45082</v>
      </c>
      <c r="D6" s="690"/>
    </row>
    <row r="7" spans="1:9" ht="34" x14ac:dyDescent="0.2">
      <c r="B7" s="543" t="str">
        <f>COVER!B15</f>
        <v>DATE - DELIVERY PERTH - FREIGHT LINES, 12-26 RIVERSDALE RD, WELSHPOOL WA 6100</v>
      </c>
      <c r="C7" s="689">
        <f>COVER!C15</f>
        <v>45085</v>
      </c>
      <c r="D7" s="690"/>
    </row>
    <row r="8" spans="1:9" ht="17" thickBot="1" x14ac:dyDescent="0.25">
      <c r="B8" s="70" t="str">
        <f>COVER!B16</f>
        <v>DATE - ESTIMATED ARRIVAL SITE</v>
      </c>
      <c r="C8" s="691">
        <f>COVER!C16</f>
        <v>45086</v>
      </c>
      <c r="D8" s="692"/>
    </row>
    <row r="9" spans="1:9" ht="17" thickBot="1" x14ac:dyDescent="0.25"/>
    <row r="10" spans="1:9" ht="35" thickBot="1" x14ac:dyDescent="0.25">
      <c r="B10" s="276" t="s">
        <v>1483</v>
      </c>
      <c r="C10" s="278" t="s">
        <v>65</v>
      </c>
      <c r="D10" s="278" t="s">
        <v>66</v>
      </c>
      <c r="E10" s="278" t="s">
        <v>67</v>
      </c>
      <c r="F10" s="278" t="s">
        <v>68</v>
      </c>
      <c r="G10" s="278" t="s">
        <v>69</v>
      </c>
      <c r="H10" s="279" t="s">
        <v>70</v>
      </c>
      <c r="I10" s="280" t="s">
        <v>25</v>
      </c>
    </row>
    <row r="11" spans="1:9" x14ac:dyDescent="0.2">
      <c r="A11" s="524"/>
      <c r="B11" s="552" t="s">
        <v>1484</v>
      </c>
      <c r="C11" s="553" t="s">
        <v>1485</v>
      </c>
      <c r="D11" s="554" t="s">
        <v>1486</v>
      </c>
      <c r="E11" s="555"/>
      <c r="F11" s="556"/>
      <c r="G11" s="557"/>
      <c r="H11" s="558">
        <v>19.22</v>
      </c>
      <c r="I11" s="559">
        <f>G11*H11</f>
        <v>0</v>
      </c>
    </row>
    <row r="12" spans="1:9" x14ac:dyDescent="0.2">
      <c r="A12" s="524"/>
      <c r="B12" s="552" t="s">
        <v>1487</v>
      </c>
      <c r="C12" s="553" t="s">
        <v>1488</v>
      </c>
      <c r="D12" s="554" t="s">
        <v>1486</v>
      </c>
      <c r="E12" s="555"/>
      <c r="F12" s="556"/>
      <c r="G12" s="557"/>
      <c r="H12" s="558">
        <v>19.22</v>
      </c>
      <c r="I12" s="559">
        <f t="shared" ref="I12:I48" si="0">G12*H12</f>
        <v>0</v>
      </c>
    </row>
    <row r="13" spans="1:9" x14ac:dyDescent="0.2">
      <c r="A13" s="524"/>
      <c r="B13" s="550" t="s">
        <v>1487</v>
      </c>
      <c r="C13" s="553" t="s">
        <v>1488</v>
      </c>
      <c r="D13" s="554" t="s">
        <v>1486</v>
      </c>
      <c r="E13" s="555"/>
      <c r="F13" s="556"/>
      <c r="G13" s="557"/>
      <c r="H13" s="558">
        <v>19.22</v>
      </c>
      <c r="I13" s="559">
        <f t="shared" si="0"/>
        <v>0</v>
      </c>
    </row>
    <row r="14" spans="1:9" x14ac:dyDescent="0.2">
      <c r="A14" s="524"/>
      <c r="B14" s="552" t="s">
        <v>1489</v>
      </c>
      <c r="C14" s="553" t="s">
        <v>1490</v>
      </c>
      <c r="D14" s="554" t="s">
        <v>466</v>
      </c>
      <c r="E14" s="555"/>
      <c r="F14" s="556"/>
      <c r="G14" s="557"/>
      <c r="H14" s="560">
        <v>11</v>
      </c>
      <c r="I14" s="559">
        <f t="shared" si="0"/>
        <v>0</v>
      </c>
    </row>
    <row r="15" spans="1:9" ht="14.5" customHeight="1" x14ac:dyDescent="0.2">
      <c r="A15" s="524"/>
      <c r="B15" s="552" t="s">
        <v>1491</v>
      </c>
      <c r="C15" s="553" t="s">
        <v>1492</v>
      </c>
      <c r="D15" s="554" t="s">
        <v>466</v>
      </c>
      <c r="E15" s="555"/>
      <c r="F15" s="556"/>
      <c r="G15" s="557"/>
      <c r="H15" s="560">
        <v>11</v>
      </c>
      <c r="I15" s="559">
        <f t="shared" si="0"/>
        <v>0</v>
      </c>
    </row>
    <row r="16" spans="1:9" ht="14.5" customHeight="1" x14ac:dyDescent="0.2">
      <c r="A16" s="524"/>
      <c r="B16" s="551" t="s">
        <v>1493</v>
      </c>
      <c r="C16" s="553" t="s">
        <v>1494</v>
      </c>
      <c r="D16" s="553" t="s">
        <v>1495</v>
      </c>
      <c r="E16" s="555"/>
      <c r="F16" s="556"/>
      <c r="G16" s="557"/>
      <c r="H16" s="558">
        <v>7.6</v>
      </c>
      <c r="I16" s="559">
        <f t="shared" si="0"/>
        <v>0</v>
      </c>
    </row>
    <row r="17" spans="1:10" ht="14.5" customHeight="1" x14ac:dyDescent="0.2">
      <c r="A17" s="524"/>
      <c r="B17" s="551" t="s">
        <v>1496</v>
      </c>
      <c r="C17" s="553" t="s">
        <v>1497</v>
      </c>
      <c r="D17" s="553" t="s">
        <v>1495</v>
      </c>
      <c r="E17" s="555"/>
      <c r="F17" s="556"/>
      <c r="G17" s="557"/>
      <c r="H17" s="558">
        <v>7.6</v>
      </c>
      <c r="I17" s="559">
        <f t="shared" si="0"/>
        <v>0</v>
      </c>
    </row>
    <row r="18" spans="1:10" x14ac:dyDescent="0.2">
      <c r="A18" s="524"/>
      <c r="B18" s="551" t="s">
        <v>1498</v>
      </c>
      <c r="C18" s="553" t="s">
        <v>1499</v>
      </c>
      <c r="D18" s="553" t="s">
        <v>1495</v>
      </c>
      <c r="E18" s="555"/>
      <c r="F18" s="556"/>
      <c r="G18" s="557"/>
      <c r="H18" s="558">
        <v>7.6</v>
      </c>
      <c r="I18" s="559">
        <f t="shared" si="0"/>
        <v>0</v>
      </c>
    </row>
    <row r="19" spans="1:10" x14ac:dyDescent="0.2">
      <c r="A19" s="524"/>
      <c r="B19" s="551" t="s">
        <v>1500</v>
      </c>
      <c r="C19" s="553" t="s">
        <v>1501</v>
      </c>
      <c r="D19" s="553" t="s">
        <v>1495</v>
      </c>
      <c r="E19" s="555"/>
      <c r="F19" s="556"/>
      <c r="G19" s="557"/>
      <c r="H19" s="558">
        <v>7.6</v>
      </c>
      <c r="I19" s="559">
        <f t="shared" si="0"/>
        <v>0</v>
      </c>
    </row>
    <row r="20" spans="1:10" x14ac:dyDescent="0.2">
      <c r="A20" s="524"/>
      <c r="B20" s="552" t="s">
        <v>1502</v>
      </c>
      <c r="C20" s="553" t="s">
        <v>1503</v>
      </c>
      <c r="D20" s="554" t="s">
        <v>1495</v>
      </c>
      <c r="E20" s="555"/>
      <c r="F20" s="556"/>
      <c r="G20" s="557"/>
      <c r="H20" s="558">
        <v>24</v>
      </c>
      <c r="I20" s="559">
        <f t="shared" si="0"/>
        <v>0</v>
      </c>
    </row>
    <row r="21" spans="1:10" x14ac:dyDescent="0.2">
      <c r="A21" s="524"/>
      <c r="B21" s="552" t="s">
        <v>1504</v>
      </c>
      <c r="C21" s="553" t="s">
        <v>1505</v>
      </c>
      <c r="D21" s="554" t="s">
        <v>1495</v>
      </c>
      <c r="E21" s="555"/>
      <c r="F21" s="556"/>
      <c r="G21" s="557"/>
      <c r="H21" s="558">
        <v>24</v>
      </c>
      <c r="I21" s="559">
        <f t="shared" si="0"/>
        <v>0</v>
      </c>
    </row>
    <row r="22" spans="1:10" x14ac:dyDescent="0.2">
      <c r="A22" s="524"/>
      <c r="B22" s="552" t="s">
        <v>1506</v>
      </c>
      <c r="C22" s="553" t="s">
        <v>1507</v>
      </c>
      <c r="D22" s="554" t="s">
        <v>1495</v>
      </c>
      <c r="E22" s="555"/>
      <c r="F22" s="556"/>
      <c r="G22" s="557"/>
      <c r="H22" s="558">
        <v>24</v>
      </c>
      <c r="I22" s="559">
        <f t="shared" si="0"/>
        <v>0</v>
      </c>
    </row>
    <row r="23" spans="1:10" x14ac:dyDescent="0.2">
      <c r="A23" s="524"/>
      <c r="B23" s="552" t="s">
        <v>1508</v>
      </c>
      <c r="C23" s="553" t="s">
        <v>1509</v>
      </c>
      <c r="D23" s="554" t="s">
        <v>1495</v>
      </c>
      <c r="E23" s="555"/>
      <c r="F23" s="556"/>
      <c r="G23" s="557"/>
      <c r="H23" s="558">
        <v>24</v>
      </c>
      <c r="I23" s="559">
        <f t="shared" si="0"/>
        <v>0</v>
      </c>
    </row>
    <row r="24" spans="1:10" x14ac:dyDescent="0.2">
      <c r="A24" s="524"/>
      <c r="B24" s="552" t="s">
        <v>1510</v>
      </c>
      <c r="C24" s="553" t="s">
        <v>1511</v>
      </c>
      <c r="D24" s="554" t="s">
        <v>77</v>
      </c>
      <c r="E24" s="555"/>
      <c r="F24" s="556"/>
      <c r="G24" s="557"/>
      <c r="H24" s="558">
        <v>22.2</v>
      </c>
      <c r="I24" s="559">
        <f t="shared" si="0"/>
        <v>0</v>
      </c>
    </row>
    <row r="25" spans="1:10" x14ac:dyDescent="0.2">
      <c r="A25" s="524"/>
      <c r="B25" s="552" t="s">
        <v>1512</v>
      </c>
      <c r="C25" s="553" t="s">
        <v>1513</v>
      </c>
      <c r="D25" s="554" t="s">
        <v>77</v>
      </c>
      <c r="E25" s="555"/>
      <c r="F25" s="556"/>
      <c r="G25" s="557"/>
      <c r="H25" s="558">
        <v>22.2</v>
      </c>
      <c r="I25" s="559">
        <f t="shared" si="0"/>
        <v>0</v>
      </c>
    </row>
    <row r="26" spans="1:10" x14ac:dyDescent="0.2">
      <c r="A26" s="524"/>
      <c r="B26" s="552" t="s">
        <v>1514</v>
      </c>
      <c r="C26" s="553" t="s">
        <v>1515</v>
      </c>
      <c r="D26" s="554" t="s">
        <v>77</v>
      </c>
      <c r="E26" s="555"/>
      <c r="F26" s="556"/>
      <c r="G26" s="557"/>
      <c r="H26" s="558">
        <v>22.2</v>
      </c>
      <c r="I26" s="559">
        <f t="shared" si="0"/>
        <v>0</v>
      </c>
    </row>
    <row r="27" spans="1:10" x14ac:dyDescent="0.2">
      <c r="A27" s="524"/>
      <c r="B27" s="552" t="s">
        <v>1516</v>
      </c>
      <c r="C27" s="553" t="s">
        <v>1517</v>
      </c>
      <c r="D27" s="554" t="s">
        <v>77</v>
      </c>
      <c r="E27" s="555"/>
      <c r="F27" s="556"/>
      <c r="G27" s="557"/>
      <c r="H27" s="558">
        <v>22.2</v>
      </c>
      <c r="I27" s="559">
        <f t="shared" si="0"/>
        <v>0</v>
      </c>
    </row>
    <row r="28" spans="1:10" x14ac:dyDescent="0.2">
      <c r="A28" s="524"/>
      <c r="B28" s="552" t="s">
        <v>1518</v>
      </c>
      <c r="C28" s="553" t="s">
        <v>1519</v>
      </c>
      <c r="D28" s="554" t="s">
        <v>77</v>
      </c>
      <c r="E28" s="555"/>
      <c r="F28" s="556"/>
      <c r="G28" s="557"/>
      <c r="H28" s="558">
        <v>22.2</v>
      </c>
      <c r="I28" s="559">
        <f t="shared" si="0"/>
        <v>0</v>
      </c>
    </row>
    <row r="29" spans="1:10" x14ac:dyDescent="0.2">
      <c r="B29" s="552"/>
      <c r="C29" s="553"/>
      <c r="D29" s="554"/>
      <c r="E29" s="555"/>
      <c r="F29" s="556"/>
      <c r="G29" s="557"/>
      <c r="H29" s="558"/>
      <c r="I29" s="559"/>
    </row>
    <row r="30" spans="1:10" x14ac:dyDescent="0.2">
      <c r="A30" s="564"/>
      <c r="B30" s="552" t="s">
        <v>1520</v>
      </c>
      <c r="C30" s="553" t="s">
        <v>1521</v>
      </c>
      <c r="D30" s="554" t="s">
        <v>1522</v>
      </c>
      <c r="E30" s="555"/>
      <c r="F30" s="556"/>
      <c r="G30" s="557"/>
      <c r="H30" s="558">
        <v>58</v>
      </c>
      <c r="I30" s="559">
        <f t="shared" si="0"/>
        <v>0</v>
      </c>
    </row>
    <row r="31" spans="1:10" x14ac:dyDescent="0.2">
      <c r="A31" s="564"/>
      <c r="B31" s="552" t="s">
        <v>1523</v>
      </c>
      <c r="C31" s="553" t="s">
        <v>1524</v>
      </c>
      <c r="D31" s="554" t="s">
        <v>1525</v>
      </c>
      <c r="E31" s="555"/>
      <c r="F31" s="556"/>
      <c r="G31" s="557"/>
      <c r="H31" s="558">
        <v>78.22</v>
      </c>
      <c r="I31" s="559">
        <f t="shared" si="0"/>
        <v>0</v>
      </c>
      <c r="J31" s="39"/>
    </row>
    <row r="32" spans="1:10" x14ac:dyDescent="0.2">
      <c r="B32" s="552"/>
      <c r="C32" s="553"/>
      <c r="D32" s="553"/>
      <c r="E32" s="561"/>
      <c r="F32" s="556"/>
      <c r="G32" s="557"/>
      <c r="H32" s="558"/>
      <c r="I32" s="559">
        <f t="shared" si="0"/>
        <v>0</v>
      </c>
    </row>
    <row r="33" spans="1:9" x14ac:dyDescent="0.2">
      <c r="A33" s="524"/>
      <c r="B33" s="552" t="s">
        <v>1526</v>
      </c>
      <c r="C33" s="553" t="s">
        <v>1527</v>
      </c>
      <c r="D33" s="554" t="s">
        <v>77</v>
      </c>
      <c r="E33" s="555"/>
      <c r="F33" s="556"/>
      <c r="G33" s="557"/>
      <c r="H33" s="558">
        <v>98.43</v>
      </c>
      <c r="I33" s="559">
        <f t="shared" si="0"/>
        <v>0</v>
      </c>
    </row>
    <row r="34" spans="1:9" x14ac:dyDescent="0.2">
      <c r="A34" s="564"/>
      <c r="B34" s="562" t="s">
        <v>1528</v>
      </c>
      <c r="C34" s="563" t="s">
        <v>1529</v>
      </c>
      <c r="D34" s="553" t="s">
        <v>1525</v>
      </c>
      <c r="E34" s="555"/>
      <c r="F34" s="556"/>
      <c r="G34" s="557"/>
      <c r="H34" s="558">
        <v>91.9</v>
      </c>
      <c r="I34" s="559">
        <f t="shared" si="0"/>
        <v>0</v>
      </c>
    </row>
    <row r="35" spans="1:9" x14ac:dyDescent="0.2">
      <c r="A35" s="564"/>
      <c r="B35" s="562" t="s">
        <v>1530</v>
      </c>
      <c r="C35" s="563" t="s">
        <v>1531</v>
      </c>
      <c r="D35" s="553" t="s">
        <v>1525</v>
      </c>
      <c r="E35" s="555"/>
      <c r="F35" s="556"/>
      <c r="G35" s="557"/>
      <c r="H35" s="558">
        <v>90.65</v>
      </c>
      <c r="I35" s="559">
        <f t="shared" si="0"/>
        <v>0</v>
      </c>
    </row>
    <row r="36" spans="1:9" x14ac:dyDescent="0.2">
      <c r="A36" s="564"/>
      <c r="B36" s="562" t="s">
        <v>1532</v>
      </c>
      <c r="C36" s="563" t="s">
        <v>1533</v>
      </c>
      <c r="D36" s="554" t="s">
        <v>1534</v>
      </c>
      <c r="E36" s="555"/>
      <c r="F36" s="556"/>
      <c r="G36" s="557"/>
      <c r="H36" s="558">
        <v>104.55</v>
      </c>
      <c r="I36" s="559">
        <f t="shared" si="0"/>
        <v>0</v>
      </c>
    </row>
    <row r="37" spans="1:9" x14ac:dyDescent="0.2">
      <c r="B37" s="552"/>
      <c r="C37" s="553"/>
      <c r="D37" s="554"/>
      <c r="E37" s="555"/>
      <c r="F37" s="556"/>
      <c r="G37" s="557"/>
      <c r="H37" s="558"/>
      <c r="I37" s="559">
        <f t="shared" si="0"/>
        <v>0</v>
      </c>
    </row>
    <row r="38" spans="1:9" x14ac:dyDescent="0.2">
      <c r="A38" s="524"/>
      <c r="B38" s="552" t="s">
        <v>1535</v>
      </c>
      <c r="C38" s="553" t="s">
        <v>1536</v>
      </c>
      <c r="D38" s="554" t="s">
        <v>77</v>
      </c>
      <c r="E38" s="555"/>
      <c r="F38" s="556"/>
      <c r="G38" s="557"/>
      <c r="H38" s="558">
        <v>45.3</v>
      </c>
      <c r="I38" s="559">
        <f t="shared" si="0"/>
        <v>0</v>
      </c>
    </row>
    <row r="39" spans="1:9" x14ac:dyDescent="0.2">
      <c r="A39" s="524"/>
      <c r="B39" s="552" t="s">
        <v>1537</v>
      </c>
      <c r="C39" s="553" t="s">
        <v>1538</v>
      </c>
      <c r="D39" s="554" t="s">
        <v>77</v>
      </c>
      <c r="E39" s="555"/>
      <c r="F39" s="556"/>
      <c r="G39" s="557"/>
      <c r="H39" s="558">
        <v>30.4</v>
      </c>
      <c r="I39" s="559">
        <f t="shared" si="0"/>
        <v>0</v>
      </c>
    </row>
    <row r="40" spans="1:9" x14ac:dyDescent="0.2">
      <c r="A40" s="524"/>
      <c r="B40" s="552" t="s">
        <v>1539</v>
      </c>
      <c r="C40" s="553" t="s">
        <v>1540</v>
      </c>
      <c r="D40" s="554" t="s">
        <v>77</v>
      </c>
      <c r="E40" s="555"/>
      <c r="F40" s="556"/>
      <c r="G40" s="557"/>
      <c r="H40" s="558">
        <v>54.14</v>
      </c>
      <c r="I40" s="559">
        <f t="shared" si="0"/>
        <v>0</v>
      </c>
    </row>
    <row r="41" spans="1:9" x14ac:dyDescent="0.2">
      <c r="A41" s="524"/>
      <c r="B41" s="552" t="s">
        <v>1541</v>
      </c>
      <c r="C41" s="553" t="s">
        <v>1521</v>
      </c>
      <c r="D41" s="554" t="s">
        <v>77</v>
      </c>
      <c r="E41" s="555"/>
      <c r="F41" s="556"/>
      <c r="G41" s="557"/>
      <c r="H41" s="558">
        <v>58</v>
      </c>
      <c r="I41" s="559">
        <f t="shared" si="0"/>
        <v>0</v>
      </c>
    </row>
    <row r="42" spans="1:9" x14ac:dyDescent="0.2">
      <c r="A42" s="524"/>
      <c r="B42" s="552" t="s">
        <v>1542</v>
      </c>
      <c r="C42" s="553" t="s">
        <v>1543</v>
      </c>
      <c r="D42" s="554" t="s">
        <v>77</v>
      </c>
      <c r="E42" s="555"/>
      <c r="F42" s="556"/>
      <c r="G42" s="557"/>
      <c r="H42" s="558">
        <v>22</v>
      </c>
      <c r="I42" s="559">
        <f t="shared" si="0"/>
        <v>0</v>
      </c>
    </row>
    <row r="43" spans="1:9" x14ac:dyDescent="0.2">
      <c r="B43" s="552"/>
      <c r="C43" s="553"/>
      <c r="D43" s="554"/>
      <c r="E43" s="555"/>
      <c r="F43" s="556"/>
      <c r="G43" s="557"/>
      <c r="H43" s="558"/>
      <c r="I43" s="559">
        <f t="shared" si="0"/>
        <v>0</v>
      </c>
    </row>
    <row r="44" spans="1:9" x14ac:dyDescent="0.2">
      <c r="A44" s="524"/>
      <c r="B44" s="552" t="s">
        <v>1544</v>
      </c>
      <c r="C44" s="553" t="s">
        <v>1545</v>
      </c>
      <c r="D44" s="554" t="s">
        <v>1546</v>
      </c>
      <c r="E44" s="555"/>
      <c r="F44" s="556"/>
      <c r="G44" s="557"/>
      <c r="H44" s="558">
        <v>6</v>
      </c>
      <c r="I44" s="559">
        <f t="shared" si="0"/>
        <v>0</v>
      </c>
    </row>
    <row r="45" spans="1:9" x14ac:dyDescent="0.2">
      <c r="B45" s="552"/>
      <c r="C45" s="553"/>
      <c r="D45" s="554"/>
      <c r="E45" s="555"/>
      <c r="F45" s="556"/>
      <c r="G45" s="557"/>
      <c r="H45" s="558"/>
      <c r="I45" s="559">
        <f t="shared" si="0"/>
        <v>0</v>
      </c>
    </row>
    <row r="46" spans="1:9" x14ac:dyDescent="0.2">
      <c r="A46" s="524"/>
      <c r="B46" s="552" t="s">
        <v>1547</v>
      </c>
      <c r="C46" s="553" t="s">
        <v>1548</v>
      </c>
      <c r="D46" s="554" t="s">
        <v>1549</v>
      </c>
      <c r="E46" s="555"/>
      <c r="F46" s="556"/>
      <c r="G46" s="557"/>
      <c r="H46" s="558">
        <v>136</v>
      </c>
      <c r="I46" s="559">
        <f t="shared" si="0"/>
        <v>0</v>
      </c>
    </row>
    <row r="47" spans="1:9" x14ac:dyDescent="0.2">
      <c r="B47" s="552"/>
      <c r="C47" s="553"/>
      <c r="D47" s="554"/>
      <c r="E47" s="555"/>
      <c r="F47" s="556"/>
      <c r="G47" s="557"/>
      <c r="H47" s="558"/>
      <c r="I47" s="559">
        <f t="shared" si="0"/>
        <v>0</v>
      </c>
    </row>
    <row r="48" spans="1:9" x14ac:dyDescent="0.2">
      <c r="A48" s="524"/>
      <c r="B48" s="550" t="s">
        <v>1550</v>
      </c>
      <c r="C48" s="553" t="s">
        <v>1551</v>
      </c>
      <c r="D48" s="554" t="s">
        <v>1552</v>
      </c>
      <c r="E48" s="555"/>
      <c r="F48" s="556"/>
      <c r="G48" s="557"/>
      <c r="H48" s="558">
        <v>14.66</v>
      </c>
      <c r="I48" s="559">
        <f t="shared" si="0"/>
        <v>0</v>
      </c>
    </row>
    <row r="49" spans="1:9" x14ac:dyDescent="0.2">
      <c r="A49" s="524"/>
      <c r="B49" s="550" t="s">
        <v>1553</v>
      </c>
      <c r="C49" s="553" t="s">
        <v>1554</v>
      </c>
      <c r="D49" s="554" t="s">
        <v>1552</v>
      </c>
      <c r="E49" s="555"/>
      <c r="F49" s="556"/>
      <c r="G49" s="557"/>
      <c r="H49" s="558">
        <v>12.2</v>
      </c>
      <c r="I49" s="559">
        <f t="shared" ref="I49:I52" si="1">G49*H49</f>
        <v>0</v>
      </c>
    </row>
    <row r="50" spans="1:9" x14ac:dyDescent="0.2">
      <c r="B50" s="550"/>
      <c r="C50" s="553"/>
      <c r="D50" s="554"/>
      <c r="E50" s="555"/>
      <c r="F50" s="556"/>
      <c r="G50" s="557"/>
      <c r="H50" s="558"/>
      <c r="I50" s="559">
        <f t="shared" si="1"/>
        <v>0</v>
      </c>
    </row>
    <row r="51" spans="1:9" x14ac:dyDescent="0.2">
      <c r="A51" s="524"/>
      <c r="B51" s="550" t="s">
        <v>1555</v>
      </c>
      <c r="C51" s="553" t="s">
        <v>1556</v>
      </c>
      <c r="D51" s="554" t="s">
        <v>1557</v>
      </c>
      <c r="E51" s="555"/>
      <c r="F51" s="556"/>
      <c r="G51" s="557"/>
      <c r="H51" s="558">
        <v>29.8</v>
      </c>
      <c r="I51" s="559">
        <f t="shared" si="1"/>
        <v>0</v>
      </c>
    </row>
    <row r="52" spans="1:9" x14ac:dyDescent="0.2">
      <c r="A52" s="524"/>
      <c r="B52" s="550" t="s">
        <v>1558</v>
      </c>
      <c r="C52" s="553" t="s">
        <v>1559</v>
      </c>
      <c r="D52" s="554" t="s">
        <v>1557</v>
      </c>
      <c r="E52" s="555"/>
      <c r="F52" s="556"/>
      <c r="G52" s="557"/>
      <c r="H52" s="558">
        <v>29.8</v>
      </c>
      <c r="I52" s="559">
        <f t="shared" si="1"/>
        <v>0</v>
      </c>
    </row>
    <row r="53" spans="1:9" x14ac:dyDescent="0.2">
      <c r="A53" s="524"/>
      <c r="B53" s="550" t="s">
        <v>1560</v>
      </c>
      <c r="C53" s="553" t="s">
        <v>1561</v>
      </c>
      <c r="D53" s="554" t="s">
        <v>1557</v>
      </c>
      <c r="E53" s="555"/>
      <c r="F53" s="556"/>
      <c r="G53" s="557"/>
      <c r="H53" s="558">
        <v>29.8</v>
      </c>
      <c r="I53" s="559">
        <f t="shared" ref="I53:I59" si="2">G53*H53</f>
        <v>0</v>
      </c>
    </row>
    <row r="54" spans="1:9" x14ac:dyDescent="0.2">
      <c r="A54" s="524"/>
      <c r="B54" s="550" t="s">
        <v>1562</v>
      </c>
      <c r="C54" s="553" t="s">
        <v>1563</v>
      </c>
      <c r="D54" s="554" t="s">
        <v>1557</v>
      </c>
      <c r="E54" s="555"/>
      <c r="F54" s="556"/>
      <c r="G54" s="557"/>
      <c r="H54" s="558">
        <v>29.8</v>
      </c>
      <c r="I54" s="559">
        <f t="shared" si="2"/>
        <v>0</v>
      </c>
    </row>
    <row r="55" spans="1:9" x14ac:dyDescent="0.2">
      <c r="A55" s="524"/>
      <c r="B55" s="550" t="s">
        <v>1564</v>
      </c>
      <c r="C55" s="553" t="s">
        <v>1565</v>
      </c>
      <c r="D55" s="554" t="s">
        <v>1557</v>
      </c>
      <c r="E55" s="555"/>
      <c r="F55" s="556"/>
      <c r="G55" s="557"/>
      <c r="H55" s="558">
        <v>29.8</v>
      </c>
      <c r="I55" s="559">
        <f t="shared" si="2"/>
        <v>0</v>
      </c>
    </row>
    <row r="56" spans="1:9" x14ac:dyDescent="0.2">
      <c r="A56" s="524"/>
      <c r="B56" s="550" t="s">
        <v>1566</v>
      </c>
      <c r="C56" s="553" t="s">
        <v>1567</v>
      </c>
      <c r="D56" s="554" t="s">
        <v>1557</v>
      </c>
      <c r="E56" s="555"/>
      <c r="F56" s="556"/>
      <c r="G56" s="557"/>
      <c r="H56" s="558">
        <v>29.8</v>
      </c>
      <c r="I56" s="559">
        <f t="shared" si="2"/>
        <v>0</v>
      </c>
    </row>
    <row r="57" spans="1:9" x14ac:dyDescent="0.2">
      <c r="A57" s="524"/>
      <c r="B57" s="550" t="s">
        <v>1568</v>
      </c>
      <c r="C57" s="553" t="s">
        <v>1569</v>
      </c>
      <c r="D57" s="554" t="s">
        <v>1557</v>
      </c>
      <c r="E57" s="555"/>
      <c r="F57" s="556"/>
      <c r="G57" s="557"/>
      <c r="H57" s="558">
        <v>29.8</v>
      </c>
      <c r="I57" s="559">
        <f t="shared" si="2"/>
        <v>0</v>
      </c>
    </row>
    <row r="58" spans="1:9" x14ac:dyDescent="0.2">
      <c r="A58" s="524"/>
      <c r="B58" s="550" t="s">
        <v>1570</v>
      </c>
      <c r="C58" s="553" t="s">
        <v>1571</v>
      </c>
      <c r="D58" s="554" t="s">
        <v>1557</v>
      </c>
      <c r="E58" s="555"/>
      <c r="F58" s="556"/>
      <c r="G58" s="557"/>
      <c r="H58" s="558">
        <v>15.66</v>
      </c>
      <c r="I58" s="559">
        <f t="shared" si="2"/>
        <v>0</v>
      </c>
    </row>
    <row r="59" spans="1:9" x14ac:dyDescent="0.2">
      <c r="A59" s="524"/>
      <c r="B59" s="550" t="s">
        <v>1572</v>
      </c>
      <c r="C59" s="553" t="s">
        <v>1573</v>
      </c>
      <c r="D59" s="554" t="s">
        <v>1557</v>
      </c>
      <c r="E59" s="555"/>
      <c r="F59" s="556"/>
      <c r="G59" s="557"/>
      <c r="H59" s="558">
        <v>13</v>
      </c>
      <c r="I59" s="559">
        <f t="shared" si="2"/>
        <v>0</v>
      </c>
    </row>
    <row r="60" spans="1:9" x14ac:dyDescent="0.2">
      <c r="B60" s="552"/>
      <c r="C60" s="553"/>
      <c r="D60" s="553"/>
      <c r="E60" s="561"/>
      <c r="F60" s="556"/>
      <c r="G60" s="557"/>
      <c r="H60" s="558"/>
      <c r="I60" s="559">
        <f t="shared" ref="I60:I100" si="3">G60*H60</f>
        <v>0</v>
      </c>
    </row>
    <row r="61" spans="1:9" x14ac:dyDescent="0.2">
      <c r="A61" s="524"/>
      <c r="B61" s="552" t="s">
        <v>1574</v>
      </c>
      <c r="C61" s="553" t="s">
        <v>1575</v>
      </c>
      <c r="D61" s="553" t="s">
        <v>1552</v>
      </c>
      <c r="E61" s="561"/>
      <c r="F61" s="556"/>
      <c r="G61" s="557"/>
      <c r="H61" s="558">
        <v>4.5999999999999996</v>
      </c>
      <c r="I61" s="559">
        <f t="shared" si="3"/>
        <v>0</v>
      </c>
    </row>
    <row r="62" spans="1:9" x14ac:dyDescent="0.2">
      <c r="A62" s="524"/>
      <c r="B62" s="552" t="s">
        <v>1576</v>
      </c>
      <c r="C62" s="553" t="s">
        <v>1577</v>
      </c>
      <c r="D62" s="553" t="s">
        <v>1552</v>
      </c>
      <c r="E62" s="561"/>
      <c r="F62" s="556"/>
      <c r="G62" s="557"/>
      <c r="H62" s="558">
        <v>3.8</v>
      </c>
      <c r="I62" s="559">
        <f t="shared" si="3"/>
        <v>0</v>
      </c>
    </row>
    <row r="63" spans="1:9" x14ac:dyDescent="0.2">
      <c r="A63" s="524"/>
      <c r="B63" s="552" t="s">
        <v>1578</v>
      </c>
      <c r="C63" s="553" t="s">
        <v>1579</v>
      </c>
      <c r="D63" s="553" t="s">
        <v>1552</v>
      </c>
      <c r="E63" s="561"/>
      <c r="F63" s="556"/>
      <c r="G63" s="557"/>
      <c r="H63" s="558">
        <v>4.34</v>
      </c>
      <c r="I63" s="559">
        <f>G63*H63</f>
        <v>0</v>
      </c>
    </row>
    <row r="64" spans="1:9" x14ac:dyDescent="0.2">
      <c r="A64" s="524"/>
      <c r="B64" s="552" t="s">
        <v>1580</v>
      </c>
      <c r="C64" s="553" t="s">
        <v>1581</v>
      </c>
      <c r="D64" s="553" t="s">
        <v>1552</v>
      </c>
      <c r="E64" s="561"/>
      <c r="F64" s="556"/>
      <c r="G64" s="557"/>
      <c r="H64" s="558">
        <v>3.32</v>
      </c>
      <c r="I64" s="559">
        <f>G64*H64</f>
        <v>0</v>
      </c>
    </row>
    <row r="65" spans="1:9" x14ac:dyDescent="0.2">
      <c r="A65" s="524"/>
      <c r="B65" s="552" t="s">
        <v>1582</v>
      </c>
      <c r="C65" s="553" t="s">
        <v>1583</v>
      </c>
      <c r="D65" s="553" t="s">
        <v>1549</v>
      </c>
      <c r="E65" s="561"/>
      <c r="F65" s="556"/>
      <c r="G65" s="557"/>
      <c r="H65" s="558">
        <v>53.8</v>
      </c>
      <c r="I65" s="559">
        <f t="shared" si="3"/>
        <v>0</v>
      </c>
    </row>
    <row r="66" spans="1:9" x14ac:dyDescent="0.2">
      <c r="A66" s="524"/>
      <c r="B66" s="552" t="s">
        <v>1584</v>
      </c>
      <c r="C66" s="553" t="s">
        <v>1585</v>
      </c>
      <c r="D66" s="553" t="s">
        <v>1549</v>
      </c>
      <c r="E66" s="561"/>
      <c r="F66" s="556"/>
      <c r="G66" s="557"/>
      <c r="H66" s="558">
        <v>84</v>
      </c>
      <c r="I66" s="559">
        <f t="shared" si="3"/>
        <v>0</v>
      </c>
    </row>
    <row r="67" spans="1:9" x14ac:dyDescent="0.2">
      <c r="A67" s="524"/>
      <c r="B67" s="552" t="s">
        <v>1586</v>
      </c>
      <c r="C67" s="553" t="s">
        <v>1587</v>
      </c>
      <c r="D67" s="553" t="s">
        <v>1549</v>
      </c>
      <c r="E67" s="561"/>
      <c r="F67" s="556"/>
      <c r="G67" s="557"/>
      <c r="H67" s="558">
        <v>70.8</v>
      </c>
      <c r="I67" s="559">
        <f t="shared" si="3"/>
        <v>0</v>
      </c>
    </row>
    <row r="68" spans="1:9" x14ac:dyDescent="0.2">
      <c r="A68" s="524"/>
      <c r="B68" s="552" t="s">
        <v>1588</v>
      </c>
      <c r="C68" s="553" t="s">
        <v>1589</v>
      </c>
      <c r="D68" s="553" t="s">
        <v>1549</v>
      </c>
      <c r="E68" s="561"/>
      <c r="F68" s="556"/>
      <c r="G68" s="557"/>
      <c r="H68" s="558">
        <v>89.7</v>
      </c>
      <c r="I68" s="559">
        <f t="shared" si="3"/>
        <v>0</v>
      </c>
    </row>
    <row r="69" spans="1:9" x14ac:dyDescent="0.2">
      <c r="A69" s="524"/>
      <c r="B69" s="552" t="s">
        <v>1590</v>
      </c>
      <c r="C69" s="553" t="s">
        <v>1591</v>
      </c>
      <c r="D69" s="553" t="s">
        <v>1552</v>
      </c>
      <c r="E69" s="561"/>
      <c r="F69" s="556"/>
      <c r="G69" s="557"/>
      <c r="H69" s="558">
        <v>6.3</v>
      </c>
      <c r="I69" s="559">
        <f t="shared" si="3"/>
        <v>0</v>
      </c>
    </row>
    <row r="70" spans="1:9" x14ac:dyDescent="0.2">
      <c r="B70" s="552"/>
      <c r="C70" s="553"/>
      <c r="D70" s="553"/>
      <c r="E70" s="561"/>
      <c r="F70" s="556"/>
      <c r="G70" s="557"/>
      <c r="H70" s="558"/>
      <c r="I70" s="559">
        <f t="shared" si="3"/>
        <v>0</v>
      </c>
    </row>
    <row r="71" spans="1:9" x14ac:dyDescent="0.2">
      <c r="A71" s="524"/>
      <c r="B71" s="552" t="s">
        <v>1592</v>
      </c>
      <c r="C71" s="553" t="s">
        <v>1593</v>
      </c>
      <c r="D71" s="553" t="s">
        <v>466</v>
      </c>
      <c r="E71" s="561"/>
      <c r="F71" s="556"/>
      <c r="G71" s="557"/>
      <c r="H71" s="558">
        <v>27.12</v>
      </c>
      <c r="I71" s="559">
        <f t="shared" si="3"/>
        <v>0</v>
      </c>
    </row>
    <row r="72" spans="1:9" x14ac:dyDescent="0.2">
      <c r="A72" s="524"/>
      <c r="B72" s="552" t="s">
        <v>1594</v>
      </c>
      <c r="C72" s="553" t="s">
        <v>1595</v>
      </c>
      <c r="D72" s="553" t="s">
        <v>466</v>
      </c>
      <c r="E72" s="561"/>
      <c r="F72" s="556"/>
      <c r="G72" s="557"/>
      <c r="H72" s="558">
        <v>66.48</v>
      </c>
      <c r="I72" s="559">
        <f t="shared" si="3"/>
        <v>0</v>
      </c>
    </row>
    <row r="73" spans="1:9" x14ac:dyDescent="0.2">
      <c r="B73" s="552"/>
      <c r="C73" s="553"/>
      <c r="D73" s="553"/>
      <c r="E73" s="561"/>
      <c r="F73" s="556"/>
      <c r="G73" s="557"/>
      <c r="H73" s="558"/>
      <c r="I73" s="559">
        <f t="shared" si="3"/>
        <v>0</v>
      </c>
    </row>
    <row r="74" spans="1:9" x14ac:dyDescent="0.2">
      <c r="A74" s="524"/>
      <c r="B74" s="552" t="s">
        <v>1596</v>
      </c>
      <c r="C74" s="553" t="s">
        <v>1597</v>
      </c>
      <c r="D74" s="553" t="s">
        <v>466</v>
      </c>
      <c r="E74" s="561"/>
      <c r="F74" s="556"/>
      <c r="G74" s="557"/>
      <c r="H74" s="558">
        <v>29.46</v>
      </c>
      <c r="I74" s="559">
        <f t="shared" si="3"/>
        <v>0</v>
      </c>
    </row>
    <row r="75" spans="1:9" x14ac:dyDescent="0.2">
      <c r="A75" s="524"/>
      <c r="B75" s="552" t="s">
        <v>1598</v>
      </c>
      <c r="C75" s="553" t="s">
        <v>1599</v>
      </c>
      <c r="D75" s="553" t="s">
        <v>466</v>
      </c>
      <c r="E75" s="561"/>
      <c r="F75" s="556"/>
      <c r="G75" s="557"/>
      <c r="H75" s="558">
        <v>52.69</v>
      </c>
      <c r="I75" s="559">
        <f t="shared" si="3"/>
        <v>0</v>
      </c>
    </row>
    <row r="76" spans="1:9" x14ac:dyDescent="0.2">
      <c r="A76" s="524"/>
      <c r="B76" s="552" t="s">
        <v>1600</v>
      </c>
      <c r="C76" s="553" t="s">
        <v>1601</v>
      </c>
      <c r="D76" s="553" t="s">
        <v>466</v>
      </c>
      <c r="E76" s="561"/>
      <c r="F76" s="556"/>
      <c r="G76" s="557"/>
      <c r="H76" s="558">
        <v>33</v>
      </c>
      <c r="I76" s="559">
        <f t="shared" si="3"/>
        <v>0</v>
      </c>
    </row>
    <row r="77" spans="1:9" x14ac:dyDescent="0.2">
      <c r="B77" s="552"/>
      <c r="C77" s="553"/>
      <c r="D77" s="553"/>
      <c r="E77" s="561"/>
      <c r="F77" s="556"/>
      <c r="G77" s="557"/>
      <c r="H77" s="558"/>
      <c r="I77" s="559">
        <f t="shared" si="3"/>
        <v>0</v>
      </c>
    </row>
    <row r="78" spans="1:9" x14ac:dyDescent="0.2">
      <c r="A78" s="524"/>
      <c r="B78" s="552" t="s">
        <v>1602</v>
      </c>
      <c r="C78" s="553" t="s">
        <v>1603</v>
      </c>
      <c r="D78" s="553" t="s">
        <v>1552</v>
      </c>
      <c r="E78" s="561"/>
      <c r="F78" s="556"/>
      <c r="G78" s="557"/>
      <c r="H78" s="558">
        <v>28</v>
      </c>
      <c r="I78" s="559">
        <f t="shared" si="3"/>
        <v>0</v>
      </c>
    </row>
    <row r="79" spans="1:9" x14ac:dyDescent="0.2">
      <c r="A79" s="524"/>
      <c r="B79" s="552" t="s">
        <v>1604</v>
      </c>
      <c r="C79" s="553" t="s">
        <v>1605</v>
      </c>
      <c r="D79" s="553" t="s">
        <v>1549</v>
      </c>
      <c r="E79" s="561"/>
      <c r="F79" s="556"/>
      <c r="G79" s="557"/>
      <c r="H79" s="558">
        <v>128</v>
      </c>
      <c r="I79" s="559">
        <f t="shared" si="3"/>
        <v>0</v>
      </c>
    </row>
    <row r="80" spans="1:9" x14ac:dyDescent="0.2">
      <c r="A80" s="524"/>
      <c r="B80" s="552" t="s">
        <v>1606</v>
      </c>
      <c r="C80" s="553" t="s">
        <v>1607</v>
      </c>
      <c r="D80" s="553" t="s">
        <v>466</v>
      </c>
      <c r="E80" s="561"/>
      <c r="F80" s="556"/>
      <c r="G80" s="557"/>
      <c r="H80" s="558">
        <v>34.22</v>
      </c>
      <c r="I80" s="559">
        <f t="shared" si="3"/>
        <v>0</v>
      </c>
    </row>
    <row r="81" spans="1:9" x14ac:dyDescent="0.2">
      <c r="A81" s="524"/>
      <c r="B81" s="552" t="s">
        <v>1547</v>
      </c>
      <c r="C81" s="553" t="s">
        <v>1548</v>
      </c>
      <c r="D81" s="553" t="s">
        <v>1549</v>
      </c>
      <c r="E81" s="561"/>
      <c r="F81" s="556"/>
      <c r="G81" s="557"/>
      <c r="H81" s="558">
        <v>136</v>
      </c>
      <c r="I81" s="559">
        <f t="shared" si="3"/>
        <v>0</v>
      </c>
    </row>
    <row r="82" spans="1:9" x14ac:dyDescent="0.2">
      <c r="A82" s="524"/>
      <c r="B82" s="552" t="s">
        <v>1608</v>
      </c>
      <c r="C82" s="553" t="s">
        <v>1609</v>
      </c>
      <c r="D82" s="553" t="s">
        <v>466</v>
      </c>
      <c r="E82" s="561"/>
      <c r="F82" s="556"/>
      <c r="G82" s="557"/>
      <c r="H82" s="558">
        <v>46.6</v>
      </c>
      <c r="I82" s="559">
        <f t="shared" si="3"/>
        <v>0</v>
      </c>
    </row>
    <row r="83" spans="1:9" x14ac:dyDescent="0.2">
      <c r="A83" s="524"/>
      <c r="B83" s="552" t="s">
        <v>1610</v>
      </c>
      <c r="C83" s="553" t="s">
        <v>1611</v>
      </c>
      <c r="D83" s="553" t="s">
        <v>1557</v>
      </c>
      <c r="E83" s="561"/>
      <c r="F83" s="556"/>
      <c r="G83" s="557"/>
      <c r="H83" s="558">
        <v>26.46</v>
      </c>
      <c r="I83" s="559">
        <f t="shared" si="3"/>
        <v>0</v>
      </c>
    </row>
    <row r="84" spans="1:9" ht="15" customHeight="1" x14ac:dyDescent="0.2">
      <c r="A84" s="524"/>
      <c r="B84" s="552" t="s">
        <v>1612</v>
      </c>
      <c r="C84" s="553" t="s">
        <v>1613</v>
      </c>
      <c r="D84" s="553" t="s">
        <v>1552</v>
      </c>
      <c r="E84" s="561"/>
      <c r="F84" s="556"/>
      <c r="G84" s="557"/>
      <c r="H84" s="558">
        <v>9.9</v>
      </c>
      <c r="I84" s="559">
        <f t="shared" si="3"/>
        <v>0</v>
      </c>
    </row>
    <row r="85" spans="1:9" ht="15" customHeight="1" x14ac:dyDescent="0.2">
      <c r="A85" s="524"/>
      <c r="B85" s="552" t="s">
        <v>1614</v>
      </c>
      <c r="C85" s="553" t="s">
        <v>1613</v>
      </c>
      <c r="D85" s="553" t="s">
        <v>1525</v>
      </c>
      <c r="E85" s="561"/>
      <c r="F85" s="556"/>
      <c r="G85" s="557"/>
      <c r="H85" s="558">
        <v>9.1</v>
      </c>
      <c r="I85" s="559">
        <f t="shared" si="3"/>
        <v>0</v>
      </c>
    </row>
    <row r="86" spans="1:9" ht="15" customHeight="1" x14ac:dyDescent="0.2">
      <c r="A86" s="524"/>
      <c r="B86" s="552" t="s">
        <v>1615</v>
      </c>
      <c r="C86" s="553" t="s">
        <v>1616</v>
      </c>
      <c r="D86" s="553" t="s">
        <v>1525</v>
      </c>
      <c r="E86" s="561"/>
      <c r="F86" s="556"/>
      <c r="G86" s="557"/>
      <c r="H86" s="558">
        <v>9.3000000000000007</v>
      </c>
      <c r="I86" s="559">
        <f t="shared" si="3"/>
        <v>0</v>
      </c>
    </row>
    <row r="87" spans="1:9" ht="15" customHeight="1" x14ac:dyDescent="0.2">
      <c r="A87" s="524"/>
      <c r="B87" s="552" t="s">
        <v>1617</v>
      </c>
      <c r="C87" s="553" t="s">
        <v>1618</v>
      </c>
      <c r="D87" s="553" t="s">
        <v>1525</v>
      </c>
      <c r="E87" s="561"/>
      <c r="F87" s="556"/>
      <c r="G87" s="557"/>
      <c r="H87" s="558">
        <v>10.6</v>
      </c>
      <c r="I87" s="559">
        <f t="shared" si="3"/>
        <v>0</v>
      </c>
    </row>
    <row r="88" spans="1:9" ht="15" customHeight="1" x14ac:dyDescent="0.2">
      <c r="A88" s="524"/>
      <c r="B88" s="552" t="s">
        <v>1619</v>
      </c>
      <c r="C88" s="553" t="s">
        <v>1620</v>
      </c>
      <c r="D88" s="553" t="s">
        <v>77</v>
      </c>
      <c r="E88" s="561"/>
      <c r="F88" s="556"/>
      <c r="G88" s="557"/>
      <c r="H88" s="558">
        <v>44</v>
      </c>
      <c r="I88" s="559">
        <f t="shared" si="3"/>
        <v>0</v>
      </c>
    </row>
    <row r="89" spans="1:9" ht="15" customHeight="1" x14ac:dyDescent="0.2">
      <c r="A89" s="524"/>
      <c r="B89" s="552"/>
      <c r="C89" s="553"/>
      <c r="D89" s="553"/>
      <c r="E89" s="561"/>
      <c r="F89" s="556"/>
      <c r="G89" s="557"/>
      <c r="H89" s="558"/>
      <c r="I89" s="559">
        <f t="shared" si="3"/>
        <v>0</v>
      </c>
    </row>
    <row r="90" spans="1:9" ht="15" customHeight="1" x14ac:dyDescent="0.2">
      <c r="A90" s="524"/>
      <c r="B90" s="552" t="s">
        <v>1621</v>
      </c>
      <c r="C90" s="553" t="s">
        <v>1622</v>
      </c>
      <c r="D90" s="553" t="s">
        <v>1525</v>
      </c>
      <c r="E90" s="561"/>
      <c r="F90" s="556"/>
      <c r="G90" s="557"/>
      <c r="H90" s="558">
        <v>41.8</v>
      </c>
      <c r="I90" s="559">
        <f t="shared" si="3"/>
        <v>0</v>
      </c>
    </row>
    <row r="91" spans="1:9" ht="15" customHeight="1" x14ac:dyDescent="0.2">
      <c r="B91" s="552"/>
      <c r="C91" s="553"/>
      <c r="D91" s="553"/>
      <c r="E91" s="561"/>
      <c r="F91" s="556"/>
      <c r="G91" s="557"/>
      <c r="H91" s="558"/>
      <c r="I91" s="559">
        <f t="shared" si="3"/>
        <v>0</v>
      </c>
    </row>
    <row r="92" spans="1:9" ht="15" customHeight="1" x14ac:dyDescent="0.2">
      <c r="A92" s="524"/>
      <c r="B92" s="552" t="s">
        <v>1623</v>
      </c>
      <c r="C92" s="553" t="s">
        <v>1624</v>
      </c>
      <c r="D92" s="553" t="s">
        <v>77</v>
      </c>
      <c r="E92" s="561"/>
      <c r="F92" s="556"/>
      <c r="G92" s="557"/>
      <c r="H92" s="558">
        <v>7.78</v>
      </c>
      <c r="I92" s="559">
        <f t="shared" si="3"/>
        <v>0</v>
      </c>
    </row>
    <row r="93" spans="1:9" ht="15" customHeight="1" x14ac:dyDescent="0.2">
      <c r="B93" s="552"/>
      <c r="C93" s="553"/>
      <c r="D93" s="553"/>
      <c r="E93" s="561"/>
      <c r="F93" s="556"/>
      <c r="G93" s="557"/>
      <c r="H93" s="558"/>
      <c r="I93" s="559">
        <f t="shared" si="3"/>
        <v>0</v>
      </c>
    </row>
    <row r="94" spans="1:9" ht="15" customHeight="1" x14ac:dyDescent="0.2">
      <c r="A94" s="524"/>
      <c r="B94" s="552" t="s">
        <v>1625</v>
      </c>
      <c r="C94" s="553" t="s">
        <v>1626</v>
      </c>
      <c r="D94" s="553" t="s">
        <v>77</v>
      </c>
      <c r="E94" s="561"/>
      <c r="F94" s="556"/>
      <c r="G94" s="557"/>
      <c r="H94" s="558">
        <v>39.22</v>
      </c>
      <c r="I94" s="559">
        <f t="shared" si="3"/>
        <v>0</v>
      </c>
    </row>
    <row r="95" spans="1:9" ht="15" customHeight="1" x14ac:dyDescent="0.2">
      <c r="A95" s="524"/>
      <c r="B95" s="552" t="s">
        <v>1627</v>
      </c>
      <c r="C95" s="553" t="s">
        <v>1628</v>
      </c>
      <c r="D95" s="553" t="s">
        <v>77</v>
      </c>
      <c r="E95" s="561"/>
      <c r="F95" s="556"/>
      <c r="G95" s="557"/>
      <c r="H95" s="558">
        <v>59.22</v>
      </c>
      <c r="I95" s="559">
        <f t="shared" si="3"/>
        <v>0</v>
      </c>
    </row>
    <row r="96" spans="1:9" x14ac:dyDescent="0.2">
      <c r="B96" s="552"/>
      <c r="C96" s="553"/>
      <c r="D96" s="553"/>
      <c r="E96" s="561"/>
      <c r="F96" s="556"/>
      <c r="G96" s="557"/>
      <c r="H96" s="558"/>
      <c r="I96" s="559">
        <f t="shared" si="3"/>
        <v>0</v>
      </c>
    </row>
    <row r="97" spans="1:9" x14ac:dyDescent="0.2">
      <c r="A97" s="524"/>
      <c r="B97" s="552" t="s">
        <v>1629</v>
      </c>
      <c r="C97" s="553" t="s">
        <v>1630</v>
      </c>
      <c r="D97" s="553" t="s">
        <v>1549</v>
      </c>
      <c r="E97" s="561"/>
      <c r="F97" s="556"/>
      <c r="G97" s="557"/>
      <c r="H97" s="558">
        <v>72</v>
      </c>
      <c r="I97" s="559">
        <f t="shared" si="3"/>
        <v>0</v>
      </c>
    </row>
    <row r="98" spans="1:9" x14ac:dyDescent="0.2">
      <c r="A98" s="524"/>
      <c r="B98" s="552" t="s">
        <v>1631</v>
      </c>
      <c r="C98" s="553" t="s">
        <v>1632</v>
      </c>
      <c r="D98" s="553" t="s">
        <v>1549</v>
      </c>
      <c r="E98" s="561"/>
      <c r="F98" s="556"/>
      <c r="G98" s="557"/>
      <c r="H98" s="558">
        <v>38.799999999999997</v>
      </c>
      <c r="I98" s="559">
        <f t="shared" si="3"/>
        <v>0</v>
      </c>
    </row>
    <row r="99" spans="1:9" x14ac:dyDescent="0.2">
      <c r="A99" s="524"/>
      <c r="B99" s="552" t="s">
        <v>1633</v>
      </c>
      <c r="C99" s="553" t="s">
        <v>1634</v>
      </c>
      <c r="D99" s="553" t="s">
        <v>1549</v>
      </c>
      <c r="E99" s="561"/>
      <c r="F99" s="556"/>
      <c r="G99" s="557"/>
      <c r="H99" s="558">
        <v>102</v>
      </c>
      <c r="I99" s="559">
        <f t="shared" si="3"/>
        <v>0</v>
      </c>
    </row>
    <row r="100" spans="1:9" ht="17" thickBot="1" x14ac:dyDescent="0.25">
      <c r="A100" s="524"/>
      <c r="B100" s="552" t="s">
        <v>1635</v>
      </c>
      <c r="C100" s="553" t="s">
        <v>1636</v>
      </c>
      <c r="D100" s="553" t="s">
        <v>1552</v>
      </c>
      <c r="E100" s="561"/>
      <c r="F100" s="556"/>
      <c r="G100" s="557"/>
      <c r="H100" s="558">
        <v>9.68</v>
      </c>
      <c r="I100" s="559">
        <f t="shared" si="3"/>
        <v>0</v>
      </c>
    </row>
    <row r="101" spans="1:9" ht="17" thickBot="1" x14ac:dyDescent="0.25">
      <c r="B101" s="693"/>
      <c r="C101" s="694"/>
      <c r="D101" s="694"/>
      <c r="E101" s="694"/>
      <c r="F101" s="694"/>
      <c r="G101" s="694"/>
      <c r="H101" s="694"/>
      <c r="I101" s="300">
        <f>SUM(I11:I100)</f>
        <v>0</v>
      </c>
    </row>
  </sheetData>
  <mergeCells count="10">
    <mergeCell ref="C5:D5"/>
    <mergeCell ref="C6:D6"/>
    <mergeCell ref="C7:D7"/>
    <mergeCell ref="C8:D8"/>
    <mergeCell ref="B101:H101"/>
    <mergeCell ref="F3:G3"/>
    <mergeCell ref="F2:G2"/>
    <mergeCell ref="C3:D3"/>
    <mergeCell ref="B2:D2"/>
    <mergeCell ref="C4:D4"/>
  </mergeCells>
  <phoneticPr fontId="23" type="noConversion"/>
  <pageMargins left="0.23622047244094491" right="0.23622047244094491" top="0.74803149606299213" bottom="0.74803149606299213" header="0.31496062992125984" footer="0.31496062992125984"/>
  <pageSetup paperSize="9" scale="59" fitToHeight="2" orientation="portrait" r:id="rId1"/>
  <headerFooter>
    <oddFooter>&amp;L&amp;P</oddFooter>
  </headerFooter>
  <ignoredErrors>
    <ignoredError sqref="I101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F7643505BA8648AFB8F3DBDBF1EAE6" ma:contentTypeVersion="15" ma:contentTypeDescription="Create a new document." ma:contentTypeScope="" ma:versionID="4d33d9c676210f37c745f04637f6fb1d">
  <xsd:schema xmlns:xsd="http://www.w3.org/2001/XMLSchema" xmlns:xs="http://www.w3.org/2001/XMLSchema" xmlns:p="http://schemas.microsoft.com/office/2006/metadata/properties" xmlns:ns2="5c575f11-b7b1-4ff6-a041-b51d921db5fa" xmlns:ns3="5b5dbbff-5129-4c6f-aeeb-2ee2f02f17f2" targetNamespace="http://schemas.microsoft.com/office/2006/metadata/properties" ma:root="true" ma:fieldsID="34bfd89f9c9d8ee320e34238846086f0" ns2:_="" ns3:_="">
    <xsd:import namespace="5c575f11-b7b1-4ff6-a041-b51d921db5fa"/>
    <xsd:import namespace="5b5dbbff-5129-4c6f-aeeb-2ee2f02f17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575f11-b7b1-4ff6-a041-b51d921db5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bef5f161-0645-425a-ae96-09718b5d3f7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5dbbff-5129-4c6f-aeeb-2ee2f02f17f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5b221080-81f9-489a-b2f6-592992c4180b}" ma:internalName="TaxCatchAll" ma:showField="CatchAllData" ma:web="5b5dbbff-5129-4c6f-aeeb-2ee2f02f17f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c575f11-b7b1-4ff6-a041-b51d921db5fa">
      <Terms xmlns="http://schemas.microsoft.com/office/infopath/2007/PartnerControls"/>
    </lcf76f155ced4ddcb4097134ff3c332f>
    <TaxCatchAll xmlns="5b5dbbff-5129-4c6f-aeeb-2ee2f02f17f2" xsi:nil="true"/>
    <SharedWithUsers xmlns="5b5dbbff-5129-4c6f-aeeb-2ee2f02f17f2">
      <UserInfo>
        <DisplayName>Manish Khot</DisplayName>
        <AccountId>35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F5ED6FE-05EB-42E8-A926-F683CF8B9C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575f11-b7b1-4ff6-a041-b51d921db5fa"/>
    <ds:schemaRef ds:uri="5b5dbbff-5129-4c6f-aeeb-2ee2f02f17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C22FBFD-C3CF-4991-95A1-55EE7C643F99}">
  <ds:schemaRefs>
    <ds:schemaRef ds:uri="http://schemas.microsoft.com/office/2006/metadata/properties"/>
    <ds:schemaRef ds:uri="http://schemas.microsoft.com/office/infopath/2007/PartnerControls"/>
    <ds:schemaRef ds:uri="5c575f11-b7b1-4ff6-a041-b51d921db5fa"/>
    <ds:schemaRef ds:uri="5b5dbbff-5129-4c6f-aeeb-2ee2f02f17f2"/>
  </ds:schemaRefs>
</ds:datastoreItem>
</file>

<file path=customXml/itemProps3.xml><?xml version="1.0" encoding="utf-8"?>
<ds:datastoreItem xmlns:ds="http://schemas.openxmlformats.org/officeDocument/2006/customXml" ds:itemID="{BA19D912-0F9A-488C-A376-0F0212639FA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16</vt:i4>
      </vt:variant>
    </vt:vector>
  </HeadingPairs>
  <TitlesOfParts>
    <vt:vector size="32" baseType="lpstr">
      <vt:lpstr>COVER</vt:lpstr>
      <vt:lpstr>F&amp;V_Select Fresh</vt:lpstr>
      <vt:lpstr>PROTEIN_POULTRY CLASSIC MEATS </vt:lpstr>
      <vt:lpstr>SMALL GOODS BIDFOODS  </vt:lpstr>
      <vt:lpstr>SEAFOOD_DAIRY_EGGS_BIDFOODS</vt:lpstr>
      <vt:lpstr>DAIRY_BROWNES DAIRY </vt:lpstr>
      <vt:lpstr>FROZEN_BIDFOODS </vt:lpstr>
      <vt:lpstr>BEVERAGE_DRY GOODS_BIDFOODS</vt:lpstr>
      <vt:lpstr>CATERING CONS_BUNZL</vt:lpstr>
      <vt:lpstr>CLEANING CONS_BUNZL </vt:lpstr>
      <vt:lpstr>CHEM_BUNZL</vt:lpstr>
      <vt:lpstr>RETAIL_PFD ICE CREAM</vt:lpstr>
      <vt:lpstr>RETAIL_METCASH TOBACCO</vt:lpstr>
      <vt:lpstr>RETAIL_CAMP BROWNES</vt:lpstr>
      <vt:lpstr>RETAIL_CAMP</vt:lpstr>
      <vt:lpstr>RETAIL_LTA</vt:lpstr>
      <vt:lpstr>'BEVERAGE_DRY GOODS_BIDFOODS'!Print_Area</vt:lpstr>
      <vt:lpstr>'CATERING CONS_BUNZL'!Print_Area</vt:lpstr>
      <vt:lpstr>CHEM_BUNZL!Print_Area</vt:lpstr>
      <vt:lpstr>'CLEANING CONS_BUNZL '!Print_Area</vt:lpstr>
      <vt:lpstr>COVER!Print_Area</vt:lpstr>
      <vt:lpstr>'DAIRY_BROWNES DAIRY '!Print_Area</vt:lpstr>
      <vt:lpstr>'F&amp;V_Select Fresh'!Print_Area</vt:lpstr>
      <vt:lpstr>'FROZEN_BIDFOODS '!Print_Area</vt:lpstr>
      <vt:lpstr>'PROTEIN_POULTRY CLASSIC MEATS '!Print_Area</vt:lpstr>
      <vt:lpstr>RETAIL_CAMP!Print_Area</vt:lpstr>
      <vt:lpstr>'RETAIL_CAMP BROWNES'!Print_Area</vt:lpstr>
      <vt:lpstr>RETAIL_LTA!Print_Area</vt:lpstr>
      <vt:lpstr>'RETAIL_METCASH TOBACCO'!Print_Area</vt:lpstr>
      <vt:lpstr>'RETAIL_PFD ICE CREAM'!Print_Area</vt:lpstr>
      <vt:lpstr>SEAFOOD_DAIRY_EGGS_BIDFOODS!Print_Area</vt:lpstr>
      <vt:lpstr>'SMALL GOODS BIDFOODS  '!Print_Area</vt:lpstr>
    </vt:vector>
  </TitlesOfParts>
  <Manager/>
  <Company>Hivesmart Pty Ltd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2020-03-30T02:22:43Z</dcterms:created>
  <dcterms:modified xsi:type="dcterms:W3CDTF">2023-07-14T15:13:56Z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0x010100F3F7643505BA8648AFB8F3DBDBF1EAE6</vt:lpwstr>
  </property>
  <property fmtid="{D5CDD505-2E9C-101B-9397-08002B2CF9AE}" pid="3" name="MediaServiceImageTags">
    <vt:lpwstr/>
  </property>
</Properties>
</file>