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Bob Freid\Documents\2 Data Tech Analytics\Data Work\"/>
    </mc:Choice>
  </mc:AlternateContent>
  <xr:revisionPtr revIDLastSave="0" documentId="13_ncr:1_{89094B91-CA91-4779-BB99-0E327D68B6EC}" xr6:coauthVersionLast="47" xr6:coauthVersionMax="47" xr10:uidLastSave="{00000000-0000-0000-0000-000000000000}"/>
  <bookViews>
    <workbookView xWindow="1062" yWindow="1566" windowWidth="21978" windowHeight="11394" activeTab="1" xr2:uid="{00000000-000D-0000-FFFF-FFFF00000000}"/>
  </bookViews>
  <sheets>
    <sheet name="Table of Contents" sheetId="1" r:id="rId1"/>
    <sheet name="FAQs" sheetId="2" r:id="rId2"/>
    <sheet name="New in Each Version " sheetId="3" r:id="rId3"/>
    <sheet name="Codebook" sheetId="4" r:id="rId4"/>
    <sheet name="Full Database" sheetId="5" r:id="rId5"/>
    <sheet name="Firearms Data" sheetId="6" r:id="rId6"/>
    <sheet name="Victims Data" sheetId="7" r:id="rId7"/>
    <sheet name="Community Data" sheetId="8" r:id="rId8"/>
    <sheet name="Trend Data"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uUqHLjFWPs6NWpLYw0OLQ4ZOtyg=="/>
    </ext>
  </extLst>
</workbook>
</file>

<file path=xl/calcChain.xml><?xml version="1.0" encoding="utf-8"?>
<calcChain xmlns="http://schemas.openxmlformats.org/spreadsheetml/2006/main">
  <c r="C70" i="9" l="1"/>
  <c r="C69" i="9"/>
  <c r="C68" i="9"/>
  <c r="C67" i="9"/>
  <c r="C66" i="9"/>
  <c r="C65" i="9"/>
  <c r="M55" i="9"/>
  <c r="F55" i="9"/>
  <c r="M1215" i="7"/>
  <c r="M1214" i="7"/>
  <c r="M1213" i="7"/>
  <c r="M1212" i="7"/>
  <c r="M1211" i="7"/>
  <c r="M1210" i="7"/>
  <c r="M1209" i="7"/>
  <c r="M1208" i="7"/>
  <c r="M1207" i="7"/>
  <c r="M1206" i="7"/>
  <c r="M1205" i="7"/>
  <c r="M1204" i="7"/>
  <c r="M1203" i="7"/>
  <c r="M1202" i="7"/>
  <c r="M1201" i="7"/>
  <c r="M1200" i="7"/>
  <c r="M1199" i="7"/>
  <c r="M1198" i="7"/>
  <c r="M1197" i="7"/>
  <c r="M1196" i="7"/>
  <c r="M1195" i="7"/>
  <c r="M1194" i="7"/>
  <c r="M1193" i="7"/>
  <c r="M1192" i="7"/>
  <c r="M1191" i="7"/>
  <c r="M1190" i="7"/>
  <c r="M1189" i="7"/>
  <c r="M1188" i="7"/>
  <c r="M1187" i="7"/>
  <c r="F1186" i="7"/>
  <c r="M1186" i="7" s="1"/>
  <c r="M1185" i="7"/>
  <c r="M1184" i="7"/>
  <c r="M1182" i="7"/>
  <c r="M1181" i="7"/>
  <c r="M1180" i="7"/>
  <c r="M1179" i="7"/>
  <c r="M1178" i="7"/>
  <c r="M1177" i="7"/>
  <c r="M1176" i="7"/>
  <c r="M1175" i="7"/>
  <c r="M1174" i="7"/>
  <c r="M1172" i="7"/>
  <c r="M1171" i="7"/>
  <c r="M1170" i="7"/>
  <c r="M1169" i="7"/>
  <c r="M1168" i="7"/>
  <c r="M1167" i="7"/>
  <c r="M1166" i="7"/>
  <c r="M1165" i="7"/>
  <c r="M1164" i="7"/>
  <c r="M1163" i="7"/>
  <c r="M1162" i="7"/>
  <c r="M1161" i="7"/>
  <c r="M1160" i="7"/>
  <c r="M1159" i="7"/>
  <c r="M1158" i="7"/>
  <c r="M1157" i="7"/>
  <c r="M1156" i="7"/>
  <c r="M1155" i="7"/>
  <c r="M1154" i="7"/>
  <c r="M1153" i="7"/>
  <c r="M1152" i="7"/>
  <c r="M1151" i="7"/>
  <c r="M1150" i="7"/>
  <c r="M1149" i="7"/>
  <c r="M1148" i="7"/>
  <c r="M1147" i="7"/>
  <c r="M1146" i="7"/>
  <c r="M1145" i="7"/>
  <c r="M1144" i="7"/>
  <c r="M1143" i="7"/>
  <c r="M1142" i="7"/>
  <c r="M1141" i="7"/>
  <c r="M1140" i="7"/>
  <c r="M1139" i="7"/>
  <c r="M1138" i="7"/>
  <c r="M1137" i="7"/>
  <c r="M1136" i="7"/>
  <c r="M1135" i="7"/>
  <c r="M1134" i="7"/>
  <c r="M1133" i="7"/>
  <c r="M1132" i="7"/>
  <c r="M1131" i="7"/>
  <c r="M1130" i="7"/>
  <c r="M1129" i="7"/>
  <c r="M1127" i="7"/>
  <c r="M1125" i="7"/>
  <c r="M1124" i="7"/>
  <c r="M1123" i="7"/>
  <c r="M1122" i="7"/>
  <c r="M1120" i="7"/>
  <c r="M1119" i="7"/>
  <c r="M1118" i="7"/>
  <c r="M1117" i="7"/>
  <c r="M1116" i="7"/>
  <c r="M1115" i="7"/>
  <c r="M1114" i="7"/>
  <c r="M1113" i="7"/>
  <c r="M1112" i="7"/>
  <c r="M1111" i="7"/>
  <c r="M1110" i="7"/>
  <c r="M1109" i="7"/>
  <c r="M1108" i="7"/>
  <c r="M1107" i="7"/>
  <c r="M1106" i="7"/>
  <c r="M1105" i="7"/>
  <c r="M1104" i="7"/>
  <c r="M1103" i="7"/>
  <c r="M1102" i="7"/>
  <c r="M1101" i="7"/>
  <c r="M1100" i="7"/>
  <c r="M1099" i="7"/>
  <c r="M1098" i="7"/>
  <c r="M1097" i="7"/>
  <c r="M1096" i="7"/>
  <c r="M1095" i="7"/>
  <c r="M1094" i="7"/>
  <c r="M1093" i="7"/>
  <c r="M1092" i="7"/>
  <c r="M1091" i="7"/>
  <c r="M1090" i="7"/>
  <c r="M1089" i="7"/>
  <c r="M1088" i="7"/>
  <c r="M1087" i="7"/>
  <c r="M1086" i="7"/>
  <c r="M1085" i="7"/>
  <c r="M1084" i="7"/>
  <c r="M1083" i="7"/>
  <c r="M1082" i="7"/>
  <c r="M1081" i="7"/>
  <c r="M1080" i="7"/>
  <c r="M1079" i="7"/>
  <c r="M1078" i="7"/>
  <c r="M1077" i="7"/>
  <c r="M1076" i="7"/>
  <c r="M1075" i="7"/>
  <c r="M1074" i="7"/>
  <c r="M1073" i="7"/>
  <c r="M1072" i="7"/>
  <c r="M1071" i="7"/>
  <c r="M1070" i="7"/>
  <c r="M1069" i="7"/>
  <c r="M1068" i="7"/>
  <c r="M1067" i="7"/>
  <c r="M1066" i="7"/>
  <c r="M1065" i="7"/>
  <c r="M1064" i="7"/>
  <c r="M1063" i="7"/>
  <c r="M1062" i="7"/>
  <c r="M1061" i="7"/>
  <c r="M1060" i="7"/>
  <c r="M1059" i="7"/>
  <c r="M1058" i="7"/>
  <c r="M1057" i="7"/>
  <c r="M1056" i="7"/>
  <c r="M1055" i="7"/>
  <c r="M1054" i="7"/>
  <c r="M1053" i="7"/>
  <c r="M1052" i="7"/>
  <c r="M1051" i="7"/>
  <c r="M1050" i="7"/>
  <c r="M1049" i="7"/>
  <c r="M1048" i="7"/>
  <c r="M1047" i="7"/>
  <c r="M1046" i="7"/>
  <c r="M1045" i="7"/>
  <c r="M1044" i="7"/>
  <c r="M1043" i="7"/>
  <c r="M1042" i="7"/>
  <c r="M1041" i="7"/>
  <c r="M1040" i="7"/>
  <c r="M1039" i="7"/>
  <c r="M1038" i="7"/>
  <c r="M1037" i="7"/>
  <c r="M1036" i="7"/>
  <c r="M1035" i="7"/>
  <c r="M1034" i="7"/>
  <c r="M1033" i="7"/>
  <c r="M1032" i="7"/>
  <c r="M1031" i="7"/>
  <c r="M1030" i="7"/>
  <c r="M1029" i="7"/>
  <c r="M1028" i="7"/>
  <c r="M1027" i="7"/>
  <c r="M1026" i="7"/>
  <c r="M1025" i="7"/>
  <c r="M1024" i="7"/>
  <c r="M1023" i="7"/>
  <c r="M1022" i="7"/>
  <c r="M1021" i="7"/>
  <c r="M1020" i="7"/>
  <c r="M1019" i="7"/>
  <c r="M1018" i="7"/>
  <c r="M1017" i="7"/>
  <c r="M1016" i="7"/>
  <c r="M1015" i="7"/>
  <c r="M1014" i="7"/>
  <c r="M1013" i="7"/>
  <c r="M1012" i="7"/>
  <c r="M1011" i="7"/>
  <c r="M1010" i="7"/>
  <c r="M1009" i="7"/>
  <c r="M1008" i="7"/>
  <c r="M1007" i="7"/>
  <c r="M1006" i="7"/>
  <c r="M1005" i="7"/>
  <c r="M1004" i="7"/>
  <c r="M1003" i="7"/>
  <c r="M1002" i="7"/>
  <c r="M1001" i="7"/>
  <c r="M1000" i="7"/>
  <c r="M999" i="7"/>
  <c r="M998" i="7"/>
  <c r="M997" i="7"/>
  <c r="M996" i="7"/>
  <c r="M995" i="7"/>
  <c r="M994" i="7"/>
  <c r="M993" i="7"/>
  <c r="M992" i="7"/>
  <c r="M991" i="7"/>
  <c r="M990" i="7"/>
  <c r="M989" i="7"/>
  <c r="M988" i="7"/>
  <c r="M987" i="7"/>
  <c r="M986" i="7"/>
  <c r="M985" i="7"/>
  <c r="M984" i="7"/>
  <c r="M983" i="7"/>
  <c r="M982" i="7"/>
  <c r="M981" i="7"/>
  <c r="M980" i="7"/>
  <c r="M979" i="7"/>
  <c r="M978" i="7"/>
  <c r="M977" i="7"/>
  <c r="M976" i="7"/>
  <c r="M975" i="7"/>
  <c r="M974" i="7"/>
  <c r="M973" i="7"/>
  <c r="M972" i="7"/>
  <c r="M971" i="7"/>
  <c r="M970" i="7"/>
  <c r="M969" i="7"/>
  <c r="M968" i="7"/>
  <c r="M967" i="7"/>
  <c r="M966" i="7"/>
  <c r="M965" i="7"/>
  <c r="M964" i="7"/>
  <c r="M963" i="7"/>
  <c r="M962" i="7"/>
  <c r="M961" i="7"/>
  <c r="M960" i="7"/>
  <c r="M958" i="7"/>
  <c r="M957" i="7"/>
  <c r="M956" i="7"/>
  <c r="M955" i="7"/>
  <c r="M954" i="7"/>
  <c r="M953" i="7"/>
  <c r="M952" i="7"/>
  <c r="M951" i="7"/>
  <c r="M950" i="7"/>
  <c r="M949" i="7"/>
  <c r="M948" i="7"/>
  <c r="M947" i="7"/>
  <c r="M946" i="7"/>
  <c r="M945" i="7"/>
  <c r="M944" i="7"/>
  <c r="M943" i="7"/>
  <c r="M942" i="7"/>
  <c r="M941" i="7"/>
  <c r="M940" i="7"/>
  <c r="M939" i="7"/>
  <c r="M938" i="7"/>
  <c r="M937" i="7"/>
  <c r="M936" i="7"/>
  <c r="M935" i="7"/>
  <c r="M934" i="7"/>
  <c r="M933" i="7"/>
  <c r="M932" i="7"/>
  <c r="M931" i="7"/>
  <c r="M930" i="7"/>
  <c r="M929" i="7"/>
  <c r="M928" i="7"/>
  <c r="M927" i="7"/>
  <c r="M926" i="7"/>
  <c r="M925" i="7"/>
  <c r="M924" i="7"/>
  <c r="M923" i="7"/>
  <c r="M922" i="7"/>
  <c r="M921" i="7"/>
  <c r="M920" i="7"/>
  <c r="M919" i="7"/>
  <c r="M918" i="7"/>
  <c r="M917" i="7"/>
  <c r="M916" i="7"/>
  <c r="M915" i="7"/>
  <c r="M914" i="7"/>
  <c r="M913" i="7"/>
  <c r="M912" i="7"/>
  <c r="M911" i="7"/>
  <c r="M910" i="7"/>
  <c r="M909" i="7"/>
  <c r="M908" i="7"/>
  <c r="M907" i="7"/>
  <c r="M906" i="7"/>
  <c r="M905" i="7"/>
  <c r="M904" i="7"/>
  <c r="M903" i="7"/>
  <c r="M902" i="7"/>
  <c r="M901" i="7"/>
  <c r="M900" i="7"/>
  <c r="M899" i="7"/>
  <c r="M898" i="7"/>
  <c r="M897" i="7"/>
  <c r="M896" i="7"/>
  <c r="M895" i="7"/>
  <c r="M894" i="7"/>
  <c r="M893" i="7"/>
  <c r="M892" i="7"/>
  <c r="M891" i="7"/>
  <c r="M890" i="7"/>
  <c r="M889" i="7"/>
  <c r="M888" i="7"/>
  <c r="M887" i="7"/>
  <c r="M886" i="7"/>
  <c r="M885" i="7"/>
  <c r="M884" i="7"/>
  <c r="M883" i="7"/>
  <c r="M882" i="7"/>
  <c r="M881" i="7"/>
  <c r="M880" i="7"/>
  <c r="M879" i="7"/>
  <c r="M878" i="7"/>
  <c r="M877" i="7"/>
  <c r="M876" i="7"/>
  <c r="M875" i="7"/>
  <c r="M874" i="7"/>
  <c r="M873" i="7"/>
  <c r="M872" i="7"/>
  <c r="M871" i="7"/>
  <c r="M870" i="7"/>
  <c r="M869" i="7"/>
  <c r="M868" i="7"/>
  <c r="M867" i="7"/>
  <c r="M866" i="7"/>
  <c r="M865" i="7"/>
  <c r="M864" i="7"/>
  <c r="M863" i="7"/>
  <c r="M862" i="7"/>
  <c r="M861" i="7"/>
  <c r="M860" i="7"/>
  <c r="M859" i="7"/>
  <c r="M858" i="7"/>
  <c r="M857" i="7"/>
  <c r="M856" i="7"/>
  <c r="M855" i="7"/>
  <c r="M853" i="7"/>
  <c r="M852" i="7"/>
  <c r="M851" i="7"/>
  <c r="M850" i="7"/>
  <c r="M849" i="7"/>
  <c r="M848" i="7"/>
  <c r="M847" i="7"/>
  <c r="M846" i="7"/>
  <c r="M845" i="7"/>
  <c r="M844" i="7"/>
  <c r="M843" i="7"/>
  <c r="M842" i="7"/>
  <c r="M841" i="7"/>
  <c r="M840" i="7"/>
  <c r="M839" i="7"/>
  <c r="M838" i="7"/>
  <c r="M837" i="7"/>
  <c r="M836" i="7"/>
  <c r="M835" i="7"/>
  <c r="M834" i="7"/>
  <c r="M833" i="7"/>
  <c r="M832" i="7"/>
  <c r="M831" i="7"/>
  <c r="M830" i="7"/>
  <c r="M829" i="7"/>
  <c r="M828" i="7"/>
  <c r="M827" i="7"/>
  <c r="M826" i="7"/>
  <c r="M825" i="7"/>
  <c r="M824" i="7"/>
  <c r="M823" i="7"/>
  <c r="M822" i="7"/>
  <c r="M821" i="7"/>
  <c r="M820" i="7"/>
  <c r="M819" i="7"/>
  <c r="M818" i="7"/>
  <c r="M817" i="7"/>
  <c r="M816" i="7"/>
  <c r="M815" i="7"/>
  <c r="M814" i="7"/>
  <c r="M813" i="7"/>
  <c r="M812" i="7"/>
  <c r="M811" i="7"/>
  <c r="M810" i="7"/>
  <c r="M809" i="7"/>
  <c r="M808" i="7"/>
  <c r="M807" i="7"/>
  <c r="M806" i="7"/>
  <c r="M805" i="7"/>
  <c r="M804" i="7"/>
  <c r="M803" i="7"/>
  <c r="M802" i="7"/>
  <c r="M801" i="7"/>
  <c r="M800" i="7"/>
  <c r="M799" i="7"/>
  <c r="M798" i="7"/>
  <c r="M797" i="7"/>
  <c r="M796" i="7"/>
  <c r="M795" i="7"/>
  <c r="M794" i="7"/>
  <c r="M793" i="7"/>
  <c r="M792" i="7"/>
  <c r="M791" i="7"/>
  <c r="M790" i="7"/>
  <c r="M789" i="7"/>
  <c r="M788" i="7"/>
  <c r="M787" i="7"/>
  <c r="M786" i="7"/>
  <c r="M785" i="7"/>
  <c r="M784" i="7"/>
  <c r="M783" i="7"/>
  <c r="M782" i="7"/>
  <c r="M781" i="7"/>
  <c r="M780" i="7"/>
  <c r="M779" i="7"/>
  <c r="M778" i="7"/>
  <c r="M777" i="7"/>
  <c r="M776" i="7"/>
  <c r="M775" i="7"/>
  <c r="H775" i="7"/>
  <c r="M774" i="7"/>
  <c r="M773" i="7"/>
  <c r="M772" i="7"/>
  <c r="M771" i="7"/>
  <c r="M770" i="7"/>
  <c r="M769" i="7"/>
  <c r="M768" i="7"/>
  <c r="M767" i="7"/>
  <c r="M766" i="7"/>
  <c r="M765" i="7"/>
  <c r="M764" i="7"/>
  <c r="M763" i="7"/>
  <c r="M762" i="7"/>
  <c r="M761" i="7"/>
  <c r="M760" i="7"/>
  <c r="M759" i="7"/>
  <c r="M758" i="7"/>
  <c r="M757" i="7"/>
  <c r="M756" i="7"/>
  <c r="M755" i="7"/>
  <c r="M754" i="7"/>
  <c r="M753" i="7"/>
  <c r="H753" i="7"/>
  <c r="M752" i="7"/>
  <c r="H752" i="7"/>
  <c r="M751" i="7"/>
  <c r="H751" i="7"/>
  <c r="M750" i="7"/>
  <c r="H750" i="7"/>
  <c r="M749" i="7"/>
  <c r="H749" i="7"/>
  <c r="M748" i="7"/>
  <c r="H748" i="7"/>
  <c r="H747" i="7"/>
  <c r="F747" i="7"/>
  <c r="M747" i="7" s="1"/>
  <c r="M746" i="7"/>
  <c r="H746" i="7"/>
  <c r="M745" i="7"/>
  <c r="H745" i="7"/>
  <c r="M744" i="7"/>
  <c r="H744" i="7"/>
  <c r="M743" i="7"/>
  <c r="H743" i="7"/>
  <c r="M742" i="7"/>
  <c r="M741" i="7"/>
  <c r="M740" i="7"/>
  <c r="M739" i="7"/>
  <c r="M738" i="7"/>
  <c r="M737" i="7"/>
  <c r="M736" i="7"/>
  <c r="M735" i="7"/>
  <c r="M734" i="7"/>
  <c r="M733" i="7"/>
  <c r="M732" i="7"/>
  <c r="M731" i="7"/>
  <c r="M730" i="7"/>
  <c r="M729" i="7"/>
  <c r="M728" i="7"/>
  <c r="M727" i="7"/>
  <c r="M726" i="7"/>
  <c r="M725" i="7"/>
  <c r="M724" i="7"/>
  <c r="M723" i="7"/>
  <c r="M722" i="7"/>
  <c r="M721" i="7"/>
  <c r="M720" i="7"/>
  <c r="M719" i="7"/>
  <c r="M718" i="7"/>
  <c r="M717" i="7"/>
  <c r="M716" i="7"/>
  <c r="M715" i="7"/>
  <c r="M714" i="7"/>
  <c r="M713" i="7"/>
  <c r="M712" i="7"/>
  <c r="M711" i="7"/>
  <c r="M710" i="7"/>
  <c r="M709" i="7"/>
  <c r="M708" i="7"/>
  <c r="M707" i="7"/>
  <c r="M706" i="7"/>
  <c r="M705" i="7"/>
  <c r="M704" i="7"/>
  <c r="M703" i="7"/>
  <c r="M702" i="7"/>
  <c r="M701" i="7"/>
  <c r="M700" i="7"/>
  <c r="M699" i="7"/>
  <c r="M698" i="7"/>
  <c r="M697" i="7"/>
  <c r="M696" i="7"/>
  <c r="M695" i="7"/>
  <c r="M694" i="7"/>
  <c r="M693" i="7"/>
  <c r="M692" i="7"/>
  <c r="M691" i="7"/>
  <c r="M690" i="7"/>
  <c r="M689" i="7"/>
  <c r="M688" i="7"/>
  <c r="M687" i="7"/>
  <c r="M686" i="7"/>
  <c r="M685" i="7"/>
  <c r="M684" i="7"/>
  <c r="M683" i="7"/>
  <c r="M682" i="7"/>
  <c r="M681" i="7"/>
  <c r="M680" i="7"/>
  <c r="M679" i="7"/>
  <c r="M678" i="7"/>
  <c r="M677" i="7"/>
  <c r="M676" i="7"/>
  <c r="M675" i="7"/>
  <c r="M674" i="7"/>
  <c r="M673" i="7"/>
  <c r="M672" i="7"/>
  <c r="M671" i="7"/>
  <c r="M670" i="7"/>
  <c r="M669" i="7"/>
  <c r="M668" i="7"/>
  <c r="M667" i="7"/>
  <c r="M666" i="7"/>
  <c r="M665" i="7"/>
  <c r="M664" i="7"/>
  <c r="M663" i="7"/>
  <c r="M662" i="7"/>
  <c r="M661" i="7"/>
  <c r="M660" i="7"/>
  <c r="M659" i="7"/>
  <c r="M656" i="7"/>
  <c r="M655" i="7"/>
  <c r="H655" i="7"/>
  <c r="M651" i="7"/>
  <c r="M650" i="7"/>
  <c r="H650" i="7"/>
  <c r="M649" i="7"/>
  <c r="M648" i="7"/>
  <c r="H648" i="7"/>
  <c r="M647" i="7"/>
  <c r="M646" i="7"/>
  <c r="H646" i="7"/>
  <c r="M645" i="7"/>
  <c r="H645" i="7"/>
  <c r="M644" i="7"/>
  <c r="M643" i="7"/>
  <c r="M642" i="7"/>
  <c r="M641" i="7"/>
  <c r="M640" i="7"/>
  <c r="M639" i="7"/>
  <c r="F639" i="7"/>
  <c r="M638" i="7"/>
  <c r="M637" i="7"/>
  <c r="H637" i="7"/>
  <c r="M636" i="7"/>
  <c r="M635" i="7"/>
  <c r="M634" i="7"/>
  <c r="M633" i="7"/>
  <c r="M632" i="7"/>
  <c r="M631" i="7"/>
  <c r="F630" i="7"/>
  <c r="M630" i="7" s="1"/>
  <c r="F629" i="7"/>
  <c r="M629" i="7" s="1"/>
  <c r="F628" i="7"/>
  <c r="M628" i="7" s="1"/>
  <c r="M627" i="7"/>
  <c r="F626" i="7"/>
  <c r="M626" i="7" s="1"/>
  <c r="F625" i="7"/>
  <c r="M625" i="7" s="1"/>
  <c r="M624" i="7"/>
  <c r="H624" i="7"/>
  <c r="M623" i="7"/>
  <c r="H623" i="7"/>
  <c r="M622" i="7"/>
  <c r="M621" i="7"/>
  <c r="M620" i="7"/>
  <c r="M619" i="7"/>
  <c r="M618" i="7"/>
  <c r="M617" i="7"/>
  <c r="M616" i="7"/>
  <c r="M615" i="7"/>
  <c r="M614" i="7"/>
  <c r="M613" i="7"/>
  <c r="M612" i="7"/>
  <c r="M611" i="7"/>
  <c r="M610" i="7"/>
  <c r="M609" i="7"/>
  <c r="M608" i="7"/>
  <c r="M607" i="7"/>
  <c r="M606" i="7"/>
  <c r="M605" i="7"/>
  <c r="M604" i="7"/>
  <c r="M603" i="7"/>
  <c r="M602" i="7"/>
  <c r="M601" i="7"/>
  <c r="M600" i="7"/>
  <c r="M599" i="7"/>
  <c r="M598" i="7"/>
  <c r="M597" i="7"/>
  <c r="M596" i="7"/>
  <c r="M595" i="7"/>
  <c r="M594" i="7"/>
  <c r="M593" i="7"/>
  <c r="M592" i="7"/>
  <c r="M591" i="7"/>
  <c r="M590" i="7"/>
  <c r="M589" i="7"/>
  <c r="M588" i="7"/>
  <c r="M587" i="7"/>
  <c r="F586" i="7"/>
  <c r="M586" i="7" s="1"/>
  <c r="M585" i="7"/>
  <c r="M584" i="7"/>
  <c r="M583" i="7"/>
  <c r="M582" i="7"/>
  <c r="M581" i="7"/>
  <c r="M580" i="7"/>
  <c r="M579" i="7"/>
  <c r="M578" i="7"/>
  <c r="M577" i="7"/>
  <c r="M576" i="7"/>
  <c r="M575" i="7"/>
  <c r="M574" i="7"/>
  <c r="M573" i="7"/>
  <c r="M572" i="7"/>
  <c r="M571" i="7"/>
  <c r="M570" i="7"/>
  <c r="M569" i="7"/>
  <c r="M568" i="7"/>
  <c r="M567" i="7"/>
  <c r="M566" i="7"/>
  <c r="M565" i="7"/>
  <c r="M564" i="7"/>
  <c r="M563" i="7"/>
  <c r="M562" i="7"/>
  <c r="M561" i="7"/>
  <c r="M560" i="7"/>
  <c r="M559" i="7"/>
  <c r="M558" i="7"/>
  <c r="H558" i="7"/>
  <c r="M557" i="7"/>
  <c r="H557" i="7"/>
  <c r="M556" i="7"/>
  <c r="M555" i="7"/>
  <c r="M554" i="7"/>
  <c r="H554" i="7"/>
  <c r="M553" i="7"/>
  <c r="H553" i="7"/>
  <c r="M552" i="7"/>
  <c r="M551" i="7"/>
  <c r="M550" i="7"/>
  <c r="M549" i="7"/>
  <c r="M548" i="7"/>
  <c r="M547" i="7"/>
  <c r="M546" i="7"/>
  <c r="M545" i="7"/>
  <c r="M544" i="7"/>
  <c r="M543" i="7"/>
  <c r="M542" i="7"/>
  <c r="M541" i="7"/>
  <c r="M540" i="7"/>
  <c r="M539" i="7"/>
  <c r="M538" i="7"/>
  <c r="M537" i="7"/>
  <c r="M536" i="7"/>
  <c r="M535" i="7"/>
  <c r="M534" i="7"/>
  <c r="M533" i="7"/>
  <c r="M532" i="7"/>
  <c r="H532" i="7"/>
  <c r="M531" i="7"/>
  <c r="H531" i="7"/>
  <c r="M530" i="7"/>
  <c r="H530" i="7"/>
  <c r="M529" i="7"/>
  <c r="H529" i="7"/>
  <c r="M528" i="7"/>
  <c r="H528" i="7"/>
  <c r="M527" i="7"/>
  <c r="H527" i="7"/>
  <c r="M526" i="7"/>
  <c r="H526" i="7"/>
  <c r="M525" i="7"/>
  <c r="M524" i="7"/>
  <c r="M523" i="7"/>
  <c r="M522" i="7"/>
  <c r="M521" i="7"/>
  <c r="M520" i="7"/>
  <c r="M519" i="7"/>
  <c r="M518" i="7"/>
  <c r="M517" i="7"/>
  <c r="H517" i="7"/>
  <c r="M516" i="7"/>
  <c r="M515" i="7"/>
  <c r="M514" i="7"/>
  <c r="M513" i="7"/>
  <c r="M512" i="7"/>
  <c r="M511" i="7"/>
  <c r="M510" i="7"/>
  <c r="M509" i="7"/>
  <c r="M508" i="7"/>
  <c r="M507" i="7"/>
  <c r="M506" i="7"/>
  <c r="M505" i="7"/>
  <c r="M504" i="7"/>
  <c r="M503" i="7"/>
  <c r="M502" i="7"/>
  <c r="M501" i="7"/>
  <c r="M500" i="7"/>
  <c r="M499" i="7"/>
  <c r="M498" i="7"/>
  <c r="M497" i="7"/>
  <c r="M496" i="7"/>
  <c r="M495" i="7"/>
  <c r="M494" i="7"/>
  <c r="M493" i="7"/>
  <c r="M492" i="7"/>
  <c r="H492" i="7"/>
  <c r="M491" i="7"/>
  <c r="M490" i="7"/>
  <c r="M489" i="7"/>
  <c r="M488" i="7"/>
  <c r="M487" i="7"/>
  <c r="M486" i="7"/>
  <c r="H486" i="7"/>
  <c r="M485" i="7"/>
  <c r="M484" i="7"/>
  <c r="M483" i="7"/>
  <c r="M482" i="7"/>
  <c r="M481" i="7"/>
  <c r="M480" i="7"/>
  <c r="M479" i="7"/>
  <c r="M478" i="7"/>
  <c r="M477" i="7"/>
  <c r="H477" i="7"/>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H439" i="7"/>
  <c r="M438" i="7"/>
  <c r="H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H394" i="7"/>
  <c r="M393" i="7"/>
  <c r="H393" i="7"/>
  <c r="M392" i="7"/>
  <c r="M391" i="7"/>
  <c r="H391" i="7"/>
  <c r="M390" i="7"/>
  <c r="F389" i="7"/>
  <c r="M389" i="7" s="1"/>
  <c r="F388" i="7"/>
  <c r="M388" i="7" s="1"/>
  <c r="F387" i="7"/>
  <c r="M387" i="7" s="1"/>
  <c r="M386" i="7"/>
  <c r="H386" i="7"/>
  <c r="M385" i="7"/>
  <c r="H385" i="7"/>
  <c r="M384" i="7"/>
  <c r="H384" i="7"/>
  <c r="M383" i="7"/>
  <c r="H383" i="7"/>
  <c r="M382" i="7"/>
  <c r="H382" i="7"/>
  <c r="M381" i="7"/>
  <c r="F380" i="7"/>
  <c r="M380" i="7" s="1"/>
  <c r="M379" i="7"/>
  <c r="H379" i="7"/>
  <c r="M378" i="7"/>
  <c r="H378" i="7"/>
  <c r="M377" i="7"/>
  <c r="H377" i="7"/>
  <c r="M376" i="7"/>
  <c r="M375" i="7"/>
  <c r="H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H334" i="7"/>
  <c r="M333" i="7"/>
  <c r="M332" i="7"/>
  <c r="H332" i="7"/>
  <c r="M331" i="7"/>
  <c r="M330" i="7"/>
  <c r="M329" i="7"/>
  <c r="H329" i="7"/>
  <c r="M328" i="7"/>
  <c r="M327" i="7"/>
  <c r="M326" i="7"/>
  <c r="M325" i="7"/>
  <c r="M324" i="7"/>
  <c r="M323" i="7"/>
  <c r="H323" i="7"/>
  <c r="M322" i="7"/>
  <c r="H322" i="7"/>
  <c r="M321" i="7"/>
  <c r="M320" i="7"/>
  <c r="M319" i="7"/>
  <c r="M318" i="7"/>
  <c r="M317" i="7"/>
  <c r="M316" i="7"/>
  <c r="M315" i="7"/>
  <c r="M314" i="7"/>
  <c r="M313" i="7"/>
  <c r="M312" i="7"/>
  <c r="M311" i="7"/>
  <c r="M310" i="7"/>
  <c r="M309" i="7"/>
  <c r="M308" i="7"/>
  <c r="M307" i="7"/>
  <c r="M306" i="7"/>
  <c r="M305" i="7"/>
  <c r="M304" i="7"/>
  <c r="M303" i="7"/>
  <c r="M302" i="7"/>
  <c r="M301" i="7"/>
  <c r="M300" i="7"/>
  <c r="M299" i="7"/>
  <c r="M298" i="7"/>
  <c r="F297" i="7"/>
  <c r="M297" i="7" s="1"/>
  <c r="M296" i="7"/>
  <c r="F295" i="7"/>
  <c r="M295" i="7" s="1"/>
  <c r="M294" i="7"/>
  <c r="F294" i="7"/>
  <c r="M293" i="7"/>
  <c r="M292" i="7"/>
  <c r="M291" i="7"/>
  <c r="M290" i="7"/>
  <c r="M289" i="7"/>
  <c r="M288" i="7"/>
  <c r="M287" i="7"/>
  <c r="M286" i="7"/>
  <c r="M285" i="7"/>
  <c r="M284" i="7"/>
  <c r="M283" i="7"/>
  <c r="M282" i="7"/>
  <c r="M281" i="7"/>
  <c r="M280" i="7"/>
  <c r="H280" i="7"/>
  <c r="M279" i="7"/>
  <c r="H279" i="7"/>
  <c r="M278" i="7"/>
  <c r="M277" i="7"/>
  <c r="M276" i="7"/>
  <c r="H276" i="7"/>
  <c r="F275" i="7"/>
  <c r="M275" i="7" s="1"/>
  <c r="F274" i="7"/>
  <c r="M274" i="7" s="1"/>
  <c r="M273" i="7"/>
  <c r="M272" i="7"/>
  <c r="H272" i="7"/>
  <c r="M271" i="7"/>
  <c r="H270" i="7"/>
  <c r="F270" i="7"/>
  <c r="M270" i="7" s="1"/>
  <c r="M269" i="7"/>
  <c r="M268" i="7"/>
  <c r="M267" i="7"/>
  <c r="M266" i="7"/>
  <c r="M265" i="7"/>
  <c r="H265" i="7"/>
  <c r="M264" i="7"/>
  <c r="M263" i="7"/>
  <c r="H263" i="7"/>
  <c r="M262" i="7"/>
  <c r="M261" i="7"/>
  <c r="H261" i="7"/>
  <c r="M260" i="7"/>
  <c r="H260" i="7"/>
  <c r="M259" i="7"/>
  <c r="M258" i="7"/>
  <c r="H258" i="7"/>
  <c r="M257" i="7"/>
  <c r="M256" i="7"/>
  <c r="M255" i="7"/>
  <c r="M253" i="7"/>
  <c r="M252" i="7"/>
  <c r="M251" i="7"/>
  <c r="M250" i="7"/>
  <c r="M249" i="7"/>
  <c r="M248" i="7"/>
  <c r="M247" i="7"/>
  <c r="M246" i="7"/>
  <c r="M245" i="7"/>
  <c r="M244" i="7"/>
  <c r="M243"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F209" i="7"/>
  <c r="M209" i="7" s="1"/>
  <c r="F208" i="7"/>
  <c r="M208" i="7" s="1"/>
  <c r="M207" i="7"/>
  <c r="M206" i="7"/>
  <c r="M205" i="7"/>
  <c r="M204" i="7"/>
  <c r="M203" i="7"/>
  <c r="M202" i="7"/>
  <c r="M201" i="7"/>
  <c r="M200" i="7"/>
  <c r="M199" i="7"/>
  <c r="M198" i="7"/>
  <c r="M197" i="7"/>
  <c r="M196" i="7"/>
  <c r="M195" i="7"/>
  <c r="M194" i="7"/>
  <c r="M193" i="7"/>
  <c r="M192" i="7"/>
  <c r="M191" i="7"/>
  <c r="M190" i="7"/>
  <c r="F188" i="7"/>
  <c r="M188" i="7" s="1"/>
  <c r="M187" i="7"/>
  <c r="M186" i="7"/>
  <c r="F186" i="7"/>
  <c r="M184" i="7"/>
  <c r="M183" i="7"/>
  <c r="M182" i="7"/>
  <c r="M181" i="7"/>
  <c r="M180" i="7"/>
  <c r="M179" i="7"/>
  <c r="M178" i="7"/>
  <c r="F178" i="7"/>
  <c r="M177" i="7"/>
  <c r="M176" i="7"/>
  <c r="M175" i="7"/>
  <c r="M174" i="7"/>
  <c r="M173" i="7"/>
  <c r="M172" i="7"/>
  <c r="M171" i="7"/>
  <c r="M170" i="7"/>
  <c r="M169" i="7"/>
  <c r="M168" i="7"/>
  <c r="M167" i="7"/>
  <c r="M166" i="7"/>
  <c r="M165" i="7"/>
  <c r="M164" i="7"/>
  <c r="M163" i="7"/>
  <c r="M162" i="7"/>
  <c r="M161" i="7"/>
  <c r="M160" i="7"/>
  <c r="M159" i="7"/>
  <c r="M158" i="7"/>
  <c r="H158" i="7"/>
  <c r="F157" i="7"/>
  <c r="M157" i="7" s="1"/>
  <c r="M156" i="7"/>
  <c r="F155" i="7"/>
  <c r="M155" i="7" s="1"/>
  <c r="M154" i="7"/>
  <c r="F153" i="7"/>
  <c r="M153" i="7" s="1"/>
  <c r="F152" i="7"/>
  <c r="M152" i="7" s="1"/>
  <c r="F151" i="7"/>
  <c r="M151" i="7" s="1"/>
  <c r="M150" i="7"/>
  <c r="M149" i="7"/>
  <c r="M148" i="7"/>
  <c r="M147" i="7"/>
  <c r="H147" i="7"/>
  <c r="F146" i="7"/>
  <c r="F145" i="7"/>
  <c r="M145" i="7" s="1"/>
  <c r="M144" i="7"/>
  <c r="M143" i="7"/>
  <c r="F142" i="7"/>
  <c r="H141" i="7"/>
  <c r="M140" i="7"/>
  <c r="H140" i="7"/>
  <c r="M139" i="7"/>
  <c r="H139" i="7"/>
  <c r="M138" i="7"/>
  <c r="M137" i="7"/>
  <c r="M135" i="7"/>
  <c r="M134" i="7"/>
  <c r="M133" i="7"/>
  <c r="M132" i="7"/>
  <c r="M131" i="7"/>
  <c r="M130" i="7"/>
  <c r="M129" i="7"/>
  <c r="M128" i="7"/>
  <c r="M127" i="7"/>
  <c r="M126" i="7"/>
  <c r="M125" i="7"/>
  <c r="M123" i="7"/>
  <c r="M122" i="7"/>
  <c r="M121" i="7"/>
  <c r="F120" i="7"/>
  <c r="M120" i="7" s="1"/>
  <c r="F119" i="7"/>
  <c r="M119" i="7" s="1"/>
  <c r="M118" i="7"/>
  <c r="M117" i="7"/>
  <c r="M116" i="7"/>
  <c r="M115" i="7"/>
  <c r="M114" i="7"/>
  <c r="F113" i="7"/>
  <c r="M113" i="7" s="1"/>
  <c r="M112" i="7"/>
  <c r="M111" i="7"/>
  <c r="M110" i="7"/>
  <c r="M109" i="7"/>
  <c r="F108" i="7"/>
  <c r="M108" i="7" s="1"/>
  <c r="M106" i="7"/>
  <c r="M105" i="7"/>
  <c r="M103" i="7"/>
  <c r="M102" i="7"/>
  <c r="M101" i="7"/>
  <c r="M100" i="7"/>
  <c r="M99" i="7"/>
  <c r="M98" i="7"/>
  <c r="F98" i="7"/>
  <c r="F97" i="7"/>
  <c r="M97" i="7" s="1"/>
  <c r="F96" i="7"/>
  <c r="M96" i="7" s="1"/>
  <c r="M95" i="7"/>
  <c r="M94" i="7"/>
  <c r="M93" i="7"/>
  <c r="F93" i="7"/>
  <c r="M92" i="7"/>
  <c r="H92" i="7"/>
  <c r="F92" i="7"/>
  <c r="J91" i="7"/>
  <c r="F91" i="7"/>
  <c r="M91" i="7" s="1"/>
  <c r="M90" i="7"/>
  <c r="M89" i="7"/>
  <c r="F88" i="7"/>
  <c r="M88" i="7" s="1"/>
  <c r="F87" i="7"/>
  <c r="M87" i="7" s="1"/>
  <c r="F86" i="7"/>
  <c r="M86" i="7" s="1"/>
  <c r="F84" i="7"/>
  <c r="M84" i="7" s="1"/>
  <c r="F83" i="7"/>
  <c r="M83" i="7" s="1"/>
  <c r="E83" i="7"/>
  <c r="I82" i="7"/>
  <c r="F82" i="7"/>
  <c r="M82" i="7" s="1"/>
  <c r="M81" i="7"/>
  <c r="I81" i="7"/>
  <c r="F81" i="7"/>
  <c r="M80" i="7"/>
  <c r="I80" i="7"/>
  <c r="H80" i="7"/>
  <c r="M79" i="7"/>
  <c r="I79" i="7"/>
  <c r="H79" i="7"/>
  <c r="I78" i="7"/>
  <c r="F78" i="7"/>
  <c r="M78" i="7" s="1"/>
  <c r="I77" i="7"/>
  <c r="F77" i="7"/>
  <c r="M77" i="7" s="1"/>
  <c r="M76" i="7"/>
  <c r="H76" i="7"/>
  <c r="F76" i="7"/>
  <c r="M75" i="7"/>
  <c r="M74" i="7"/>
  <c r="H74" i="7"/>
  <c r="H73" i="7"/>
  <c r="H72" i="7"/>
  <c r="M71" i="7"/>
  <c r="M70" i="7"/>
  <c r="M69" i="7"/>
  <c r="M67" i="7"/>
  <c r="M66" i="7"/>
  <c r="M65" i="7"/>
  <c r="F64" i="7"/>
  <c r="F63" i="7"/>
  <c r="M63" i="7" s="1"/>
  <c r="F62" i="7"/>
  <c r="M62" i="7" s="1"/>
  <c r="F61" i="7"/>
  <c r="M61" i="7" s="1"/>
  <c r="F60" i="7"/>
  <c r="M60" i="7" s="1"/>
  <c r="H59" i="7"/>
  <c r="F59" i="7"/>
  <c r="M59" i="7" s="1"/>
  <c r="H58" i="7"/>
  <c r="F58" i="7"/>
  <c r="M58" i="7" s="1"/>
  <c r="E58" i="7"/>
  <c r="H57" i="7"/>
  <c r="F57" i="7"/>
  <c r="M57" i="7" s="1"/>
  <c r="I56" i="7"/>
  <c r="H56" i="7"/>
  <c r="I55" i="7"/>
  <c r="H55" i="7"/>
  <c r="M54" i="7"/>
  <c r="H54" i="7"/>
  <c r="H53" i="7"/>
  <c r="F53" i="7"/>
  <c r="M52" i="7"/>
  <c r="F52" i="7"/>
  <c r="F51" i="7"/>
  <c r="M51" i="7" s="1"/>
  <c r="F50" i="7"/>
  <c r="M50" i="7" s="1"/>
  <c r="F49" i="7"/>
  <c r="M49" i="7" s="1"/>
  <c r="F48" i="7"/>
  <c r="M48" i="7" s="1"/>
  <c r="F47" i="7"/>
  <c r="M47" i="7" s="1"/>
  <c r="M46" i="7"/>
  <c r="H46" i="7"/>
  <c r="H45" i="7"/>
  <c r="F45" i="7"/>
  <c r="M45" i="7" s="1"/>
  <c r="E45" i="7"/>
  <c r="M44" i="7"/>
  <c r="H44" i="7"/>
  <c r="M43" i="7"/>
  <c r="H43" i="7"/>
  <c r="H42" i="7"/>
  <c r="F42" i="7"/>
  <c r="M42" i="7" s="1"/>
  <c r="E42" i="7"/>
  <c r="H41" i="7"/>
  <c r="F41" i="7"/>
  <c r="M41" i="7" s="1"/>
  <c r="H40" i="7"/>
  <c r="F40" i="7"/>
  <c r="M40" i="7" s="1"/>
  <c r="M39" i="7"/>
  <c r="H39" i="7"/>
  <c r="F39" i="7"/>
  <c r="F38" i="7"/>
  <c r="M38" i="7" s="1"/>
  <c r="F37" i="7"/>
  <c r="M37" i="7" s="1"/>
  <c r="I36" i="7"/>
  <c r="F36" i="7"/>
  <c r="I35" i="7"/>
  <c r="F35" i="7"/>
  <c r="F34" i="7"/>
  <c r="M34" i="7" s="1"/>
  <c r="F33" i="7"/>
  <c r="F32" i="7"/>
  <c r="M32" i="7" s="1"/>
  <c r="J31" i="7"/>
  <c r="F31" i="7"/>
  <c r="J30" i="7"/>
  <c r="F30" i="7"/>
  <c r="F29" i="7"/>
  <c r="J28" i="7"/>
  <c r="F28" i="7"/>
  <c r="M28" i="7" s="1"/>
  <c r="M27" i="7"/>
  <c r="M26" i="7"/>
  <c r="M24" i="7"/>
  <c r="M23" i="7"/>
  <c r="M22" i="7"/>
  <c r="M21" i="7"/>
  <c r="M20" i="7"/>
  <c r="M19" i="7"/>
  <c r="M18" i="7"/>
  <c r="M17" i="7"/>
  <c r="M16" i="7"/>
  <c r="H16" i="7"/>
  <c r="M15" i="7"/>
  <c r="F14" i="7"/>
  <c r="M14" i="7" s="1"/>
  <c r="M13" i="7"/>
  <c r="H13" i="7"/>
  <c r="M12" i="7"/>
  <c r="M11" i="7"/>
  <c r="H11" i="7"/>
  <c r="M10" i="7"/>
  <c r="H10" i="7"/>
  <c r="M9" i="7"/>
  <c r="H9" i="7"/>
  <c r="M8" i="7"/>
  <c r="H8" i="7"/>
  <c r="M7" i="7"/>
  <c r="H7" i="7"/>
  <c r="H6" i="7"/>
  <c r="F6" i="7"/>
  <c r="M5" i="7"/>
  <c r="H5" i="7"/>
  <c r="M4" i="7"/>
  <c r="I4" i="7"/>
  <c r="H4" i="7"/>
  <c r="M3" i="7"/>
  <c r="M2" i="7"/>
</calcChain>
</file>

<file path=xl/sharedStrings.xml><?xml version="1.0" encoding="utf-8"?>
<sst xmlns="http://schemas.openxmlformats.org/spreadsheetml/2006/main" count="11151" uniqueCount="3884">
  <si>
    <t>The Violence Project Mass Shooter Database</t>
  </si>
  <si>
    <t>Version 5.0 (Updated May 2022)</t>
  </si>
  <si>
    <r>
      <rPr>
        <b/>
        <i/>
        <sz val="12"/>
        <color rgb="FF000000"/>
        <rFont val="Arial"/>
        <family val="2"/>
      </rPr>
      <t>Principal Investigators:</t>
    </r>
    <r>
      <rPr>
        <b/>
        <sz val="12"/>
        <color rgb="FF000000"/>
        <rFont val="Arial"/>
        <family val="2"/>
      </rPr>
      <t xml:space="preserve"> Jillian Peterson, PhD and James Densley, PhD</t>
    </r>
  </si>
  <si>
    <t>Worksheet</t>
  </si>
  <si>
    <t>Title</t>
  </si>
  <si>
    <t>Description</t>
  </si>
  <si>
    <t>Worksheet 1</t>
  </si>
  <si>
    <t>Table of Contents</t>
  </si>
  <si>
    <t>Worksheet 2</t>
  </si>
  <si>
    <r>
      <rPr>
        <sz val="12"/>
        <color rgb="FF000000"/>
        <rFont val="Arial"/>
        <family val="2"/>
      </rPr>
      <t xml:space="preserve">Frequently Asked Questions - </t>
    </r>
    <r>
      <rPr>
        <b/>
        <sz val="12"/>
        <color rgb="FFFF0000"/>
        <rFont val="Arial"/>
        <family val="2"/>
      </rPr>
      <t>READ THIS FIRST</t>
    </r>
  </si>
  <si>
    <t>Terms of usage, definition of mass shootings, description of data sources and methods</t>
  </si>
  <si>
    <t>Worksheet 3</t>
  </si>
  <si>
    <t>New in Each Version</t>
  </si>
  <si>
    <t>List of updates to the database from Version 1 (November 2019) to Version 5 (May 2022)</t>
  </si>
  <si>
    <t>Worksheet 4</t>
  </si>
  <si>
    <t>Codebook</t>
  </si>
  <si>
    <t>Variable codes and definitions</t>
  </si>
  <si>
    <t>Worksheet 5</t>
  </si>
  <si>
    <t>Full Database</t>
  </si>
  <si>
    <t>179 mass shooters from 1966 to 2022 coded on over 100 variables</t>
  </si>
  <si>
    <t>Worksheet 6</t>
  </si>
  <si>
    <t>Firearms Data</t>
  </si>
  <si>
    <t>Information on all firearms used in mass shootings in the database since 1966</t>
  </si>
  <si>
    <t>Worksheet 7</t>
  </si>
  <si>
    <t>Victims Data</t>
  </si>
  <si>
    <t>Information on all victims killed in mass shootings in the database since 1966</t>
  </si>
  <si>
    <t>Worksheet 8</t>
  </si>
  <si>
    <t>Community Data</t>
  </si>
  <si>
    <t>Community-level data for 115 mass shootings post 1995</t>
  </si>
  <si>
    <t>Worksheet 9</t>
  </si>
  <si>
    <t>Trend Data</t>
  </si>
  <si>
    <t>Analysis of the frequency and deadliness of mass shootings over time and per capita</t>
  </si>
  <si>
    <t>FAQs about The Violence Project Mass Shooter Database</t>
  </si>
  <si>
    <t>Version 5.0. Updated May 2022</t>
  </si>
  <si>
    <t>Who can use this database?</t>
  </si>
  <si>
    <t>Everyone. Students, scholars, data analysts, journalists, first responders, practitioners, and policymakers should find value in this work. However, the database must only be used for the purpose of better understanding mass shooters and preventing mass shootings. By downloading this document, all users (individual and organizational) agree not to:</t>
  </si>
  <si>
    <t>·  publicly post or display the database, the codebook, or related materials;</t>
  </si>
  <si>
    <t>·  sell, license, sub-license or otherwise distribute the database, codebook, or related materials;</t>
  </si>
  <si>
    <t>·  use the data, the codebook, or related materials for commercial purposes without a separate commercial use license (available for purchase)</t>
  </si>
  <si>
    <t>All information must be acknowledged and cited appropriately, including any modifications users make to the database for published analyses.</t>
  </si>
  <si>
    <t>We require all users to supply a name and email address in order to access the full database. Doing so, they agree to the terms of the license. Please contact us if you become aware of any users breaching the terms of use.</t>
  </si>
  <si>
    <t>How do we cite this work?</t>
  </si>
  <si>
    <r>
      <rPr>
        <sz val="12"/>
        <color rgb="FF000000"/>
        <rFont val="Arial"/>
        <family val="2"/>
      </rPr>
      <t xml:space="preserve">The Violence Project Database is the largest, most comprehensive source of information on the psychosocial histories of mass public shooters. Responsibility for the contents of the database lies solely with the Principal Investigators, professors </t>
    </r>
    <r>
      <rPr>
        <b/>
        <sz val="12"/>
        <color rgb="FF000000"/>
        <rFont val="Arial"/>
        <family val="2"/>
      </rPr>
      <t>Jillian Peterson</t>
    </r>
    <r>
      <rPr>
        <sz val="12"/>
        <color rgb="FF000000"/>
        <rFont val="Arial"/>
        <family val="2"/>
      </rPr>
      <t xml:space="preserve"> (Hamline University) and </t>
    </r>
    <r>
      <rPr>
        <b/>
        <sz val="12"/>
        <color rgb="FF000000"/>
        <rFont val="Arial"/>
        <family val="2"/>
      </rPr>
      <t>James Densley</t>
    </r>
    <r>
      <rPr>
        <sz val="12"/>
        <color rgb="FF000000"/>
        <rFont val="Arial"/>
        <family val="2"/>
      </rPr>
      <t xml:space="preserve"> (Metro State University).</t>
    </r>
  </si>
  <si>
    <r>
      <rPr>
        <sz val="12"/>
        <color rgb="FF000000"/>
        <rFont val="Arial"/>
        <family val="2"/>
      </rPr>
      <t xml:space="preserve">If you use this database and/or publish with it, please credit </t>
    </r>
    <r>
      <rPr>
        <b/>
        <sz val="12"/>
        <color rgb="FF000000"/>
        <rFont val="Arial"/>
        <family val="2"/>
      </rPr>
      <t>Jillian Peterson</t>
    </r>
    <r>
      <rPr>
        <sz val="12"/>
        <color rgb="FF000000"/>
        <rFont val="Arial"/>
        <family val="2"/>
      </rPr>
      <t xml:space="preserve"> and </t>
    </r>
    <r>
      <rPr>
        <b/>
        <sz val="12"/>
        <color rgb="FF000000"/>
        <rFont val="Arial"/>
        <family val="2"/>
      </rPr>
      <t>James Densley</t>
    </r>
    <r>
      <rPr>
        <sz val="12"/>
        <color rgb="FF000000"/>
        <rFont val="Arial"/>
        <family val="2"/>
      </rPr>
      <t xml:space="preserve"> and/or cite </t>
    </r>
    <r>
      <rPr>
        <b/>
        <sz val="12"/>
        <color rgb="FF000000"/>
        <rFont val="Arial"/>
        <family val="2"/>
      </rPr>
      <t>The Violence Project</t>
    </r>
    <r>
      <rPr>
        <sz val="12"/>
        <color rgb="FF000000"/>
        <rFont val="Arial"/>
        <family val="2"/>
      </rPr>
      <t>.</t>
    </r>
  </si>
  <si>
    <r>
      <rPr>
        <sz val="12"/>
        <color theme="1"/>
        <rFont val="Arial"/>
        <family val="2"/>
      </rPr>
      <t xml:space="preserve">For media and electronic publications, please hyperlink back to our website: </t>
    </r>
    <r>
      <rPr>
        <b/>
        <sz val="12"/>
        <color rgb="FF000000"/>
        <rFont val="Arial"/>
        <family val="2"/>
      </rPr>
      <t>https://www.theviolenceproject.org</t>
    </r>
    <r>
      <rPr>
        <b/>
        <sz val="12"/>
        <color theme="1"/>
        <rFont val="Arial"/>
        <family val="2"/>
      </rPr>
      <t>.</t>
    </r>
  </si>
  <si>
    <t>For scholarly publications, suggested APA citation:</t>
  </si>
  <si>
    <t>Peterson, J., &amp; Densley, J. (2022). The Violence Project database of mass shootings in the United States (Version 5). https://www.theviolenceproject.org</t>
  </si>
  <si>
    <t>How was the database funded?</t>
  </si>
  <si>
    <t>This project was supported by Award No. 2018-75-CX-0023, awarded by the National Institute of Justice, Office of Justice Programs, U.S. Department of Justice. The opinions, findings, and conclusions or recommendations expressed in this publication are those of the author(s) and do not necessarily reflect those of the Department of Justice.</t>
  </si>
  <si>
    <t>How do we define a "mass shooting"?</t>
  </si>
  <si>
    <r>
      <rPr>
        <sz val="12"/>
        <color theme="1"/>
        <rFont val="Arial"/>
        <family val="2"/>
      </rPr>
      <t xml:space="preserve">Some sources define mass shootings as incidents in which three or more victims were shot and killed, not including the perpetrator, while others use a threshold of four or more killed. Some sources define a mass shooting as any incident in which four or more people were shot or injured. Some sources include domestic violence, gang conflict, drug trade disputes, or robberies in their numbers, whereas others focus on more indiscriminate mass public shootings. We follow the </t>
    </r>
    <r>
      <rPr>
        <b/>
        <sz val="12"/>
        <color theme="1"/>
        <rFont val="Arial"/>
        <family val="2"/>
      </rPr>
      <t>Congressional Research Service</t>
    </r>
    <r>
      <rPr>
        <sz val="12"/>
        <color theme="1"/>
        <rFont val="Arial"/>
        <family val="2"/>
      </rPr>
      <t xml:space="preserve"> definition of a mass public shooting, as follows:</t>
    </r>
  </si>
  <si>
    <t>“…a multiple homicide incident in which four or more victims are murdered with firearms—not including the offender(s)—within one event, and at least some of the murders occurred in a public location or locations in close geographical proximity (e.g., a workplace, school, restaurant, or other public settings), and the murders are not attributable to any other underlying criminal activity or commonplace circumstance (armed robbery, criminal competition, insurance fraud, argument, or romantic triangle).”</t>
  </si>
  <si>
    <t>We acknowledge the limits of this definition. Every shooting is a tragedy and many factors influence whether a threshold of four or more people killed in public is reached. However, this database was built specifically to understand the psychosocial histories of mass public shooters (the who, what, where, when, why, and how) in depth in an effort to inform prevention and intervention efforts for this exact crime. We start with the 1966 University of Texas tower shooting not because this was the first mass public shooting, but because it was the first modern mass public shooting—it unfolded live on radio and television and mass shootings since have received sufficient news coverage to be able to reconstruct and study them.</t>
  </si>
  <si>
    <t>What data sources and methods did we use?</t>
  </si>
  <si>
    <t>This project followed a research methodology that has proven effective in terrorism studies, which also are rare events that can result in mass casualties. The database was constructed using public records and open-source data. Where available and applicable, we drew on first person accounts, such as the perpetrators’ diaries, “manifestos,” suicide notes, social media and blog posts, audio and video recordings, interview transcripts, and personal correspondence. We also used secondary sources such as existing mass shooter databases, media coverage, documentary films and podcasts, biographies, monographs and academic journal articles, court transcripts, federal, state, and local law enforcement records, medical records, school records, and autopsy reports. Anything that could be requested or found on the internet was included. The community database only goes back to 1995 and draws on U.S. Census data for the closest census year, FBI Uniform Crime Reports, Google Maps, and other macro-level data sources.</t>
  </si>
  <si>
    <t>Any coding is a subjective and interpretive process. Informed by existing datasets, the research literature, and frequently asked questions about mass shooters, the Principal Investigators generated a list of variables to be coded and created a codebook to define and detail how to code them. The codebook was then piloted on a small random sample of test cases and refined based on user-experience.</t>
  </si>
  <si>
    <t>Once the codebook was finalized and coders were trained in its use, the database was populated as follows:</t>
  </si>
  <si>
    <t>1.  Each mass shooter meeting the inclusion criteria (see definition above) was investigated twice by two separate coders, working independently from each other.</t>
  </si>
  <si>
    <t>2.  The two resulting datasets were then merged and compared.</t>
  </si>
  <si>
    <t>3.  Any discrepancies were flagged and reconciled by consensus of the Principal Investigators, who did their own fact-checking and weighed the quality and quantity of the evidence, typically giving precedence to primary source material.</t>
  </si>
  <si>
    <t>4.  The database was then divided up among the original coders and independently checked again.</t>
  </si>
  <si>
    <t>5.  Finally, the Database Manager conducted a full and final check, scrutinizing each and every cell.</t>
  </si>
  <si>
    <t>6.  The Principal Investigators answered any queries resulting from the final check before approving publication.</t>
  </si>
  <si>
    <t>We have taken every step possible to find and verify sources and to rigorously fact-check the data, but the end result is not perfect. Data privacy laws (rightly) limit full access to official records. The source data were originally gathered for purposes different from our own. Media outlets have their own agendas and biases. Some cases are well reported on, others not so much, resulting in missing data. We also know more about recent cases and cases that go to trial (because the shooter survived). For these reasons, users should interpret trends over time with caution.</t>
  </si>
  <si>
    <t>Likewise, there is a low base rate of mass shooters and mass shootings are extreme and rare events—discrete occurrences of infrequently observed phenomena. For this reason, we caution against using the data for predictive modeling and/or cherry-picking one variable at a time to tell a particular story. This is purposive sample and we present no comparison group. Comparisons are important. For example, 98% of mass shooters are men, but then 90% of all homicide offenders are men. The majority of mass shooters are white, but the racial composition of the sample is comparable to the demographics of the U.S. population overall. Many of the factors correlated with mass shootings in the database are true of millions of people who never commit mass shootings.</t>
  </si>
  <si>
    <t>Will we update the database?</t>
  </si>
  <si>
    <t>Yes. New variables are added and the data are updated if new information becomes available. If you spot a mistake, please tell us so we can correct it. The data are current up to May 2022.</t>
  </si>
  <si>
    <t>Want to learn more?</t>
  </si>
  <si>
    <t>Read our book, winner of the 2022 Minnesota Book Award for General Nonfiction:</t>
  </si>
  <si>
    <t>Peterson, J., &amp; Densley, J. (2021). The Violence Project: how to stop a mass shooting epidemic. Abrams Press.</t>
  </si>
  <si>
    <t>Version 5.0 was released in May 2022 and includes the following updates:</t>
  </si>
  <si>
    <t>The entire codebook was updated with clearer and more detailed variable definitions;</t>
  </si>
  <si>
    <t>Every case and code was revisited and changes were made based on new information available;</t>
  </si>
  <si>
    <t>Variables previously coded as “no” or “missing” were updated to “no evidence” which is a more accurate description for data drawn from public records and also eliminated the need for the old "Missing Data" tab;</t>
  </si>
  <si>
    <t>Multiple columns for a single variable were collapsed into a single column containing multiple codes (i.e. domestic abuse, leakage, prejudice);</t>
  </si>
  <si>
    <t>Hyperlinks for source materials were removed for ease of use are now available by request. </t>
  </si>
  <si>
    <t>New Variables and Changes to Existing Variables:</t>
  </si>
  <si>
    <t>A column was added to the “Victims” tab indicating the relationship between the victim and the shooter. Two new columns for “family member victim” and “romantic partner victim” were added to the full database. The old “domestic spillage” column was removed owing to redundancy with the new variables. </t>
  </si>
  <si>
    <t>Social alcohol use was removed from the substance use and abuse variable. </t>
  </si>
  <si>
    <t>We added the specific psychiatric medications each shooter was prescribed, if known.</t>
  </si>
  <si>
    <t>The columns “Recent Breakup” and “Trouble at Work” were removed and are now incorporated into the variable “Recent Stressor or Triggering Event”. The old “Recent Stressor” variable was then changed from a “yes/no” response to one that specified what kind of stressful or triggering event was occurring in the shooter’s life: </t>
  </si>
  <si>
    <t>0 = None</t>
  </si>
  <si>
    <t>1 = Recent break-up</t>
  </si>
  <si>
    <t>2 = Employment-related stressor </t>
  </si>
  <si>
    <t>3 = Economic stressor</t>
  </si>
  <si>
    <t>4 = Family issue</t>
  </si>
  <si>
    <t>5 = Legal issue</t>
  </si>
  <si>
    <t>6 = Other</t>
  </si>
  <si>
    <t>Adult Trauma was re-coded to specify what type of traumatic event occurred (rather than a yes/no). </t>
  </si>
  <si>
    <t>0 = none</t>
  </si>
  <si>
    <t>1 = Death of a parent causing significant distress</t>
  </si>
  <si>
    <t>2 = Death or loss of a child</t>
  </si>
  <si>
    <t>3 = Death of a family member causing significant distress</t>
  </si>
  <si>
    <t>4 = Trauma from war</t>
  </si>
  <si>
    <t>5 = Traumatic accident</t>
  </si>
  <si>
    <t>Physically abused</t>
  </si>
  <si>
    <t>Sexually abused </t>
  </si>
  <si>
    <t>Emotionally/verbally abused</t>
  </si>
  <si>
    <t>Neglected</t>
  </si>
  <si>
    <t>Witnessed violent treatment of mother </t>
  </si>
  <si>
    <t>Parental substance abuse</t>
  </si>
  <si>
    <t>Parental criminal record</t>
  </si>
  <si>
    <t>Family member incarceration</t>
  </si>
  <si>
    <t>Death of a parent in childhood</t>
  </si>
  <si>
    <t>“History of Violence” was removed and the information is now captured in two new columns: “History of Physical Altercations” (which specifies if perpetrators had a history of getting into physical fights or directing violence at inanimate objects when angry at other people) and “History of Animal Abuse”.</t>
  </si>
  <si>
    <t>The column “Criminal Record/Prior Police Contact” was separated into two columns: “Criminal Record” and “Known to law enforcement.” Previous coding conflated when police performed a mental health check on someone with an actual criminal record, which are now distinct. </t>
  </si>
  <si>
    <t>The old “Criminal Record” category was expanded to capture what the FBI call “Part I” and “Part II” offenses that the perpetrator had been suspected, arrested, charged, or convicted of. Another new variable (“Highest Level of Criminal Justice Involvement”) now specifies the highest level of prior criminal justice involvement each perpetrator had. The old “previous homicides” variable was cut because this information is now captured in Part I crimes.</t>
  </si>
  <si>
    <t>Part 1 Crimes:</t>
  </si>
  <si>
    <t>0 = No</t>
  </si>
  <si>
    <t>1 = Homicide</t>
  </si>
  <si>
    <t>2 = Rape</t>
  </si>
  <si>
    <t>3 = Robbery</t>
  </si>
  <si>
    <t>4 = Aggravated assault</t>
  </si>
  <si>
    <t>5 = Burglary</t>
  </si>
  <si>
    <t>6 = Larceny-theft</t>
  </si>
  <si>
    <t>7 = Motor vehicle theft</t>
  </si>
  <si>
    <t>8 = Arson</t>
  </si>
  <si>
    <t>Part II Crimes</t>
  </si>
  <si>
    <t>1 = Simple assault</t>
  </si>
  <si>
    <t>2 = Fraud, forgery, embezzlement </t>
  </si>
  <si>
    <t>3 = Stolen property</t>
  </si>
  <si>
    <t>4 = Vandalism</t>
  </si>
  <si>
    <t>5 = Weapons offenses</t>
  </si>
  <si>
    <t>6 = prostitution or other sex offense (not rape)</t>
  </si>
  <si>
    <t>7 = Drugs</t>
  </si>
  <si>
    <t>8 = DUI</t>
  </si>
  <si>
    <t>9 = Other</t>
  </si>
  <si>
    <t>1 = Suspected</t>
  </si>
  <si>
    <t>2 = Arrested</t>
  </si>
  <si>
    <t>3 = Charged </t>
  </si>
  <si>
    <t>4 = Convicted (includes plead guilty and sentenced to diversion)</t>
  </si>
  <si>
    <t>The variable “Head Injury/Possible TBI” was added to the database.</t>
  </si>
  <si>
    <t>In the “Religion” variable, “Atheist” and “No Religion” were collapsed into one code. </t>
  </si>
  <si>
    <t>In the variables “Sexual Orientation”, LGB was updated to non-heterosexual.</t>
  </si>
  <si>
    <t>Version 4.0 was released in July 2021 and included the following updates:</t>
  </si>
  <si>
    <t>Added five new mass shootings that occurred in the first half of 2021</t>
  </si>
  <si>
    <t>Updated 2019 and 2020 shooting cases based on new information available</t>
  </si>
  <si>
    <t>Version 3.0 was released in March 2021 and included the following updates:</t>
  </si>
  <si>
    <t>Added two new mass shootings that occurred in February and March of 2020</t>
  </si>
  <si>
    <t>Added the following new variables:</t>
  </si>
  <si>
    <t xml:space="preserve">   Was the perpetrator an insider or outsider to the location of their shooting</t>
  </si>
  <si>
    <t xml:space="preserve">   Voluntary or involuntary hospitalization</t>
  </si>
  <si>
    <t xml:space="preserve">   Life expectancy of each victim based on birth year and demographics using CDC data</t>
  </si>
  <si>
    <t xml:space="preserve">   Years of life lost for each victim based on life expectancy</t>
  </si>
  <si>
    <t>Any minor errors noted by users have been corrected</t>
  </si>
  <si>
    <t>Version 2.0 was released in July 2020 and included the following updates:</t>
  </si>
  <si>
    <t>2 shooters who were acquitted were removed from the database (cases 145 and 146)</t>
  </si>
  <si>
    <t>One new shooting from 2019 (case 173) and another from 2020 (case 174) that met our definition were added</t>
  </si>
  <si>
    <t>We expanded the leakage variables:</t>
  </si>
  <si>
    <t>How plans were leaked (i.e. writing, in person, social media)</t>
  </si>
  <si>
    <t>Who plans were leaded to (i.e. parent, friend, teacher, coworker, spouse)</t>
  </si>
  <si>
    <t>Specific or unspecific plans</t>
  </si>
  <si>
    <t>We expanded the crisis variables:</t>
  </si>
  <si>
    <t>Exact type of crisis prior to the shooting</t>
  </si>
  <si>
    <t>Timeline of crisis</t>
  </si>
  <si>
    <t>Recent or ongoing stressor</t>
  </si>
  <si>
    <t>Notably depressed mood</t>
  </si>
  <si>
    <t>Unusually happy or calm</t>
  </si>
  <si>
    <t>Inability to perform daily tasks</t>
  </si>
  <si>
    <t>Rapid mood swings</t>
  </si>
  <si>
    <t>Increased agitation</t>
  </si>
  <si>
    <t>Abusive behavior</t>
  </si>
  <si>
    <t>Isolation</t>
  </si>
  <si>
    <t>Losing touch with reality</t>
  </si>
  <si>
    <t>Paranoia</t>
  </si>
  <si>
    <t>We added a new victims tab documenting every person killed by a mass shooter in the database:</t>
  </si>
  <si>
    <t>Victim name</t>
  </si>
  <si>
    <t>Victim age</t>
  </si>
  <si>
    <t>Victim gender</t>
  </si>
  <si>
    <t>Victim race</t>
  </si>
  <si>
    <t>Victim relationship to shooter</t>
  </si>
  <si>
    <t>We added a new firearms tab that separately codes each and every gun brought to a mass shooting:</t>
  </si>
  <si>
    <t>Exact make of firearm</t>
  </si>
  <si>
    <t>Type of firearm</t>
  </si>
  <si>
    <t>Caliber</t>
  </si>
  <si>
    <t>Was it used in the shooting?</t>
  </si>
  <si>
    <t>Was it modified?</t>
  </si>
  <si>
    <t>Extended magazine?</t>
  </si>
  <si>
    <t>When was it obtained?</t>
  </si>
  <si>
    <t>How was it obtained (legal / illegal)?</t>
  </si>
  <si>
    <t>We updated the coding for the role of psychosis in the shooting:</t>
  </si>
  <si>
    <t>0 - psychotic symptoms played no role in the crime </t>
  </si>
  <si>
    <t>1 - mental health symptoms played a small role in the crime (perpetrator experienced psychosis prior to the crime or during it, but it was not the main motivating factor)</t>
  </si>
  <si>
    <t>2 - mental health symptoms played a significant role in the crime, but was not the only cause (perpetrator experienced psychosis prior to the crime or during it, but it was not the only motivating factor)</t>
  </si>
  <si>
    <t>3 - psychotic symptoms completely caused the crime (perpetrator experienced psychosis prior AND during the crime, was responding to delusions or hallucinations in planning AND committing this crime, and had no other motive)</t>
  </si>
  <si>
    <t>We updated the coding for location:</t>
  </si>
  <si>
    <t>The “other” category was recoded to either “outside” or “place of residence”</t>
  </si>
  <si>
    <t>New violence variables were added:</t>
  </si>
  <si>
    <t>History of domestic abuse / type of domestic abuse (including coercive control)</t>
  </si>
  <si>
    <t xml:space="preserve">Previous sex offense </t>
  </si>
  <si>
    <t xml:space="preserve">Use of violent video games </t>
  </si>
  <si>
    <t xml:space="preserve">Firearms proficiency </t>
  </si>
  <si>
    <t>New mental health variables were added:</t>
  </si>
  <si>
    <t xml:space="preserve">Mental health treatment - mandatory or voluntary </t>
  </si>
  <si>
    <t>Mental health treatment within six months of the shooting</t>
  </si>
  <si>
    <t xml:space="preserve">Family history of mental illness </t>
  </si>
  <si>
    <t>New family variables were added:</t>
  </si>
  <si>
    <t xml:space="preserve">Childhood socioeconomic status </t>
  </si>
  <si>
    <t xml:space="preserve">Birth order </t>
  </si>
  <si>
    <t>Number of siblings (older or younger)</t>
  </si>
  <si>
    <t>Other new variables were added:</t>
  </si>
  <si>
    <t xml:space="preserve">Performance in school </t>
  </si>
  <si>
    <t>Community involvement</t>
  </si>
  <si>
    <t>Hate group association</t>
  </si>
  <si>
    <t>Connection to fiction or pop culture</t>
  </si>
  <si>
    <t>Armed person on the scene - specify who</t>
  </si>
  <si>
    <t>We also updated the codebook to clarify definitions.</t>
  </si>
  <si>
    <t xml:space="preserve">Version 1.0 of the The Violence Project Mass Shooter Database was released in November 2019. </t>
  </si>
  <si>
    <t>VARIABLE NAME</t>
  </si>
  <si>
    <t>DESCRIPTION</t>
  </si>
  <si>
    <t>CODES</t>
  </si>
  <si>
    <t>Case #</t>
  </si>
  <si>
    <t>Shooter Last Name</t>
  </si>
  <si>
    <t>Shooter First Name</t>
  </si>
  <si>
    <t>DATE</t>
  </si>
  <si>
    <t>Full date</t>
  </si>
  <si>
    <t>Day of the week</t>
  </si>
  <si>
    <t>Day</t>
  </si>
  <si>
    <t>Month</t>
  </si>
  <si>
    <t>January = 1</t>
  </si>
  <si>
    <t>February = 2</t>
  </si>
  <si>
    <t>March = 3</t>
  </si>
  <si>
    <t>April = 4</t>
  </si>
  <si>
    <t>May = 5</t>
  </si>
  <si>
    <t>June = 6</t>
  </si>
  <si>
    <t>July = 7</t>
  </si>
  <si>
    <t>August = 8</t>
  </si>
  <si>
    <t>September = 9</t>
  </si>
  <si>
    <t>October = 10</t>
  </si>
  <si>
    <t>November = 11</t>
  </si>
  <si>
    <t>December = 12</t>
  </si>
  <si>
    <t>Year</t>
  </si>
  <si>
    <t>LOCATION</t>
  </si>
  <si>
    <t>Shooting location address</t>
  </si>
  <si>
    <t>City</t>
  </si>
  <si>
    <t>City name</t>
  </si>
  <si>
    <t>State</t>
  </si>
  <si>
    <t>Two-Letter State abbreviation</t>
  </si>
  <si>
    <t>State code</t>
  </si>
  <si>
    <t>Alphabetical</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</si>
  <si>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</si>
  <si>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</si>
  <si>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</si>
  <si>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</si>
  <si>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</si>
  <si>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</si>
  <si>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</si>
  <si>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</si>
  <si>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</si>
  <si>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</si>
  <si>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</si>
  <si>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</si>
  <si>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</si>
  <si>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</si>
  <si>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</si>
  <si>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</si>
  <si>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</si>
  <si>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</si>
  <si>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</si>
  <si>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</si>
  <si>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</si>
  <si>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</si>
  <si>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</si>
  <si>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</si>
  <si>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</si>
  <si>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</si>
  <si>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</si>
  <si>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</si>
  <si>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</si>
  <si>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</si>
  <si>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</si>
  <si>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</si>
  <si>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</si>
  <si>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</si>
  <si>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</si>
  <si>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</si>
  <si>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</si>
  <si>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</si>
  <si>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</si>
  <si>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</si>
  <si>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</si>
  <si>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</si>
  <si>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</si>
  <si>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</si>
  <si>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</si>
  <si>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</si>
  <si>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</si>
  <si>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</si>
  <si>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</si>
  <si>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</si>
  <si>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</si>
  <si>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Region</t>
  </si>
  <si>
    <t>South = 0 (Washington DC, Alabama, Arkansas, Delaware, Florida, Georgia, Kentucky, Louisiana, Maryland, Mississippi, North Carolina, Oklahoma, South Carolina, Tennessee, Texas, Virginia, West Virginia)</t>
  </si>
  <si>
    <t>Midwest = 1 (Illinois, Indiana, Iowa, Kansas, Michigan, Minnesota, Missouri, Nebraska, North Dakota, Ohio, South Dakota, Wisconsin)</t>
  </si>
  <si>
    <t>Northeast = 2 (Connecticut, Maine, Massachusetts, New Hampshire, New Jersey, New York, Pennsylvania, Rhode Island, Vermont)</t>
  </si>
  <si>
    <t>West = 3 (Alaska, Arizona, California, Colorado, Hawaii, Idaho, Montana, Nevada, New Mexico, Oregon, Utah, Washington, Wyoming)</t>
  </si>
  <si>
    <t>Urban, suburban, or rural area</t>
  </si>
  <si>
    <t>Based on government classifications of the density of where people live or their distance from a city center</t>
  </si>
  <si>
    <t>Urban = 0</t>
  </si>
  <si>
    <t>Suburban = 1</t>
  </si>
  <si>
    <t>Rural = 2</t>
  </si>
  <si>
    <t>Primary Location</t>
  </si>
  <si>
    <t>K-12 school = 0</t>
  </si>
  <si>
    <t>College/university = 1</t>
  </si>
  <si>
    <t>Government building / place of civic importance = 2</t>
  </si>
  <si>
    <t>House of worship = 3</t>
  </si>
  <si>
    <t>Retail = 4</t>
  </si>
  <si>
    <t>Restaurant/bar/nightclub = 5</t>
  </si>
  <si>
    <t>Office = 6</t>
  </si>
  <si>
    <t>Place of residence = 7</t>
  </si>
  <si>
    <t>Outdoors = 8</t>
  </si>
  <si>
    <t>Warehouse/factory = 9</t>
  </si>
  <si>
    <t>Post office = 10</t>
  </si>
  <si>
    <t>Connection to Location</t>
  </si>
  <si>
    <t>The perpetrator has an existing relationship with the shooting site</t>
  </si>
  <si>
    <t>Outsider - 0</t>
  </si>
  <si>
    <t>Insider = 1</t>
  </si>
  <si>
    <t>No = 0</t>
  </si>
  <si>
    <t>Yes = 1</t>
  </si>
  <si>
    <t>Multiple Locations</t>
  </si>
  <si>
    <t>Shots were fired at more than one location</t>
  </si>
  <si>
    <t>Other Location</t>
  </si>
  <si>
    <t>Armed person on scene</t>
  </si>
  <si>
    <t>Individual with a firearm in the immediate area or in the building when the shooting starts</t>
  </si>
  <si>
    <t>No evidence = 0</t>
  </si>
  <si>
    <t>Specify armed person on scene (if applicable)</t>
  </si>
  <si>
    <t>N/A = 0</t>
  </si>
  <si>
    <t>Law enforcement or public safety professional = 1</t>
  </si>
  <si>
    <t>Civilian = 2</t>
  </si>
  <si>
    <t xml:space="preserve">VICTIMS   </t>
  </si>
  <si>
    <t>Number killed</t>
  </si>
  <si>
    <t>Count</t>
  </si>
  <si>
    <t>Number injured</t>
  </si>
  <si>
    <t>Kidnapping or hostage element</t>
  </si>
  <si>
    <t>OFFENDER BACKGROUND</t>
  </si>
  <si>
    <t>Age</t>
  </si>
  <si>
    <t>Chronological</t>
  </si>
  <si>
    <t>Gender</t>
  </si>
  <si>
    <t>Male = 0</t>
  </si>
  <si>
    <t>Female = 1</t>
  </si>
  <si>
    <t>Race</t>
  </si>
  <si>
    <t>White = 0</t>
  </si>
  <si>
    <t>Black = 1</t>
  </si>
  <si>
    <t>Latinx = 2</t>
  </si>
  <si>
    <t>Asian = 3</t>
  </si>
  <si>
    <t>Middle Eastern = 4</t>
  </si>
  <si>
    <t>Native American = 5</t>
  </si>
  <si>
    <t>Other = 6</t>
  </si>
  <si>
    <t>Immigrant</t>
  </si>
  <si>
    <t>Sexual orientation</t>
  </si>
  <si>
    <t>Heterosexual = 0</t>
  </si>
  <si>
    <t>Not Heterosexual = 1</t>
  </si>
  <si>
    <t>Religion</t>
  </si>
  <si>
    <t>None = 0</t>
  </si>
  <si>
    <t>Christian = 1</t>
  </si>
  <si>
    <t>Muslim = 2</t>
  </si>
  <si>
    <t>Buddhist = 3</t>
  </si>
  <si>
    <t>Cultural spirituality/other = 4</t>
  </si>
  <si>
    <t>Jewish = 5</t>
  </si>
  <si>
    <t>Education</t>
  </si>
  <si>
    <t>Less than high school = 0</t>
  </si>
  <si>
    <t>High school/GED = 1</t>
  </si>
  <si>
    <t>Some college/trade school = 2</t>
  </si>
  <si>
    <t>Bachelor's degree = 3</t>
  </si>
  <si>
    <t>Graduate school/advanced degree = 4</t>
  </si>
  <si>
    <t>School performance</t>
  </si>
  <si>
    <t>Poor (D-F grades, under 2.0 GPA, failed classes, repeated grades) = 0</t>
  </si>
  <si>
    <t>Average (C's, 2.0-3.49 GPA) = 1</t>
  </si>
  <si>
    <t>Good (A-B grades, 3.5-4.0 GPA) = 2</t>
  </si>
  <si>
    <t>School performance specified</t>
  </si>
  <si>
    <t>Birth order</t>
  </si>
  <si>
    <t xml:space="preserve">Only child = 0 </t>
  </si>
  <si>
    <t>Oldest child = 1</t>
  </si>
  <si>
    <t>Middle child = 2</t>
  </si>
  <si>
    <t>Youngest child = 3</t>
  </si>
  <si>
    <t>Twin = 4</t>
  </si>
  <si>
    <t>Number of siblings</t>
  </si>
  <si>
    <t>Number of older siblings</t>
  </si>
  <si>
    <t xml:space="preserve">Number of younger siblings </t>
  </si>
  <si>
    <t>Relationship status</t>
  </si>
  <si>
    <t>Single = 0</t>
  </si>
  <si>
    <t>Boyfriend/girlfriend = 1</t>
  </si>
  <si>
    <t>Married = 2</t>
  </si>
  <si>
    <t>Divorced/separated/widowed = 3</t>
  </si>
  <si>
    <t>Children</t>
  </si>
  <si>
    <t>Shooter was a parent</t>
  </si>
  <si>
    <t>Employment status</t>
  </si>
  <si>
    <t>Not working = 0</t>
  </si>
  <si>
    <t>Working = 1</t>
  </si>
  <si>
    <t>Employment type</t>
  </si>
  <si>
    <t>Based on current or recent past employment</t>
  </si>
  <si>
    <t>Blue collar = 0</t>
  </si>
  <si>
    <t>White collar = 1</t>
  </si>
  <si>
    <t>In between = 2</t>
  </si>
  <si>
    <t>Military service</t>
  </si>
  <si>
    <t>Joined but did not make it through training = 2</t>
  </si>
  <si>
    <t>Military branch</t>
  </si>
  <si>
    <t>Army = 0</t>
  </si>
  <si>
    <t>Navy = 1</t>
  </si>
  <si>
    <t>Air Force = 2</t>
  </si>
  <si>
    <t>Marines = 3</t>
  </si>
  <si>
    <t>Coast Guard = 4</t>
  </si>
  <si>
    <t xml:space="preserve">National Guard = 5
</t>
  </si>
  <si>
    <t>Participation in civic life and membership in local clubs and organizations</t>
  </si>
  <si>
    <t>Somewhat involved = 1</t>
  </si>
  <si>
    <t>Heavily involved = 2</t>
  </si>
  <si>
    <t>Formerly involved but recently withdrawn = 3</t>
  </si>
  <si>
    <t>Community involvement specified</t>
  </si>
  <si>
    <t>CRIME AND VIOLENCE</t>
  </si>
  <si>
    <t>Known to Police or FBI</t>
  </si>
  <si>
    <t>Criminal Record</t>
  </si>
  <si>
    <t>Part 1 Crimes</t>
  </si>
  <si>
    <t>Homicide = 1</t>
  </si>
  <si>
    <t>Forcible rape = 2</t>
  </si>
  <si>
    <t>Robbery = 3</t>
  </si>
  <si>
    <t>Aggravated Assault = 4</t>
  </si>
  <si>
    <t>Burglary = 5</t>
  </si>
  <si>
    <t>Larceny-Theft = 6</t>
  </si>
  <si>
    <t xml:space="preserve">Motor Vehicle Theft = 7 </t>
  </si>
  <si>
    <t>Arson = 8</t>
  </si>
  <si>
    <t>Part 2 Crimes</t>
  </si>
  <si>
    <t>Simple assault = 1</t>
  </si>
  <si>
    <t>Fraud, forgery, embezzlement = 2</t>
  </si>
  <si>
    <t>Stolen property = 3</t>
  </si>
  <si>
    <t>Vandalism = 4</t>
  </si>
  <si>
    <t>Weapons offenses = 5</t>
  </si>
  <si>
    <t>Prostitution or other non-rape sex offenses = 6</t>
  </si>
  <si>
    <t>Drugs = 7</t>
  </si>
  <si>
    <t>DUI = 8</t>
  </si>
  <si>
    <t>Other = 9</t>
  </si>
  <si>
    <t>Highest level of criminal justice involvement</t>
  </si>
  <si>
    <t>Suspected = 1</t>
  </si>
  <si>
    <t>Arrested = 2</t>
  </si>
  <si>
    <t>Charged = 3</t>
  </si>
  <si>
    <t>Convicted = 4</t>
  </si>
  <si>
    <t>Animal Abuse</t>
  </si>
  <si>
    <t>History of Physical Altercations</t>
  </si>
  <si>
    <t>Getting into physical fights with people</t>
  </si>
  <si>
    <t>Attacked inanimate objects during arguments = 2</t>
  </si>
  <si>
    <t>History of domestic abuse</t>
  </si>
  <si>
    <t>Physical and non-physical forms of abuse</t>
  </si>
  <si>
    <t>Abused romantic partner = 1</t>
  </si>
  <si>
    <t>Abused other family member(s) = 2</t>
  </si>
  <si>
    <t>Domestic abuse specified</t>
  </si>
  <si>
    <t>Non-sexual physical violence = 1</t>
  </si>
  <si>
    <t>Sexual violence = 2</t>
  </si>
  <si>
    <t>Threats / coercive control = 3</t>
  </si>
  <si>
    <t xml:space="preserve">Threats with a deadly weapon = 4 </t>
  </si>
  <si>
    <t xml:space="preserve">History of sexual offenses </t>
  </si>
  <si>
    <t>History of rape, molestation, indecent exposure, child pornography, sexual harrassment, or other acts with a sexual motivation</t>
  </si>
  <si>
    <t>Gang association</t>
  </si>
  <si>
    <t>Terror group association</t>
  </si>
  <si>
    <t>Hate group community association = 1</t>
  </si>
  <si>
    <t>Other radical group association = 2</t>
  </si>
  <si>
    <t>Inspired by a hate group but no direct connection = 3</t>
  </si>
  <si>
    <t>Website or chat room postings relating to hate or hate groups = 4</t>
  </si>
  <si>
    <t>Played violent video games</t>
  </si>
  <si>
    <t>Graphic first-person shooter games</t>
  </si>
  <si>
    <t>Played unspecified video games = 2</t>
  </si>
  <si>
    <t>NA (pre-1992) = 3</t>
  </si>
  <si>
    <t xml:space="preserve">Bully </t>
  </si>
  <si>
    <t>TRAUMA AND ADVERSE CHILDHOOD EXPERIENCES</t>
  </si>
  <si>
    <t xml:space="preserve">Bullied </t>
  </si>
  <si>
    <t>Raised by single parent</t>
  </si>
  <si>
    <t>Parental separation or divorce</t>
  </si>
  <si>
    <t>Suicide of parent</t>
  </si>
  <si>
    <t>Death of parent</t>
  </si>
  <si>
    <t>Childhood trauma</t>
  </si>
  <si>
    <t>Physical Abuse</t>
  </si>
  <si>
    <t>Shooter experienced during childhood</t>
  </si>
  <si>
    <t>Sexual Abuse</t>
  </si>
  <si>
    <t>Emotional Abuse</t>
  </si>
  <si>
    <t>Neglect</t>
  </si>
  <si>
    <t>Childhood socioeconomic status</t>
  </si>
  <si>
    <t>Estimated using all public data</t>
  </si>
  <si>
    <t>Lower class = 0</t>
  </si>
  <si>
    <t>Middle class = 1</t>
  </si>
  <si>
    <t>Upper class = 2</t>
  </si>
  <si>
    <t>Mother was violently treated</t>
  </si>
  <si>
    <t>Parent substance abuse</t>
  </si>
  <si>
    <t>Drug or alcohol abuse</t>
  </si>
  <si>
    <t>Parent criminal record</t>
  </si>
  <si>
    <t>Arrest, conviction, or restraining order</t>
  </si>
  <si>
    <t>Family member incarcerated</t>
  </si>
  <si>
    <t>Adult trauma</t>
  </si>
  <si>
    <t>Death of a parent causing significant distress = 1</t>
  </si>
  <si>
    <t>Death or loss of a child = 2</t>
  </si>
  <si>
    <t>Death of a family member causing significant distress = 3</t>
  </si>
  <si>
    <t>Trauma from war = 4</t>
  </si>
  <si>
    <t>Traumatic accident = 5</t>
  </si>
  <si>
    <t>Other trauma = 6</t>
  </si>
  <si>
    <t>SIGNS OF A CRISIS</t>
  </si>
  <si>
    <t>Recent stressor / triggering event</t>
  </si>
  <si>
    <t>Recent break-up = 1</t>
  </si>
  <si>
    <t>Employment stressor = 2</t>
  </si>
  <si>
    <t>Economic stressor = 3</t>
  </si>
  <si>
    <t>Family issue = 4</t>
  </si>
  <si>
    <t>Legal issue = 5</t>
  </si>
  <si>
    <t xml:space="preserve">Signs of being in crisis </t>
  </si>
  <si>
    <t>Current circumstances overwhelming coping mechanisms causing a marked change in behavior from baseline</t>
  </si>
  <si>
    <t>Timeframe of when signs of crisis began</t>
  </si>
  <si>
    <t>Days before shooting = 0</t>
  </si>
  <si>
    <t>Weeks before shooting = 1</t>
  </si>
  <si>
    <t>Months before shooting = 2</t>
  </si>
  <si>
    <t>Years before shooting = 3</t>
  </si>
  <si>
    <t>Marked change in this behavior from their baseline</t>
  </si>
  <si>
    <t>Unusually calm or happy</t>
  </si>
  <si>
    <t xml:space="preserve">Losing touch with reality </t>
  </si>
  <si>
    <t>HEALTH AND MENTAL HEALTH</t>
  </si>
  <si>
    <t>Suicidality</t>
  </si>
  <si>
    <t>Yes, at any point before the shooting = 1</t>
  </si>
  <si>
    <t>Intended to die in shooting but had no previous suicidality = 2</t>
  </si>
  <si>
    <t>Hospitalization for psychiatric reasons</t>
  </si>
  <si>
    <t>Voluntary or involuntary hospitalization</t>
  </si>
  <si>
    <t>Voluntary = 1</t>
  </si>
  <si>
    <t>Involuntary = 2</t>
  </si>
  <si>
    <t>Prior counseling</t>
  </si>
  <si>
    <t>Voluntary or mandatory counseling</t>
  </si>
  <si>
    <t>Prescribed psychiatric medication</t>
  </si>
  <si>
    <t xml:space="preserve">Psychiatric medication specified </t>
  </si>
  <si>
    <t>Treatment</t>
  </si>
  <si>
    <t>Counseling, medication, hospital treatment in the 6 months prior to shooting</t>
  </si>
  <si>
    <t>Mental illness</t>
  </si>
  <si>
    <t>Mood disorder = 1</t>
  </si>
  <si>
    <t>Thought disorder = 2</t>
  </si>
  <si>
    <t>Other psychiatric disorder = 3</t>
  </si>
  <si>
    <t>Indication of psychiatric disorder but no diagnosis = 4</t>
  </si>
  <si>
    <t>Known family history of mental health issues</t>
  </si>
  <si>
    <t>Parents had mental health issues = 1</t>
  </si>
  <si>
    <t>Other close relatives had mental health issues = 2</t>
  </si>
  <si>
    <t>Autism spectrum disorder</t>
  </si>
  <si>
    <t>Diagnosed or extremely likely = 1</t>
  </si>
  <si>
    <t>Substance use and abuse</t>
  </si>
  <si>
    <t>Problem with alcohol = 1</t>
  </si>
  <si>
    <t>Marijuana = 2</t>
  </si>
  <si>
    <t>Other drugs = 3</t>
  </si>
  <si>
    <t>Health issues</t>
  </si>
  <si>
    <t>Specify health issues</t>
  </si>
  <si>
    <t>Head injury / Possible brain injury</t>
  </si>
  <si>
    <t>GRIEVANCE AND MOTIVATION</t>
  </si>
  <si>
    <t>Known prejudices</t>
  </si>
  <si>
    <t>Not primary motive</t>
  </si>
  <si>
    <t>Racism = 1</t>
  </si>
  <si>
    <t>Misogyny = 2</t>
  </si>
  <si>
    <t>Homophobia = 3</t>
  </si>
  <si>
    <t>Religious hatred = 4</t>
  </si>
  <si>
    <t>Motive: Racism</t>
  </si>
  <si>
    <t>Yes, targeting people of color = 1</t>
  </si>
  <si>
    <t>Yes, targeting white people = 2</t>
  </si>
  <si>
    <t xml:space="preserve">Motive: Religious hate </t>
  </si>
  <si>
    <t>1 = Antisemitism</t>
  </si>
  <si>
    <t>2 = Islamophobia</t>
  </si>
  <si>
    <t>3 = Angry with Christianity/Christian God</t>
  </si>
  <si>
    <t>4 = Both Antisemitism and Islamophobia</t>
  </si>
  <si>
    <t>Motive: Misogyny</t>
  </si>
  <si>
    <t>Motive: Homophobia</t>
  </si>
  <si>
    <t xml:space="preserve">Motive: Employment issue </t>
  </si>
  <si>
    <t>E.g. Fired, lost promotion</t>
  </si>
  <si>
    <t xml:space="preserve">Motive: Economic issue </t>
  </si>
  <si>
    <t>E.g. Debt, gambling</t>
  </si>
  <si>
    <t>Motive: Legal issue</t>
  </si>
  <si>
    <t xml:space="preserve">Motive: Relationship issues </t>
  </si>
  <si>
    <t>E.g. Breakup, separation</t>
  </si>
  <si>
    <t xml:space="preserve">Motive: Interpersonal conflict </t>
  </si>
  <si>
    <t>Non-domestic issue with family, co-workers, friends</t>
  </si>
  <si>
    <t>Motive: Fame-seeking</t>
  </si>
  <si>
    <t xml:space="preserve">Motive: Other </t>
  </si>
  <si>
    <t>Generalized anger (angry at a group, society, world, carries out symbolic killing) = 2</t>
  </si>
  <si>
    <t>Motive: Unknown</t>
  </si>
  <si>
    <t>Role of psychosis in the shooting</t>
  </si>
  <si>
    <t>Perpetrator experienced delusions and/or halluciations while planning and/or committing the shooting, was responding to delusions and/or hallucinations while planning and/or committing the shooting</t>
  </si>
  <si>
    <t>No evidence that symptoms of psychosis played a role in the shooting = 0</t>
  </si>
  <si>
    <t>Symptoms of psychosis may have played a minor role in the crime = 1</t>
  </si>
  <si>
    <t>Symptoms of psychosis played a moderate role in the crime, but there was an additional motive = 2</t>
  </si>
  <si>
    <t>Symptoms of psychsis played a major role in the crime, no other known motive = 3</t>
  </si>
  <si>
    <t>SOCIAL CONTAGION</t>
  </si>
  <si>
    <t>Social media use</t>
  </si>
  <si>
    <t>NA, pre-1999 = 2</t>
  </si>
  <si>
    <t>Leakage prior to the shooting</t>
  </si>
  <si>
    <t>Communication to a third party of an intent to do harm</t>
  </si>
  <si>
    <t>Leakage - How?</t>
  </si>
  <si>
    <t>In person = 0</t>
  </si>
  <si>
    <t>Letter = 1</t>
  </si>
  <si>
    <t>Other writing = 2</t>
  </si>
  <si>
    <t>Phone / text = 3</t>
  </si>
  <si>
    <t>Internet / social media = 4</t>
  </si>
  <si>
    <t>Other = 5</t>
  </si>
  <si>
    <t>Leakage - Who?</t>
  </si>
  <si>
    <t>Mental health professional = 0</t>
  </si>
  <si>
    <t>Immediate family = 1</t>
  </si>
  <si>
    <t>Wife/girlfriend = 2</t>
  </si>
  <si>
    <t>Police = 3</t>
  </si>
  <si>
    <t>Coworker/supervisor = 4</t>
  </si>
  <si>
    <t>Friend/neighbor = 5</t>
  </si>
  <si>
    <t>Classmate = 6</t>
  </si>
  <si>
    <t>Teacher/school staff = 7</t>
  </si>
  <si>
    <t>Waitress/Bartender/Clerk = 8</t>
  </si>
  <si>
    <t>Leakage - Specific?</t>
  </si>
  <si>
    <t>Nonspecific (threatened violence) = 0</t>
  </si>
  <si>
    <t>Specific (threatened shooting) = 1</t>
  </si>
  <si>
    <t>Interest in past mass violence</t>
  </si>
  <si>
    <t>Relationship with other shooting(s)</t>
  </si>
  <si>
    <t>Specify relationship to other shooting(s)</t>
  </si>
  <si>
    <t>Legacy token</t>
  </si>
  <si>
    <t>Left something behind</t>
  </si>
  <si>
    <t>Connection to pop culture</t>
  </si>
  <si>
    <t>Explicit reference = 1</t>
  </si>
  <si>
    <t>Tangential reference = 2</t>
  </si>
  <si>
    <t>Specify pop culture connection</t>
  </si>
  <si>
    <t>Significant prior planning</t>
  </si>
  <si>
    <t>Performance</t>
  </si>
  <si>
    <t>E.g. Filmed, costume</t>
  </si>
  <si>
    <t>WEAPONS</t>
  </si>
  <si>
    <t>Notable or obsessive interest in firearms</t>
  </si>
  <si>
    <t>Firearm proficiency</t>
  </si>
  <si>
    <t>No experience = 0</t>
  </si>
  <si>
    <t>Some experience (some practice before shooting, grew up around guns, owned guns for awhile before shooting) = 1</t>
  </si>
  <si>
    <t>More experienced (held a permit or license, certifications or classes taken, more intensive practice before shooting) = 2</t>
  </si>
  <si>
    <t>Very experienced = 3 (military, hunter, sharpshooter, years of consistent practice)</t>
  </si>
  <si>
    <t>Total weapons brought to the scene</t>
  </si>
  <si>
    <t>Other weapons or gear</t>
  </si>
  <si>
    <t>Specify other weapons or gear</t>
  </si>
  <si>
    <t>RESOLUTION OF CASE</t>
  </si>
  <si>
    <t>On scene outcome</t>
  </si>
  <si>
    <t>Killed self = 0</t>
  </si>
  <si>
    <t>Killed on scene = 1</t>
  </si>
  <si>
    <t>Apprehended = 2</t>
  </si>
  <si>
    <t>Apprehended, then suicide before trial = 3</t>
  </si>
  <si>
    <t>Attempt to flee</t>
  </si>
  <si>
    <t>No attempt = 0</t>
  </si>
  <si>
    <t>Tried to escape = 1</t>
  </si>
  <si>
    <t>Insanity defense at trial</t>
  </si>
  <si>
    <t>If used at any point in the trial</t>
  </si>
  <si>
    <t>N/A (dead before trial) = 2</t>
  </si>
  <si>
    <t>3 =  Trial pending</t>
  </si>
  <si>
    <t>Criminal sentence</t>
  </si>
  <si>
    <t>Death penalty = 1</t>
  </si>
  <si>
    <t>Life without parole = 2</t>
  </si>
  <si>
    <t>Life imprisonment (with possibility of parole) = 3</t>
  </si>
  <si>
    <t>Hospitalization = 4</t>
  </si>
  <si>
    <t>Juvenile detention = 5</t>
  </si>
  <si>
    <t>FIREARMS TAB (guns used for each shooting in database)</t>
  </si>
  <si>
    <t>Make and model</t>
  </si>
  <si>
    <t>Classification</t>
  </si>
  <si>
    <t>A handgun has a short barrel; a shotgun has a long barrel and usually has a smooth bore; a rifle has a long barrel with rifling, which puts spin on the bullet, increasing accuracy and distance; an assault weapon is any semi-automatic gun that can accept a detachable ammunition magazine that has one or more additional features considered useful in military and criminal applications but unnecessary for sports or self-defense, such as a folding, telescoping or thumbhole rifle stock. This is consistent with the Federal Assault Weapons Ban of 1994.</t>
  </si>
  <si>
    <t>Handgun = 0</t>
  </si>
  <si>
    <t>Shotgun = 1</t>
  </si>
  <si>
    <t>Rifle = 2</t>
  </si>
  <si>
    <t>Assault weapon = 3</t>
  </si>
  <si>
    <t>Small (e.g., .22-, .25- and .32-caliber) = 0</t>
  </si>
  <si>
    <t>Medium (e.g., .380s, .38s and 9mms) = 1</t>
  </si>
  <si>
    <t>Large (e.g., .40s, .44 magnums, .45s, 10mms and 7.62 x 39s.) = 2</t>
  </si>
  <si>
    <t>Firearm used in shooting</t>
  </si>
  <si>
    <t>Yes, but only for suicide attempt = 2</t>
  </si>
  <si>
    <t>Modified</t>
  </si>
  <si>
    <t xml:space="preserve">Extended magazine (replacing the standard magazine with one of a higher capacity) </t>
  </si>
  <si>
    <t xml:space="preserve">No = 0 </t>
  </si>
  <si>
    <t>When obtained</t>
  </si>
  <si>
    <t>Less than one month prior to shooting = 0</t>
  </si>
  <si>
    <t>More than one month prior to shooting = 1</t>
  </si>
  <si>
    <t>Legal purchase</t>
  </si>
  <si>
    <t>Based on state and federal law at time of shooting</t>
  </si>
  <si>
    <t>No, illegal = 0</t>
  </si>
  <si>
    <t>Federal Firearms Licensed dealer = 1</t>
  </si>
  <si>
    <t>Unregulated private sale = 2</t>
  </si>
  <si>
    <t>Legal but specific source unknown = 3</t>
  </si>
  <si>
    <t>Illegal purchase</t>
  </si>
  <si>
    <t>No, legal = 0</t>
  </si>
  <si>
    <t>System failure (background check missed something, records not reported) = 1</t>
  </si>
  <si>
    <t>Straw purchase = 2</t>
  </si>
  <si>
    <t>Lying and buying = 3</t>
  </si>
  <si>
    <t>Illegal street sale = 4</t>
  </si>
  <si>
    <t>Illegal but specific source unknown = 5</t>
  </si>
  <si>
    <t>Legal sale but illegal possession = 6</t>
  </si>
  <si>
    <t xml:space="preserve">Assembled with legal parts </t>
  </si>
  <si>
    <t xml:space="preserve">Gifted </t>
  </si>
  <si>
    <t xml:space="preserve">Theft </t>
  </si>
  <si>
    <t>Theft/borrowed from family or friend = 1</t>
  </si>
  <si>
    <t>Theft other = 2</t>
  </si>
  <si>
    <t>Theft at the scene of the shooting (taken from law enforcement or security guard) = 3</t>
  </si>
  <si>
    <t>Unknown</t>
  </si>
  <si>
    <t>VICTIMS TAB (individuals killed for each shooting in database)</t>
  </si>
  <si>
    <t>Age only</t>
  </si>
  <si>
    <t>Female =  1</t>
  </si>
  <si>
    <t xml:space="preserve">Knew Perpetrator </t>
  </si>
  <si>
    <t>Likely = 2</t>
  </si>
  <si>
    <t>If known, relationship with perpetrator</t>
  </si>
  <si>
    <t>Relationship with perpetrator</t>
  </si>
  <si>
    <t>No relationship = 0</t>
  </si>
  <si>
    <t>Family member = 1</t>
  </si>
  <si>
    <t>Romantic partner = 2</t>
  </si>
  <si>
    <t>Coworker/supervisor = 3</t>
  </si>
  <si>
    <t>Teacher/classmate = 4</t>
  </si>
  <si>
    <t>Other known = 5</t>
  </si>
  <si>
    <t>Life expectancy</t>
  </si>
  <si>
    <t>Life expectancy based on birth year and demographics using CDC data</t>
  </si>
  <si>
    <t>Years Lost</t>
  </si>
  <si>
    <t>Life expectancy minus age at death</t>
  </si>
  <si>
    <t>COMMUNITY TAB (Shootings 1995 and after only)</t>
  </si>
  <si>
    <t>Location</t>
  </si>
  <si>
    <t>Shooting Start Time</t>
  </si>
  <si>
    <t>Shooting End Time</t>
  </si>
  <si>
    <t>Time of Day (Start Time)</t>
  </si>
  <si>
    <t>Morning = 0</t>
  </si>
  <si>
    <t>Afternoon = 1</t>
  </si>
  <si>
    <t>Evening = 2</t>
  </si>
  <si>
    <t>Night = 3</t>
  </si>
  <si>
    <t>Zip Code</t>
  </si>
  <si>
    <t>Total Population (U.S. Census)</t>
  </si>
  <si>
    <t>Median Age</t>
  </si>
  <si>
    <t>% White Alone</t>
  </si>
  <si>
    <t>% Female Household</t>
  </si>
  <si>
    <t>% Rental Units</t>
  </si>
  <si>
    <t>% Employed</t>
  </si>
  <si>
    <t>% High School Graduate</t>
  </si>
  <si>
    <t>% College Graduate</t>
  </si>
  <si>
    <t>% Without Health Insurance</t>
  </si>
  <si>
    <t>Nearest Hospital (in Miles)</t>
  </si>
  <si>
    <t>N Mental Health Providers in Zip Code</t>
  </si>
  <si>
    <t>N Gun Stores in Zip Code</t>
  </si>
  <si>
    <t>Size of Police Deptartment</t>
  </si>
  <si>
    <t>Homicide Rate (FBI UCR)</t>
  </si>
  <si>
    <t>Perpetrator Name</t>
  </si>
  <si>
    <t>Date</t>
  </si>
  <si>
    <t>Victims</t>
  </si>
  <si>
    <t>Offender Background</t>
  </si>
  <si>
    <t>Crime and Violence</t>
  </si>
  <si>
    <t>Trauma and Adverse Childhood Experiences</t>
  </si>
  <si>
    <t>Signs of a Crisis</t>
  </si>
  <si>
    <t>Heath and Mental Health</t>
  </si>
  <si>
    <t>Grievance and Motivation</t>
  </si>
  <si>
    <t>Social Contagion</t>
  </si>
  <si>
    <t>Weapons</t>
  </si>
  <si>
    <t>Resolution of Case</t>
  </si>
  <si>
    <t>Full Date</t>
  </si>
  <si>
    <t>Day of Week</t>
  </si>
  <si>
    <t>Shooting Location Address</t>
  </si>
  <si>
    <t>State Code</t>
  </si>
  <si>
    <t>Urban/Suburban/Rural</t>
  </si>
  <si>
    <t>Insider / Outsider</t>
  </si>
  <si>
    <t>Armed Person on Scene</t>
  </si>
  <si>
    <t>Specify Armed Person</t>
  </si>
  <si>
    <t>Number Killed</t>
  </si>
  <si>
    <t>Number Injured</t>
  </si>
  <si>
    <t>Family Member Victim</t>
  </si>
  <si>
    <t>Romantic Partner Victim</t>
  </si>
  <si>
    <t>Kidnapping or Hostage Situation</t>
  </si>
  <si>
    <t>Sexual Orientation</t>
  </si>
  <si>
    <t>School Performance</t>
  </si>
  <si>
    <t>School Performance Specified</t>
  </si>
  <si>
    <t>Birth Order</t>
  </si>
  <si>
    <t>Number of Siblings</t>
  </si>
  <si>
    <t>Older Siblings</t>
  </si>
  <si>
    <t>Younger Siblings</t>
  </si>
  <si>
    <t>Relationship Status</t>
  </si>
  <si>
    <t>Employment Status</t>
  </si>
  <si>
    <t>Employment Type </t>
  </si>
  <si>
    <t>Military Service</t>
  </si>
  <si>
    <t>Military Branch</t>
  </si>
  <si>
    <t>Community Involvement</t>
  </si>
  <si>
    <t>Community Involvement Specified</t>
  </si>
  <si>
    <t>Part I Crimes</t>
  </si>
  <si>
    <t>Highest Level of Criminal Justice Involvement</t>
  </si>
  <si>
    <t>History of Animal Abuse</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</si>
  <si>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</si>
  <si>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</si>
  <si>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</si>
  <si>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</si>
  <si>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</si>
  <si>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</si>
  <si>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</si>
  <si>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</si>
  <si>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</si>
  <si>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</si>
  <si>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</si>
  <si>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</si>
  <si>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</si>
  <si>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</si>
  <si>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</si>
  <si>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</si>
  <si>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</si>
  <si>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</si>
  <si>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</si>
  <si>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</si>
  <si>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</si>
  <si>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</si>
  <si>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</si>
  <si>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</si>
  <si>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</si>
  <si>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</si>
  <si>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</si>
  <si>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</si>
  <si>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</si>
  <si>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</si>
  <si>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</si>
  <si>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</si>
  <si>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</si>
  <si>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Losing Touch with Reality</t>
  </si>
  <si>
    <t>Prior Hospitalization</t>
  </si>
  <si>
    <t>Voluntary or Involuntary Hospitalization</t>
  </si>
  <si>
    <t>Prior Counseling</t>
  </si>
  <si>
    <t>Voluntary or Mandatory Counseling</t>
  </si>
  <si>
    <t>Psychiatric Medication</t>
  </si>
  <si>
    <t>Psychiatric Medication Specified</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</si>
  <si>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</si>
  <si>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</si>
  <si>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</si>
  <si>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</si>
  <si>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</si>
  <si>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</si>
  <si>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</si>
  <si>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</si>
  <si>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</si>
  <si>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</si>
  <si>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</si>
  <si>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Employment Issue</t>
  </si>
  <si>
    <t>Motive: Economic Issue</t>
  </si>
  <si>
    <t>Motive: Legal Issue</t>
  </si>
  <si>
    <t>Motive: Relationship Issue</t>
  </si>
  <si>
    <t>Motive: Interpersonal Conflict </t>
  </si>
  <si>
    <t>Motive: Fame-Seeking</t>
  </si>
  <si>
    <t>Motive: Other </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</si>
  <si>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</si>
  <si>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</si>
  <si>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</si>
  <si>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</si>
  <si>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</si>
  <si>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</si>
  <si>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</si>
  <si>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</si>
  <si>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</si>
  <si>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</si>
  <si>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</si>
  <si>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</si>
  <si>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</si>
  <si>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Interest in Firearms</t>
  </si>
  <si>
    <t>Firearm Proficiency</t>
  </si>
  <si>
    <t>Total Firearms Brought to the Scene</t>
  </si>
  <si>
    <t>Other Weapons or Gear</t>
  </si>
  <si>
    <t>Specify Other Weapons or Gear</t>
  </si>
  <si>
    <t>On-Scene Outcome</t>
  </si>
  <si>
    <t>Attempt to Flee</t>
  </si>
  <si>
    <t>Insanity Defense</t>
  </si>
  <si>
    <t>Criminal Sentence</t>
  </si>
  <si>
    <t>Whitman</t>
  </si>
  <si>
    <t>Charles</t>
  </si>
  <si>
    <t>Monday</t>
  </si>
  <si>
    <t>110 Inner Campus Drive, Austin, TX 78705</t>
  </si>
  <si>
    <t>Austin</t>
  </si>
  <si>
    <t>TX</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</si>
  <si>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</si>
  <si>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</si>
  <si>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</si>
  <si>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</si>
  <si>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</si>
  <si>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0</t>
  </si>
  <si>
    <t>Robert Smith killed 5 people a few months after this shooting and said he was inspired by Whitman.</t>
  </si>
  <si>
    <t>hatchet, hammer, knives, wrench, ropes, water, gasoline, matches, food and camping supplies</t>
  </si>
  <si>
    <t>Smith</t>
  </si>
  <si>
    <t>Robert</t>
  </si>
  <si>
    <t>Saturday</t>
  </si>
  <si>
    <t>Rose-Mar College of Beauty in Mesa, AZ</t>
  </si>
  <si>
    <t>Mesa</t>
  </si>
  <si>
    <t>AZ</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</si>
  <si>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</si>
  <si>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</si>
  <si>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</si>
  <si>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</si>
  <si>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</si>
  <si>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</si>
  <si>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</si>
  <si>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599 South Highland Street Lockhaven, PA 17745</t>
  </si>
  <si>
    <t>Lock Haven</t>
  </si>
  <si>
    <t>PA</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</si>
  <si>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</si>
  <si>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</si>
  <si>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</si>
  <si>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</si>
  <si>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</si>
  <si>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11703 Lake Rd, Ironwood, MI 49938</t>
  </si>
  <si>
    <t>Ironwood</t>
  </si>
  <si>
    <t>MI</t>
  </si>
  <si>
    <t>Lambright</t>
  </si>
  <si>
    <t>Donald</t>
  </si>
  <si>
    <t>Pennsylvania Turnpike near Harrisburg, PA</t>
  </si>
  <si>
    <t>Harrisburg</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</si>
  <si>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</si>
  <si>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</si>
  <si>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</si>
  <si>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</si>
  <si>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</si>
  <si>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Wednesday</t>
  </si>
  <si>
    <t>Building 12 W.A. Harriman Campus Albany, NY 12240 .</t>
  </si>
  <si>
    <t>Albany</t>
  </si>
  <si>
    <t>NY</t>
  </si>
  <si>
    <t>completed university with a scholarship, master's degree</t>
  </si>
  <si>
    <t>stomach problems</t>
  </si>
  <si>
    <t>McLeod</t>
  </si>
  <si>
    <t>Harvey Glenn</t>
  </si>
  <si>
    <t>4321 Lassiter at North Hills Ave, Raleigh, NC 27609</t>
  </si>
  <si>
    <t>Raleigh</t>
  </si>
  <si>
    <t>NC</t>
  </si>
  <si>
    <t>average grades, failed a lot of courses</t>
  </si>
  <si>
    <t>varsity sports in high school, no involvement as an adult</t>
  </si>
  <si>
    <t>2, 5</t>
  </si>
  <si>
    <t>A few days before, he had been arrested for filing a false police report on a stolen car and said he would rather die than go back to jail. He didn't have any friends. He had a history of deep depression.</t>
  </si>
  <si>
    <t>Grace</t>
  </si>
  <si>
    <t>Edwin</t>
  </si>
  <si>
    <t>383 Kings Highway N, Cherry Hill, NJ 08034</t>
  </si>
  <si>
    <t>Cherry Hill</t>
  </si>
  <si>
    <t>NJ</t>
  </si>
  <si>
    <t>church</t>
  </si>
  <si>
    <t>Essex</t>
  </si>
  <si>
    <t>Mark</t>
  </si>
  <si>
    <t>Sunday</t>
  </si>
  <si>
    <t>4200 Old Gentilly Rd, New Orleans, LA 70126</t>
  </si>
  <si>
    <t>New Orleans </t>
  </si>
  <si>
    <t>LA</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</si>
  <si>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</si>
  <si>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</si>
  <si>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</si>
  <si>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</si>
  <si>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1, 4</t>
  </si>
  <si>
    <t>1, 1</t>
  </si>
  <si>
    <t>9, 1</t>
  </si>
  <si>
    <t>1, 0</t>
  </si>
  <si>
    <t>cherry bombs, firecrackers</t>
  </si>
  <si>
    <t>Sander</t>
  </si>
  <si>
    <t>12370 US Highway 101 N, Smith River, CA 95567</t>
  </si>
  <si>
    <t>Smith River</t>
  </si>
  <si>
    <t>CA</t>
  </si>
  <si>
    <t>He quit his job suddenly a few weeks before the shooting and bought a gun. He planned to commit suicide afterwards.</t>
  </si>
  <si>
    <t>Allaway</t>
  </si>
  <si>
    <t>Edward</t>
  </si>
  <si>
    <t>800 N State College Blvd, Fullerton, CA 92831</t>
  </si>
  <si>
    <t>Fullerton</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</si>
  <si>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</si>
  <si>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</si>
  <si>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</si>
  <si>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</si>
  <si>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</si>
  <si>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55 Weyman Ave, New Rochelle NY, 10805</t>
  </si>
  <si>
    <t>New Rochelle </t>
  </si>
  <si>
    <t>brillant, top quarter of his class</t>
  </si>
  <si>
    <t>neighborhood community</t>
  </si>
  <si>
    <t>4</t>
  </si>
  <si>
    <t>bandoliers</t>
  </si>
  <si>
    <t>Henry</t>
  </si>
  <si>
    <t>Dewitt</t>
  </si>
  <si>
    <t>5711 S. Sixth St., Klamath Falls, OR 97603</t>
  </si>
  <si>
    <t>Klamath Falls</t>
  </si>
  <si>
    <t>OR</t>
  </si>
  <si>
    <t>honor student</t>
  </si>
  <si>
    <t>He had been despondent in the weeks before the shooting after his wife left him, and had attempted suicide. In the week before the shooting, he did not sleep and abused substances.</t>
  </si>
  <si>
    <t>1, 3</t>
  </si>
  <si>
    <t>unspecified</t>
  </si>
  <si>
    <t>8</t>
  </si>
  <si>
    <t>Benoist</t>
  </si>
  <si>
    <t>Emile Pierre</t>
  </si>
  <si>
    <t>Friday</t>
  </si>
  <si>
    <t>210 Mountain Ave, Hackettstown, NJ 07840</t>
  </si>
  <si>
    <t>Hackettstown </t>
  </si>
  <si>
    <t>boxing tournaments</t>
  </si>
  <si>
    <t>4, 5, 8, 9</t>
  </si>
  <si>
    <t>4, 5</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</si>
  <si>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</si>
  <si>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</si>
  <si>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</si>
  <si>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</si>
  <si>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2099 Post Rd, Warwick, RI 02886</t>
  </si>
  <si>
    <t>Warwick</t>
  </si>
  <si>
    <t>RI</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</si>
  <si>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</si>
  <si>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</si>
  <si>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</si>
  <si>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9870 Dyer Street, El Paso, TX 79924</t>
  </si>
  <si>
    <t>El Paso</t>
  </si>
  <si>
    <t>King</t>
  </si>
  <si>
    <t>Alvin</t>
  </si>
  <si>
    <t>202 West W M Watson Blvd Daingerfield, TX 75638</t>
  </si>
  <si>
    <t>Daingerfield</t>
  </si>
  <si>
    <t>PhD</t>
  </si>
  <si>
    <t>former church member, became reclusive</t>
  </si>
  <si>
    <t>1, 2, 8</t>
  </si>
  <si>
    <t>2, 3</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</si>
  <si>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</si>
  <si>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</si>
  <si>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</si>
  <si>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</si>
  <si>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Coraopolis, PA </t>
  </si>
  <si>
    <t>Coraopolis</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</si>
  <si>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</si>
  <si>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</si>
  <si>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</si>
  <si>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</si>
  <si>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Thursday</t>
  </si>
  <si>
    <t>Front St NE, Salem, OR</t>
  </si>
  <si>
    <t>Salem</t>
  </si>
  <si>
    <t>Bevins</t>
  </si>
  <si>
    <t>William</t>
  </si>
  <si>
    <t>Mountain Truck Parts Store, Allen, KY</t>
  </si>
  <si>
    <t>Allen</t>
  </si>
  <si>
    <t>KY</t>
  </si>
  <si>
    <t>arthritis, high blood pressure</t>
  </si>
  <si>
    <t>Meach</t>
  </si>
  <si>
    <t>1600 Lidia Selkregg Ln, Anchorage, AK 99508 (south entrance) and 801 Pine St, Anchorage, AK 99508 (north entrance)</t>
  </si>
  <si>
    <t>Anchorage </t>
  </si>
  <si>
    <t>AK</t>
  </si>
  <si>
    <t>flunking out, but very intelligent</t>
  </si>
  <si>
    <t>friendly with customers, engaged in college classes, joined Alcoholics Anonymous</t>
  </si>
  <si>
    <t>1, 3, 7, 8, 9</t>
  </si>
  <si>
    <t>Thorazine</t>
  </si>
  <si>
    <t>venereal disease</t>
  </si>
  <si>
    <t>Parish</t>
  </si>
  <si>
    <t>John</t>
  </si>
  <si>
    <t>902 Avenue N, Grand Prairie, TX 75050</t>
  </si>
  <si>
    <t>Grand Prairie</t>
  </si>
  <si>
    <t>For the two weeks before the shooting, he had been in a pay dispute with his employers. He had also recently been banned from making deliveries to a certain customer, as they called him a troublemaker. </t>
  </si>
  <si>
    <t>Brown</t>
  </si>
  <si>
    <t>Carl</t>
  </si>
  <si>
    <t>3147 Northwest North River Dr., Miami, FL 33142</t>
  </si>
  <si>
    <t>Miami</t>
  </si>
  <si>
    <t>FL</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</si>
  <si>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</si>
  <si>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</si>
  <si>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1</t>
  </si>
  <si>
    <t>Leacock</t>
  </si>
  <si>
    <t>Alban</t>
  </si>
  <si>
    <t>2175 Broadway, New York, NY 10024</t>
  </si>
  <si>
    <t>Manhattan</t>
  </si>
  <si>
    <t>Hastings</t>
  </si>
  <si>
    <t>Louis</t>
  </si>
  <si>
    <t>Tuesday</t>
  </si>
  <si>
    <t>McCarthy, Alaska</t>
  </si>
  <si>
    <t>McCarthy</t>
  </si>
  <si>
    <t>computer programmer at Stanford, assumed good grades</t>
  </si>
  <si>
    <t>formerly volunteered rescuing birds, became reclusive</t>
  </si>
  <si>
    <t>unspecified "poor health"</t>
  </si>
  <si>
    <t>knife, knife sharpener, police radio scanner, flare gun, wire cutters, silencer</t>
  </si>
  <si>
    <t>Moreno</t>
  </si>
  <si>
    <t>Eliseo</t>
  </si>
  <si>
    <t>College Station, Texas</t>
  </si>
  <si>
    <t>College Station</t>
  </si>
  <si>
    <t>high school dropout</t>
  </si>
  <si>
    <t>He was very upset that his wife had left him, and he abused alcohol. He planned to kill his wife on the night of the shooting. </t>
  </si>
  <si>
    <t>Silka</t>
  </si>
  <si>
    <t>Michael</t>
  </si>
  <si>
    <t>Zitziana River, near Manley Hot Springs, Alaska, U.S.</t>
  </si>
  <si>
    <t>Manley Hot Springs</t>
  </si>
  <si>
    <t>1, 5</t>
  </si>
  <si>
    <t>3, 5</t>
  </si>
  <si>
    <t>Belachheb</t>
  </si>
  <si>
    <t>Abdelkrim</t>
  </si>
  <si>
    <t>intersection of LBJ Freeway and Midway Road, Dallas TX</t>
  </si>
  <si>
    <t>Dallas</t>
  </si>
  <si>
    <t>very poor student</t>
  </si>
  <si>
    <t>3, 4</t>
  </si>
  <si>
    <t>1, 3, 9</t>
  </si>
  <si>
    <t>organic brain disease</t>
  </si>
  <si>
    <t>5</t>
  </si>
  <si>
    <t>Huberty</t>
  </si>
  <si>
    <t>James</t>
  </si>
  <si>
    <t>727 E San Ysidro Blvd, San Ysidro, CA 92073</t>
  </si>
  <si>
    <t>San Ysidro</t>
  </si>
  <si>
    <t>51st out of 77 in high school, failed at least one course</t>
  </si>
  <si>
    <t>He was fired a week before the shooting and called a mental health clinic the day before to request an appointment.</t>
  </si>
  <si>
    <t>polio and spastic paralysis</t>
  </si>
  <si>
    <t>2</t>
  </si>
  <si>
    <t>Crossley</t>
  </si>
  <si>
    <t>Wayne</t>
  </si>
  <si>
    <t>1127 Central Ave, Hot Springs, AR 71901</t>
  </si>
  <si>
    <t>Hot Springs</t>
  </si>
  <si>
    <t>AR</t>
  </si>
  <si>
    <t>His father said he had been "awfully pressed" for the last 2 months. He had been banned from a bar about 2 months before for violence.</t>
  </si>
  <si>
    <t>3rd mass shooting in a bar/restaurant in a month.</t>
  </si>
  <si>
    <t>Hammett</t>
  </si>
  <si>
    <t>Mansel</t>
  </si>
  <si>
    <t>1926 Baldridge Ave; Connellsville, Pennsylvania 15425</t>
  </si>
  <si>
    <t>South Connellsville</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</si>
  <si>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</si>
  <si>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9</t>
  </si>
  <si>
    <t>Sherrill</t>
  </si>
  <si>
    <t>Patrick</t>
  </si>
  <si>
    <t>200 N Broadway, Edmond, OK 73034</t>
  </si>
  <si>
    <t>Edmond</t>
  </si>
  <si>
    <t>OK</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</si>
  <si>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</si>
  <si>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</si>
  <si>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</si>
  <si>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4711 Babcock St NE, Palm Bay, FL 32905</t>
  </si>
  <si>
    <t>Palm Bay</t>
  </si>
  <si>
    <t>master's degree</t>
  </si>
  <si>
    <t>1, 9</t>
  </si>
  <si>
    <t>He had been a reclusive, paranoid, and abusive person for as long as his neighbors could remember. He got very angry at the children of the neighborhood for being near his house and threatened them with his gun. </t>
  </si>
  <si>
    <t>Farley</t>
  </si>
  <si>
    <t>Richard</t>
  </si>
  <si>
    <t>495 East Java Drive, Sunnyvale CA 94089</t>
  </si>
  <si>
    <t>Sunnyvale </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</si>
  <si>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</si>
  <si>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</si>
  <si>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</si>
  <si>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</si>
  <si>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</si>
  <si>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3336 Old Salisbury Rd, Winston-Salem, NC 27127</t>
  </si>
  <si>
    <t>Winston-Salem</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</si>
  <si>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</si>
  <si>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3</t>
  </si>
  <si>
    <t>Henderson</t>
  </si>
  <si>
    <t>Clemmie</t>
  </si>
  <si>
    <t>1310 S Ashland Ave, Chicago, IL 60608</t>
  </si>
  <si>
    <t>Chicago   </t>
  </si>
  <si>
    <t>IL</t>
  </si>
  <si>
    <t>1, 7</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</si>
  <si>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</si>
  <si>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</si>
  <si>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brain damage (causing seizures) from being shot in the head</t>
  </si>
  <si>
    <t>Purdy</t>
  </si>
  <si>
    <t>20 E. Fulton St, Stockton, CA 95204</t>
  </si>
  <si>
    <t>Stockton</t>
  </si>
  <si>
    <t>able to pass classes but unable to retain information, repeated 5th grade, dropped out of school at age 14</t>
  </si>
  <si>
    <t>3, 5, 6, 7, 9</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</si>
  <si>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</si>
  <si>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</si>
  <si>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</si>
  <si>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</si>
  <si>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</si>
  <si>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</si>
  <si>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643 S 6th St Louisville, KY 40202</t>
  </si>
  <si>
    <t>-</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</si>
  <si>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</si>
  <si>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</si>
  <si>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</si>
  <si>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debilitating mental health issues</t>
  </si>
  <si>
    <t>He had a magazine which prominently covered the recent Stockton mass shooting. </t>
  </si>
  <si>
    <t>Pough</t>
  </si>
  <si>
    <t>7870 Baymeadows Way, Jacksonville, FL 32256</t>
  </si>
  <si>
    <t>Jacksonville</t>
  </si>
  <si>
    <t>2, 5, 6</t>
  </si>
  <si>
    <t>He changed three years earlier when his mother died and he said he no longer had anything to live for. His wife got a restraining order and his car was repossessed a few months before the shooting. He became isolated from friends.</t>
  </si>
  <si>
    <t>Harris</t>
  </si>
  <si>
    <t>143 E Ridgewood Ave, Ridgewood, NJ 07450</t>
  </si>
  <si>
    <t>Ridgewood</t>
  </si>
  <si>
    <t>1, 2, 3, 4, 5</t>
  </si>
  <si>
    <t>5, 9</t>
  </si>
  <si>
    <t>He referenced the 1986 post office mass shooting where Patrick Sherrill killed 14 people.</t>
  </si>
  <si>
    <t>bulletproof vest, gas mask, samurai sword, hand grenades, bombs</t>
  </si>
  <si>
    <t>Hennard</t>
  </si>
  <si>
    <t>George</t>
  </si>
  <si>
    <t>1705 E Central Texas Expy, Kileen, TX 76541</t>
  </si>
  <si>
    <t>Killeen</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</si>
  <si>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</si>
  <si>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</si>
  <si>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</si>
  <si>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</si>
  <si>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</si>
  <si>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203 Van Allen Hall Iowa City, Iowa 52242</t>
  </si>
  <si>
    <t>Iowa City </t>
  </si>
  <si>
    <t>IA</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</si>
  <si>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</si>
  <si>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</si>
  <si>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</si>
  <si>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</si>
  <si>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</si>
  <si>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</si>
  <si>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Harrodsburg, KY</t>
  </si>
  <si>
    <t>Harrodsburg</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</si>
  <si>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</si>
  <si>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</si>
  <si>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</si>
  <si>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</si>
  <si>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200 W 2nd St, Royal Oak, MI 48068</t>
  </si>
  <si>
    <t>Royal Oak</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</si>
  <si>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</si>
  <si>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</si>
  <si>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</si>
  <si>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</si>
  <si>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</si>
  <si>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location with most dead - 4139 E McDowell Rd, Phoenix, AZ 85008</t>
  </si>
  <si>
    <t>Phoenix</t>
  </si>
  <si>
    <t>He was upset about a recent breakup with his girlfriend and the death of his stepfather a few years earlier. </t>
  </si>
  <si>
    <t>Houston</t>
  </si>
  <si>
    <t>4446 Olive Ave, Olivehurst, CA 95961</t>
  </si>
  <si>
    <t>Olivehurst</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</si>
  <si>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</si>
  <si>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</si>
  <si>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</si>
  <si>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</si>
  <si>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</si>
  <si>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</si>
  <si>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</si>
  <si>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105 9th St #3, Watkins Glen, NY 14891</t>
  </si>
  <si>
    <t>Watkins Glen</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</si>
  <si>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</si>
  <si>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</si>
  <si>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</si>
  <si>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1144 Black Oak Dr, Paso Robles, CA 93446</t>
  </si>
  <si>
    <t>Morro Bay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</si>
  <si>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</si>
  <si>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</si>
  <si>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</si>
  <si>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</si>
  <si>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</si>
  <si>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101 California Street, San Francisco, CA 94111</t>
  </si>
  <si>
    <t>San Francisco</t>
  </si>
  <si>
    <t>He was bankrupt with liens on his property. Acquaintances noted that he was strange and secretive. A note found after his death revealed paranoia of a conspiracy targeting him. </t>
  </si>
  <si>
    <t>ear protection</t>
  </si>
  <si>
    <t>French</t>
  </si>
  <si>
    <t>Kenneth</t>
  </si>
  <si>
    <t>528 N McPherson Church Rd, Fayetteville, NC 28303</t>
  </si>
  <si>
    <t>Fayetteville</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</si>
  <si>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</si>
  <si>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</si>
  <si>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</si>
  <si>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850 Arnele Ave El Cajon, CA 92020</t>
  </si>
  <si>
    <t>El Cajon</t>
  </si>
  <si>
    <t>dean's list</t>
  </si>
  <si>
    <t>He had been depressed recently after learning he would need surgery on a knee injury. He was known for not talking to anyone when he was working out in the health club and seemed angry to observers.</t>
  </si>
  <si>
    <t>knee injury</t>
  </si>
  <si>
    <t>7</t>
  </si>
  <si>
    <t>Winterbourne</t>
  </si>
  <si>
    <t>Alan</t>
  </si>
  <si>
    <t>4839 Market St., Oxnard, CA 93003</t>
  </si>
  <si>
    <t>Oxnard</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</si>
  <si>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</si>
  <si>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</si>
  <si>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</si>
  <si>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</si>
  <si>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</si>
  <si>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Nassau Boulevard and Merillon Ave Garden City Park, NY 11040</t>
  </si>
  <si>
    <t>Nassau County</t>
  </si>
  <si>
    <t>3, 5, 6</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</si>
  <si>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</si>
  <si>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</si>
  <si>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</si>
  <si>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</si>
  <si>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12293 East Iliff Avenue, Aurora, CO 80014</t>
  </si>
  <si>
    <t>Aurora</t>
  </si>
  <si>
    <t>CO</t>
  </si>
  <si>
    <t>not notable</t>
  </si>
  <si>
    <t>5, 7</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</si>
  <si>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</si>
  <si>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</si>
  <si>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</si>
  <si>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701 Hospital Loop, Fairchild AFB, WA 99011</t>
  </si>
  <si>
    <t>Spokane </t>
  </si>
  <si>
    <t>WA</t>
  </si>
  <si>
    <t>B and C student</t>
  </si>
  <si>
    <t>He was forcibly discharged from the Air Force less than a month earlier due to recurring bizarre behavior. He was diagnosed as obsessive and paranoid. His obsessions interfered with his work. </t>
  </si>
  <si>
    <t>Rodriguez</t>
  </si>
  <si>
    <t>Puppy Creek Family Fun Center,  Zodiac Club</t>
  </si>
  <si>
    <t>Raeford, Hoke County, NC</t>
  </si>
  <si>
    <t>Simpson</t>
  </si>
  <si>
    <t>2535 Rand Morgan Rd; Corpus Christi, TX 78410</t>
  </si>
  <si>
    <t>Corpus Christi</t>
  </si>
  <si>
    <t>studious, nearly completed an engineering degree</t>
  </si>
  <si>
    <t>Woods</t>
  </si>
  <si>
    <t>Willie</t>
  </si>
  <si>
    <t>555 Ramirez St. Los Angeles, CA 90012</t>
  </si>
  <si>
    <t>Los Angeles</t>
  </si>
  <si>
    <t>He had been upset about a recent performance evaluation at work which he felt was unfair. He was afraid he would be fired and thought that he was being picked on by his supervisors.</t>
  </si>
  <si>
    <t>Vernon</t>
  </si>
  <si>
    <t>2186 White Plains Rd, Bronx, NY 10462</t>
  </si>
  <si>
    <t>Bronx</t>
  </si>
  <si>
    <t>therapy group</t>
  </si>
  <si>
    <t>1, 7, 9</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</si>
  <si>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</si>
  <si>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</si>
  <si>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matches, lighter fluid</t>
  </si>
  <si>
    <t>McCree</t>
  </si>
  <si>
    <t>Clifton</t>
  </si>
  <si>
    <t>Just across the Las Olas Boulevard Bridge, Fort Lauderdale, FL 333301</t>
  </si>
  <si>
    <t>Fort Lauerdale </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</si>
  <si>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</si>
  <si>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</si>
  <si>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555 S West St Jackson, MS 39201</t>
  </si>
  <si>
    <t>Jackson</t>
  </si>
  <si>
    <t>MS</t>
  </si>
  <si>
    <t>Drega</t>
  </si>
  <si>
    <t>64 Trooper Leslie G Lord Mem Hwy, Colebrook, NH 03576</t>
  </si>
  <si>
    <t>Colebrook</t>
  </si>
  <si>
    <t>NH</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</si>
  <si>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</si>
  <si>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</si>
  <si>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</si>
  <si>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</si>
  <si>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2063 University PKWY, Aiken, SC 29801</t>
  </si>
  <si>
    <t>Aiken </t>
  </si>
  <si>
    <t>SC</t>
  </si>
  <si>
    <t>A few weeks before the shooting, he was fired after a confrontation with his supervisor. He felt like he was a victim of racism and returned to kill the supervisor who fired him as well as people who had gotten jobs he wanted.</t>
  </si>
  <si>
    <t>Serrano</t>
  </si>
  <si>
    <t>Nelson</t>
  </si>
  <si>
    <t>1520 Centennial Blvd, Bartow, FL 33830</t>
  </si>
  <si>
    <t>Bartow</t>
  </si>
  <si>
    <t>He was angry about being forced out of his business by his partners a few months before the shooting, and particularly disliked one of the partners. He told someone he felt like killing that business partner.</t>
  </si>
  <si>
    <t>Torres</t>
  </si>
  <si>
    <t>Arturo</t>
  </si>
  <si>
    <t>1808 N Bativa St, Orange, CA 92865</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</si>
  <si>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</si>
  <si>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</si>
  <si>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</si>
  <si>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</si>
  <si>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</si>
  <si>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</si>
  <si>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777 Brook St, Rocky Hill, CT 06067</t>
  </si>
  <si>
    <t>Newington</t>
  </si>
  <si>
    <t>CT</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</si>
  <si>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</si>
  <si>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</si>
  <si>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</si>
  <si>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stress-related medical leave</t>
  </si>
  <si>
    <t>knife</t>
  </si>
  <si>
    <t>Golden</t>
  </si>
  <si>
    <t>Andrew</t>
  </si>
  <si>
    <t>1800 AR-91, Jonesboro, AR 72404</t>
  </si>
  <si>
    <t>Jonesboro </t>
  </si>
  <si>
    <t>did just enough to get by</t>
  </si>
  <si>
    <t>band</t>
  </si>
  <si>
    <t>6</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</si>
  <si>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</si>
  <si>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</si>
  <si>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</si>
  <si>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</si>
  <si>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</si>
  <si>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</si>
  <si>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</si>
  <si>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killings.picked up a pose from the Oliver Stone movie ''Natural Born Killers,'' telling a friend it would be ''pretty cool'' to go on a killing spree just like the two lead characters in the film.</t>
  </si>
  <si>
    <t>Kinkel</t>
  </si>
  <si>
    <t>Kip</t>
  </si>
  <si>
    <t>333 58th St, Springfield, OR 97478</t>
  </si>
  <si>
    <t>Springfield</t>
  </si>
  <si>
    <t>maintained adequate grades</t>
  </si>
  <si>
    <t>3, 5, 9</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</si>
  <si>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</si>
  <si>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This was the 4th American school shooting in the 1997-1998 school year.</t>
  </si>
  <si>
    <t>Shon</t>
  </si>
  <si>
    <t>1615 N Tobey Ave, Gonzalez, LA 70737</t>
  </si>
  <si>
    <t>Gonzales</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</si>
  <si>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</si>
  <si>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</si>
  <si>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Klebold</t>
  </si>
  <si>
    <t>Dylan</t>
  </si>
  <si>
    <t>6201 S Pierce St, Littleton, CO 80123</t>
  </si>
  <si>
    <t>Columbine</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</si>
  <si>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</si>
  <si>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</si>
  <si>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</si>
  <si>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</si>
  <si>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</si>
  <si>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</si>
  <si>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</si>
  <si>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</si>
  <si>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</si>
  <si>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</si>
  <si>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</si>
  <si>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</si>
  <si>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</si>
  <si>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1300 E Flamingo Rd, Las Vegas, NV 89119</t>
  </si>
  <si>
    <t>Las Vegas</t>
  </si>
  <si>
    <t>NV</t>
  </si>
  <si>
    <t>had difficulties in school </t>
  </si>
  <si>
    <t>helpful in neighborhood</t>
  </si>
  <si>
    <t>2, 6</t>
  </si>
  <si>
    <t>On the day of the shooting, he seemed agitated and a little bit more sarcastic to his former boss. He had been fired a few weeks earlier after missing shifts and "acting differently."</t>
  </si>
  <si>
    <t>Ritalin</t>
  </si>
  <si>
    <t>Barton</t>
  </si>
  <si>
    <t>3500 Piedmont Road NE Atlanta, GA 30305</t>
  </si>
  <si>
    <t>Atlanta</t>
  </si>
  <si>
    <t>GA</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</si>
  <si>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</si>
  <si>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</si>
  <si>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</si>
  <si>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</si>
  <si>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</si>
  <si>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5522 Whitman Ave, Fort Worth, TX 76133</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</si>
  <si>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</si>
  <si>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</si>
  <si>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</si>
  <si>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</si>
  <si>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</si>
  <si>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</si>
  <si>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700 Bishop St #1200, Honolulu, HI 96813</t>
  </si>
  <si>
    <t>Honolulu</t>
  </si>
  <si>
    <t>HI</t>
  </si>
  <si>
    <t>8, 9</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</si>
  <si>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</si>
  <si>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brain injury</t>
  </si>
  <si>
    <t>Izquierdo-Leyva</t>
  </si>
  <si>
    <t>Silvio</t>
  </si>
  <si>
    <t>7700 Courtney Campbell Causeway Tampa, FL 33607</t>
  </si>
  <si>
    <t>Tampa</t>
  </si>
  <si>
    <t>3311 N Belt Line Rd, Irving, TX 75062</t>
  </si>
  <si>
    <t>Irving</t>
  </si>
  <si>
    <t>mostly good grades, got a GED at 18</t>
  </si>
  <si>
    <t>1, 6, 7</t>
  </si>
  <si>
    <t>Baumhammers</t>
  </si>
  <si>
    <t>1980 Park Manor Blvd, Pittsburgh, PA 15205</t>
  </si>
  <si>
    <t>Mount Lebanon</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</si>
  <si>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</si>
  <si>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</si>
  <si>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</si>
  <si>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</si>
  <si>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</si>
  <si>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200 Harvard Mill Sq #210 Wakefield, MA 01880</t>
  </si>
  <si>
    <t>Wakefield</t>
  </si>
  <si>
    <t>MA</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</si>
  <si>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</si>
  <si>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</si>
  <si>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</si>
  <si>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hyperactive thyroid, high blood pressure</t>
  </si>
  <si>
    <t>explosives at home</t>
  </si>
  <si>
    <t>Park</t>
  </si>
  <si>
    <t>Ki Yung</t>
  </si>
  <si>
    <t>9889 Harwin Dr # 301, Houston, TX 77036</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</si>
  <si>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</si>
  <si>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</si>
  <si>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2701 Navistar Dr. Lisle, IL 60532</t>
  </si>
  <si>
    <t>Melrose Park</t>
  </si>
  <si>
    <t>1, 6</t>
  </si>
  <si>
    <t>Stagner</t>
  </si>
  <si>
    <t>Steven</t>
  </si>
  <si>
    <t>1320 Rail Ave, Rifle, CO 81650</t>
  </si>
  <si>
    <t>Rifle</t>
  </si>
  <si>
    <t>5, 6</t>
  </si>
  <si>
    <t>1, 7, 8, 9</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</si>
  <si>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</si>
  <si>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2710 Ramp Way, Sacramento, CA 95818</t>
  </si>
  <si>
    <t>Sacramento</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</si>
  <si>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</si>
  <si>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</si>
  <si>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</si>
  <si>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</si>
  <si>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2323 Foundation Dr South Bend, IN 46628</t>
  </si>
  <si>
    <t>South Bend</t>
  </si>
  <si>
    <t>IN</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</si>
  <si>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</si>
  <si>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</si>
  <si>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</si>
  <si>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2709 Governors Dr SW, Huntsville, AL 35805</t>
  </si>
  <si>
    <t>Huntsville</t>
  </si>
  <si>
    <t>AL</t>
  </si>
  <si>
    <t>He was described as “very unstable” and a “strange guy.” He had been committed several years before. Immediately before the shooting, he got into an argument over $20 and a CD player. He was unemployed and seeking a job.</t>
  </si>
  <si>
    <t>Williams</t>
  </si>
  <si>
    <t>Doug</t>
  </si>
  <si>
    <t>5017 Lockheed Dr, Meridian, MS 39301</t>
  </si>
  <si>
    <t>Meridian </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</si>
  <si>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</si>
  <si>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</si>
  <si>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</si>
  <si>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</si>
  <si>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</si>
  <si>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3918 S Wallace St, Chicago, IL 60609</t>
  </si>
  <si>
    <t>Chicago</t>
  </si>
  <si>
    <t>1, 5, 8</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</si>
  <si>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</si>
  <si>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</si>
  <si>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</si>
  <si>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313 N State Ave, Oldtown, ID 83822</t>
  </si>
  <si>
    <t>Oldtown</t>
  </si>
  <si>
    <t>ID</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</si>
  <si>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</si>
  <si>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</si>
  <si>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</si>
  <si>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4612 Speaker Rd, Kansas City, KS 66106</t>
  </si>
  <si>
    <t>Kansas City </t>
  </si>
  <si>
    <t>KS</t>
  </si>
  <si>
    <t>good student</t>
  </si>
  <si>
    <t>construction school</t>
  </si>
  <si>
    <t>Vang</t>
  </si>
  <si>
    <t>Chai</t>
  </si>
  <si>
    <t>Birchwood, Sawyer County, WI</t>
  </si>
  <si>
    <t>Birchwood</t>
  </si>
  <si>
    <t>WI</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</si>
  <si>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</si>
  <si>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</si>
  <si>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</si>
  <si>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</si>
  <si>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5055 Sinclair Rd, Columbus, OH 43229</t>
  </si>
  <si>
    <t>Columbus</t>
  </si>
  <si>
    <t>OH</t>
  </si>
  <si>
    <t>special education plan, missed 33 days of 10th grade</t>
  </si>
  <si>
    <t>played football, frequent customer at a restaurant and talked to staff, talked to tattoo parlor employees</t>
  </si>
  <si>
    <t>1, 3, 4, 9</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</si>
  <si>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</si>
  <si>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</si>
  <si>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</si>
  <si>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</si>
  <si>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136 Pryor St SW, Atlanta, GA 30303</t>
  </si>
  <si>
    <t>some college</t>
  </si>
  <si>
    <t>1, 2, 5</t>
  </si>
  <si>
    <t>Ratzmann</t>
  </si>
  <si>
    <t>Terry</t>
  </si>
  <si>
    <t>375 S Moorland Rd, Brookfield, WI 53005</t>
  </si>
  <si>
    <t>Brookfield</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</si>
  <si>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</si>
  <si>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</si>
  <si>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</si>
  <si>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</si>
  <si>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</si>
  <si>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23990 MN-1, Red Lake, MN 56671</t>
  </si>
  <si>
    <t>Red Lake</t>
  </si>
  <si>
    <t>MN</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</si>
  <si>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</si>
  <si>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</si>
  <si>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</si>
  <si>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</si>
  <si>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</si>
  <si>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</si>
  <si>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11330 FM100, Honey Grove, TX 75446</t>
  </si>
  <si>
    <t>Sash </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</si>
  <si>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</si>
  <si>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</si>
  <si>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</si>
  <si>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</si>
  <si>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400 Storke Rd, Goleta, CA 93199</t>
  </si>
  <si>
    <t>Goleta</t>
  </si>
  <si>
    <t>A few years before the shooting, she was given early retirement due to her psychosis. She talked to imaginary people, took her clothes off in public, had bizarre business ideas, and had to be carried out of the post office by police officers once.</t>
  </si>
  <si>
    <t>Huff</t>
  </si>
  <si>
    <t>Kyle</t>
  </si>
  <si>
    <t>2112 East Republican Street, Seattle, WA 98112</t>
  </si>
  <si>
    <t>Seattle</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</si>
  <si>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</si>
  <si>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</si>
  <si>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</si>
  <si>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</si>
  <si>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</si>
  <si>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B, 1935 Dallas Dr ste b, Baton Rouge, LA 70806</t>
  </si>
  <si>
    <t>Baton Rouge</t>
  </si>
  <si>
    <t>poor study habits, below grade level</t>
  </si>
  <si>
    <t>7, 9</t>
  </si>
  <si>
    <t>He had been abusive to his romantic partners for decades. His wife had just left him.</t>
  </si>
  <si>
    <t>Roberts</t>
  </si>
  <si>
    <t>4876 White Oak Rd, Paradise, PA 17562</t>
  </si>
  <si>
    <t>Bart Township</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</si>
  <si>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</si>
  <si>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</si>
  <si>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</si>
  <si>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</si>
  <si>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</si>
  <si>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602 South 700 East Salt Lake City, UT, 84102</t>
  </si>
  <si>
    <t>Salt Lake City</t>
  </si>
  <si>
    <t>UT</t>
  </si>
  <si>
    <t>did less than half his schoolwork, dropped out to get a GED</t>
  </si>
  <si>
    <t>mosque</t>
  </si>
  <si>
    <t>Cho</t>
  </si>
  <si>
    <t>Seung-Hui</t>
  </si>
  <si>
    <t>494 Old Turner St, Blacksburg, VA</t>
  </si>
  <si>
    <t>Blacksburg</t>
  </si>
  <si>
    <t>VA</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</si>
  <si>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</si>
  <si>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</si>
  <si>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</si>
  <si>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</si>
  <si>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</si>
  <si>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</si>
  <si>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</si>
  <si>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</si>
  <si>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1000 California St, Omaha, NE 68114</t>
  </si>
  <si>
    <t>Omaha</t>
  </si>
  <si>
    <t>NE</t>
  </si>
  <si>
    <t>1, 5, 7, 9</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</si>
  <si>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</si>
  <si>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</si>
  <si>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This was the 2nd mass shooting at a mall in 2007.</t>
  </si>
  <si>
    <t>Murray</t>
  </si>
  <si>
    <t>12750 W 63rd Ave, Arvada, CO 80004</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</si>
  <si>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</si>
  <si>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</si>
  <si>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</si>
  <si>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</si>
  <si>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</si>
  <si>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</si>
  <si>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139 S Kirkwood Rd, Kirkwood, MO 63122</t>
  </si>
  <si>
    <t>Kirkwood</t>
  </si>
  <si>
    <t>MO</t>
  </si>
  <si>
    <t>S</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</si>
  <si>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</si>
  <si>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</si>
  <si>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</si>
  <si>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</si>
  <si>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Cole Hall, DeKalb, IL 60115</t>
  </si>
  <si>
    <t>DeKalb </t>
  </si>
  <si>
    <t>award-winning student</t>
  </si>
  <si>
    <t>formerly very involved in NIU campus community</t>
  </si>
  <si>
    <t>4, 9</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</si>
  <si>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</si>
  <si>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</si>
  <si>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He loved the Saw movies and got a tattoo of the villain on his arm and dressed up as him for Halloween.</t>
  </si>
  <si>
    <t>holsters</t>
  </si>
  <si>
    <t>Leeds</t>
  </si>
  <si>
    <t>Lee</t>
  </si>
  <si>
    <t>1500 Black Road, Santa Maria, CA 93458</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</si>
  <si>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</si>
  <si>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</si>
  <si>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</si>
  <si>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</si>
  <si>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</si>
  <si>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</si>
  <si>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</si>
  <si>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390 Community Dr Henderson, KY 42420</t>
  </si>
  <si>
    <t>7, 8</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</si>
  <si>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</si>
  <si>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</si>
  <si>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</si>
  <si>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19300 block of Bridle Place, Alger, WA 98284</t>
  </si>
  <si>
    <t>Alger</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</si>
  <si>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</si>
  <si>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</si>
  <si>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801 Pinehurst Ave, Carthage, NC 28327</t>
  </si>
  <si>
    <t>Carthage</t>
  </si>
  <si>
    <t>His wife left him a few weeks before the shooting. She noted that he was in an unstable mental state after she left and she believed he would try to kill her. He had threatened her with a gun a week before the shooting. </t>
  </si>
  <si>
    <t>Lexapro, Xanax, Ambien</t>
  </si>
  <si>
    <t>breathing problems, leg injury</t>
  </si>
  <si>
    <t>Wong</t>
  </si>
  <si>
    <t>Jiverly</t>
  </si>
  <si>
    <t>131 Front St, Binghampton, NY 13905</t>
  </si>
  <si>
    <t>Binghamton</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</si>
  <si>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</si>
  <si>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</si>
  <si>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</si>
  <si>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</si>
  <si>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</si>
  <si>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729 Worth St, Mt Airy, NC 27030</t>
  </si>
  <si>
    <t>Mt. Airy</t>
  </si>
  <si>
    <t>Hasan</t>
  </si>
  <si>
    <t>Nidal</t>
  </si>
  <si>
    <t>Building #121 761st Tank Battalion Ave, Killeen, TX 76544</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</si>
  <si>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</si>
  <si>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</si>
  <si>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</si>
  <si>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</si>
  <si>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</si>
  <si>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</si>
  <si>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11401 Steele St. S., Tacoma, WA 98444</t>
  </si>
  <si>
    <t>Parkland</t>
  </si>
  <si>
    <t>expelled at 16 for bringing a gun to school</t>
  </si>
  <si>
    <t>2, 3, 5</t>
  </si>
  <si>
    <t>1, 5, 9</t>
  </si>
  <si>
    <t>1, 3, 5</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</si>
  <si>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</si>
  <si>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</si>
  <si>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</si>
  <si>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</si>
  <si>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</si>
  <si>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11651 Riverside Dr, North Hollywood, CA 91602</t>
  </si>
  <si>
    <t>Regalado</t>
  </si>
  <si>
    <t>Gerardo</t>
  </si>
  <si>
    <t>495 E. 49th Street, Hialeah, FL 33013</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</si>
  <si>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</si>
  <si>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</si>
  <si>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</si>
  <si>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131 Chapel Road Manchester, CT 06042</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</si>
  <si>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</si>
  <si>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</si>
  <si>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</si>
  <si>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</si>
  <si>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</si>
  <si>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268 Main St, Buffalo, NY 14202</t>
  </si>
  <si>
    <t>Buffalo </t>
  </si>
  <si>
    <t>highschool dropout</t>
  </si>
  <si>
    <t>Neace</t>
  </si>
  <si>
    <t>Stanley</t>
  </si>
  <si>
    <t>2401 Quicksand Rd #11, Jackson, KY 41339</t>
  </si>
  <si>
    <t>He had become more hostile to neighbors in recent months and was going to be evicted. </t>
  </si>
  <si>
    <t>on disability</t>
  </si>
  <si>
    <t>Loughner</t>
  </si>
  <si>
    <t>Jared</t>
  </si>
  <si>
    <t>7100 N Oracle Road, Tucson, AZ 85704</t>
  </si>
  <si>
    <t>Tucson </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</si>
  <si>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</si>
  <si>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</si>
  <si>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</si>
  <si>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</si>
  <si>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804 Minota Ave Akron, OH 44306-3420</t>
  </si>
  <si>
    <t>Copley Township</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</si>
  <si>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</si>
  <si>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</si>
  <si>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</si>
  <si>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</si>
  <si>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3883 S Carson St, Carson City, NV 89701</t>
  </si>
  <si>
    <t>Carson City</t>
  </si>
  <si>
    <t>He feared that demons were after him. He talked to a priest about it and said that the voices were telling him to do bad things. </t>
  </si>
  <si>
    <t>Dekraai</t>
  </si>
  <si>
    <t>Scott</t>
  </si>
  <si>
    <t>500 Pacific Coast Highway #100, Seal Beach, CA 90740</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</si>
  <si>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</si>
  <si>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</si>
  <si>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</si>
  <si>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</si>
  <si>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</si>
  <si>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</si>
  <si>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</si>
  <si>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7900 Oakport St, Oakland, CA</t>
  </si>
  <si>
    <t>Oakland</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</si>
  <si>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</si>
  <si>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</si>
  <si>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</si>
  <si>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5828 Roosevelt Way NE, Seattle, WA 98105</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</si>
  <si>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</si>
  <si>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</si>
  <si>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</si>
  <si>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</si>
  <si>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</si>
  <si>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</si>
  <si>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14300 E Alameda Ave, Aurora, CO 80012</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</si>
  <si>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</si>
  <si>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</si>
  <si>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</si>
  <si>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</si>
  <si>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</si>
  <si>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</si>
  <si>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</si>
  <si>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</si>
  <si>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</si>
  <si>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7512 South Howell Ave, Oak Creek, WI 53154</t>
  </si>
  <si>
    <t>Oak Creek</t>
  </si>
  <si>
    <t>white power music groups</t>
  </si>
  <si>
    <t>Engeldinger</t>
  </si>
  <si>
    <t>2322 W Chestnut Ave, Minneapolis, MN 55405</t>
  </si>
  <si>
    <t>Minneapolis </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</si>
  <si>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</si>
  <si>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</si>
  <si>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Lanza</t>
  </si>
  <si>
    <t>Adam</t>
  </si>
  <si>
    <t>12 Dickenson Dr, Sandy Hook, CT 06482</t>
  </si>
  <si>
    <t>Newtown</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</si>
  <si>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</si>
  <si>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</si>
  <si>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</si>
  <si>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</si>
  <si>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</si>
  <si>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17 S Main St, Herkimer, NY 13350</t>
  </si>
  <si>
    <t>Herkimer</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</si>
  <si>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</si>
  <si>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</si>
  <si>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</si>
  <si>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33311 18th Ln S, Federal Way, WA 98003</t>
  </si>
  <si>
    <t>Federal Way </t>
  </si>
  <si>
    <t>As a teenager, he shot his ex-girlfriend with a BB gun. He had anger issues for years and had been abusive to his partners. </t>
  </si>
  <si>
    <t>Zawahri</t>
  </si>
  <si>
    <t>1900 Pico Blvd, Santa Monica, CA</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</si>
  <si>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</si>
  <si>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</si>
  <si>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</si>
  <si>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</si>
  <si>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</si>
  <si>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</si>
  <si>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1485 W. 46th St., Hialeah, FL 33012</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</si>
  <si>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</si>
  <si>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</si>
  <si>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</si>
  <si>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</si>
  <si>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</si>
  <si>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</si>
  <si>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601 M Street SE, Washington, DC 20003</t>
  </si>
  <si>
    <t>Washington D.C.</t>
  </si>
  <si>
    <t>DC</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</si>
  <si>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</si>
  <si>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</si>
  <si>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</si>
  <si>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</si>
  <si>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Rhoades</t>
  </si>
  <si>
    <t>Cherie Lash</t>
  </si>
  <si>
    <t>300 W 1st St, Alturas, CA 96101</t>
  </si>
  <si>
    <t>Alturas</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</si>
  <si>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</si>
  <si>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</si>
  <si>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</si>
  <si>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</si>
  <si>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839 Embarcadero del Norte, Isla Vista, CA 93117</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</si>
  <si>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</si>
  <si>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</si>
  <si>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</si>
  <si>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</si>
  <si>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</si>
  <si>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</si>
  <si>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</si>
  <si>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5611 108th St NE, Marysville, WA 98271</t>
  </si>
  <si>
    <t>Marysville </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</si>
  <si>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</si>
  <si>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</si>
  <si>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</si>
  <si>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</si>
  <si>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</si>
  <si>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</si>
  <si>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110 Calhoun St, Charleston, SC 29401</t>
  </si>
  <si>
    <t>Charleston </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</si>
  <si>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</si>
  <si>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</si>
  <si>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</si>
  <si>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5, 5</t>
  </si>
  <si>
    <t>Abdulazeez</t>
  </si>
  <si>
    <t>Mohammad</t>
  </si>
  <si>
    <t>4051 Amnicola Hwy, Chattanooga, TN 37406</t>
  </si>
  <si>
    <t>Chattanooga</t>
  </si>
  <si>
    <t>TN</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</si>
  <si>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</si>
  <si>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</si>
  <si>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</si>
  <si>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</si>
  <si>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</si>
  <si>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</si>
  <si>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1139 Umpqua College Rd Roseburg, OR 97470</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</si>
  <si>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</si>
  <si>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</si>
  <si>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</si>
  <si>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</si>
  <si>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</si>
  <si>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Tennesse Colony, Anderson County, TX</t>
  </si>
  <si>
    <t>Tennessee Colony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</si>
  <si>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</si>
  <si>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</si>
  <si>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</si>
  <si>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1365 S Waterman Ave, San Bernardino, CA 92408</t>
  </si>
  <si>
    <t>San Bernardino</t>
  </si>
  <si>
    <t>grad school</t>
  </si>
  <si>
    <t>body armor, bombs</t>
  </si>
  <si>
    <t>Malik</t>
  </si>
  <si>
    <t>Tashfeen</t>
  </si>
  <si>
    <t>top grades</t>
  </si>
  <si>
    <t>Dalton</t>
  </si>
  <si>
    <t>Jason</t>
  </si>
  <si>
    <t>5581 Cracker Barrel Blvd, Kalamazoo, MI 49009</t>
  </si>
  <si>
    <t>Kalamazoo</t>
  </si>
  <si>
    <t>average student</t>
  </si>
  <si>
    <t>His wife noticed that he had been depressed in the days leading up to the shooting.</t>
  </si>
  <si>
    <t>145, 146</t>
  </si>
  <si>
    <t>1304 Franklin Ave, Wilkinsburg, PA 15221</t>
  </si>
  <si>
    <t>Wilkinsburg</t>
  </si>
  <si>
    <t>Mateen</t>
  </si>
  <si>
    <t>1912 South Orange Ave, Orlando, FL 32806</t>
  </si>
  <si>
    <t>Orlando </t>
  </si>
  <si>
    <t>top half of class, though formerly a very poor student</t>
  </si>
  <si>
    <t>He spent thousands of dollars in the weeks leading up to the shooting, became angry at his wife, and left the house carrying a bag of guns two days before the shooting.</t>
  </si>
  <si>
    <t>Micah</t>
  </si>
  <si>
    <t>801 Main St, Dallas, TX 75202</t>
  </si>
  <si>
    <t>1.98 GPA</t>
  </si>
  <si>
    <t>attended protests and events, went to self-defense classes</t>
  </si>
  <si>
    <t>5, 6, 7</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</si>
  <si>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</si>
  <si>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</si>
  <si>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</si>
  <si>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</si>
  <si>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</si>
  <si>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201 Cascade Mall Dr., Burlington, WA 98233</t>
  </si>
  <si>
    <t>Burlington</t>
  </si>
  <si>
    <t>1, 6, 8</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</si>
  <si>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</si>
  <si>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</si>
  <si>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injury at birth, kidney failure</t>
  </si>
  <si>
    <t>Initially tried to emulate James Holmes by shooting at a movie theater.</t>
  </si>
  <si>
    <t>Santiago</t>
  </si>
  <si>
    <t>Esteban</t>
  </si>
  <si>
    <t>100 Terminal Dr, Fort Lauderdale, FL 33315</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</si>
  <si>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</si>
  <si>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</si>
  <si>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</si>
  <si>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</si>
  <si>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303 11th St, Yazoo City, MS 39194</t>
  </si>
  <si>
    <t>Yazoo City</t>
  </si>
  <si>
    <t>In 2016 he killed Justin Porter at a nightclub. In 2017 Porter's father shot two men he believed to be connected to his son's death.</t>
  </si>
  <si>
    <t>Nengmy</t>
  </si>
  <si>
    <t>1133 East Grand Ave, Rothschild, WI 54474</t>
  </si>
  <si>
    <t>Rothschild</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</si>
  <si>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</si>
  <si>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</si>
  <si>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</si>
  <si>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2427 Forsyth Rd # A, Orlando, FL 32807</t>
  </si>
  <si>
    <t>1, 8, 9</t>
  </si>
  <si>
    <t>His neighbor reported that he was stressed after being fired a few months before the shooting and blamed himself for the termination. He was broke and rent was due soon.</t>
  </si>
  <si>
    <t>Paddock</t>
  </si>
  <si>
    <t>Stephen</t>
  </si>
  <si>
    <t>3950 S Las Vegas Blvd, Las Vegas, NV 89119</t>
  </si>
  <si>
    <t>Las Vegas </t>
  </si>
  <si>
    <t>2.97 GPA</t>
  </si>
  <si>
    <t>He had lost a significant amount of money gambling in the two years before the shooting. In the months before the shooting, he seemed slightly depressed. His girlfriend thought he was going to break up with her. </t>
  </si>
  <si>
    <t>Valium</t>
  </si>
  <si>
    <t>significant allergies, arm injury, high blood pressure</t>
  </si>
  <si>
    <t>scopes, bump stocks, cameras, rifle supports</t>
  </si>
  <si>
    <t>Kelley</t>
  </si>
  <si>
    <t>Devin Patrick</t>
  </si>
  <si>
    <t>216 4th St, Sutherland Springs, TX 78161</t>
  </si>
  <si>
    <t>Sutherland Springs</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</si>
  <si>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</si>
  <si>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</si>
  <si>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</si>
  <si>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chronic head and neck pain from a motorcycle accident</t>
  </si>
  <si>
    <t>tactical gear, bulletproof vest</t>
  </si>
  <si>
    <t>Neal</t>
  </si>
  <si>
    <t>Kevin Janson</t>
  </si>
  <si>
    <t>17357 Stagecoach Rd, Corning, CA 96021</t>
  </si>
  <si>
    <t>Rancho Tehama Reserve</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</si>
  <si>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</si>
  <si>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</si>
  <si>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</si>
  <si>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</si>
  <si>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Ed's Car Wash, 1334 Indian Creek Valley Road, Melcroft, PA 15462</t>
  </si>
  <si>
    <t>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</si>
  <si>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</si>
  <si>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</si>
  <si>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</si>
  <si>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</si>
  <si>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5901 Pine Island Rd, Parkland, FL 33076</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</si>
  <si>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</si>
  <si>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</si>
  <si>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</si>
  <si>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</si>
  <si>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smoke grenades, gas mask</t>
  </si>
  <si>
    <t>Davis</t>
  </si>
  <si>
    <t>8940 Fenkell Ave, Detroit, MI 48238</t>
  </si>
  <si>
    <t>Detroit</t>
  </si>
  <si>
    <t>He had told friends that he was going to kill people who were out to get him. </t>
  </si>
  <si>
    <t>Reinking</t>
  </si>
  <si>
    <t>Travis</t>
  </si>
  <si>
    <t>3571 Murfreesboro Pike, Antioch, TN 95717</t>
  </si>
  <si>
    <t>Nashville </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</si>
  <si>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</si>
  <si>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</si>
  <si>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</si>
  <si>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16000 Hwy 6, Santa Fe, TX 77517</t>
  </si>
  <si>
    <t>Santa Fe</t>
  </si>
  <si>
    <t>All A's</t>
  </si>
  <si>
    <t>football team, church dance troupe</t>
  </si>
  <si>
    <t>Wore a shirt with the phrase "Born to Kill" on it, referencing the movie Full Metal Jacket.</t>
  </si>
  <si>
    <t>bombs</t>
  </si>
  <si>
    <t>Ramos</t>
  </si>
  <si>
    <t>Jarrod</t>
  </si>
  <si>
    <t>888 Bestgate Rd Annapolis, MD 21401</t>
  </si>
  <si>
    <t>Annapolis</t>
  </si>
  <si>
    <t>MD</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</si>
  <si>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</si>
  <si>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</si>
  <si>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</si>
  <si>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</si>
  <si>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</si>
  <si>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</si>
  <si>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660 Manwell Blvd, Bakersfield, CA 93307</t>
  </si>
  <si>
    <t>Bakersfield</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</si>
  <si>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</si>
  <si>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</si>
  <si>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5898 Wilkins Ave, Pittsburgh, PA 15217</t>
  </si>
  <si>
    <t>Pittsburgh</t>
  </si>
  <si>
    <t>In the years before the shooting, he had little to no social interactions and spent increasing amounts of time engrossed in anti-semitic rhetoric and threats online.</t>
  </si>
  <si>
    <t>Long</t>
  </si>
  <si>
    <t>Ian David</t>
  </si>
  <si>
    <t>99 Rolling Oaks Dr., Thousand Oaks, CA 91361</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</si>
  <si>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</si>
  <si>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</si>
  <si>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</si>
  <si>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</si>
  <si>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</si>
  <si>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1901 US Hwy 27 S, Sebring, FL 33870</t>
  </si>
  <si>
    <t>Sebring </t>
  </si>
  <si>
    <t>He quit his job a few weeks before the shooting. He had previously been treated in mental hospitals and had expressed violent thoughts.</t>
  </si>
  <si>
    <t>Martin</t>
  </si>
  <si>
    <t>Gary</t>
  </si>
  <si>
    <t>401 S Highland Ave, Aurora, IL 60506</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</si>
  <si>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</si>
  <si>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</si>
  <si>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</si>
  <si>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Municipal Center Building 10, 2425 Nimmo Pkwy, Virginia Beach, VA 23456</t>
  </si>
  <si>
    <t>Virginia Beach</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</si>
  <si>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</si>
  <si>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</si>
  <si>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</si>
  <si>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7101 Gateway Blvd W, El Paso, TX 79925</t>
  </si>
  <si>
    <t>Betts</t>
  </si>
  <si>
    <t>Connor</t>
  </si>
  <si>
    <t>430 E 5th St, Dayton, OH 45402</t>
  </si>
  <si>
    <t>Dayton</t>
  </si>
  <si>
    <t>played in bands, attended protests</t>
  </si>
  <si>
    <t>1, 8</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</si>
  <si>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</si>
  <si>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</si>
  <si>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Occured 12 hours after the mass shooting in an El Paso Walmart.</t>
  </si>
  <si>
    <t>mask, body armor</t>
  </si>
  <si>
    <t>Ator</t>
  </si>
  <si>
    <t>Seth</t>
  </si>
  <si>
    <t>42nd Street, Odessa, TX</t>
  </si>
  <si>
    <t>Odessa</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</si>
  <si>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</si>
  <si>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</si>
  <si>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</si>
  <si>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223 Martin Luther King Dr, Jersey City, NJ 07305</t>
  </si>
  <si>
    <t>Jersey City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</si>
  <si>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</si>
  <si>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</si>
  <si>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</si>
  <si>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</si>
  <si>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224 Martin Luther King Dr, Jersey City, NJ 07305</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</si>
  <si>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</si>
  <si>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</si>
  <si>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</si>
  <si>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4115 W. State Street, Milwaukee, WI 53208</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</si>
  <si>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</si>
  <si>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</si>
  <si>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</si>
  <si>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</si>
  <si>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</si>
  <si>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</si>
  <si>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2885 E Chestnut Expressway, Springfield, MO, 65802</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</si>
  <si>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</si>
  <si>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1916 Piedmont Rd NE, Atlanta, GA 30324</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</si>
  <si>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</si>
  <si>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</si>
  <si>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</si>
  <si>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</si>
  <si>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</si>
  <si>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3600 Table Mesa Dr, Boulder, CO 80305</t>
  </si>
  <si>
    <t>Boulder</t>
  </si>
  <si>
    <t>bullied in highschool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</si>
  <si>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</si>
  <si>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</si>
  <si>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</si>
  <si>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</si>
  <si>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</si>
  <si>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202 West Lincoln Avenue Orange, CA 92865</t>
  </si>
  <si>
    <t>pepper spray, handcuffs, ammunition, locked exit gates with bike cable lock</t>
  </si>
  <si>
    <t>Hole</t>
  </si>
  <si>
    <t>Brandon Scott</t>
  </si>
  <si>
    <t>8951 Mirabel Rd, Indianapolis, IN 46241</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</si>
  <si>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</si>
  <si>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</si>
  <si>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</si>
  <si>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</si>
  <si>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</si>
  <si>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</si>
  <si>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101 W Younger Ave, San Jose, CA 95110</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</si>
  <si>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</si>
  <si>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</si>
  <si>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</si>
  <si>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</si>
  <si>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</si>
  <si>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</si>
  <si>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745 N Oxford Rd, Oxford, MI 48371</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</si>
  <si>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</si>
  <si>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</si>
  <si>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</si>
  <si>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</si>
  <si>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</si>
  <si>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Gendron</t>
  </si>
  <si>
    <t>Payton</t>
  </si>
  <si>
    <t>1275 Jefferson Ave, Buffalo, NY 14208</t>
  </si>
  <si>
    <t>9, 6, 7</t>
  </si>
  <si>
    <t>Stated that he was inspired by the 2019 New Zealand mosque shootings as well as Dylann Roof and Robert Bowers.</t>
  </si>
  <si>
    <t>tactical gear, bulletproof vest, helmet</t>
  </si>
  <si>
    <t>Make and Model</t>
  </si>
  <si>
    <t>Used in Shooting?</t>
  </si>
  <si>
    <t>Extended Magazine</t>
  </si>
  <si>
    <t>When Obtained</t>
  </si>
  <si>
    <t>Legal Purchase</t>
  </si>
  <si>
    <t>Illegal Purchase</t>
  </si>
  <si>
    <t xml:space="preserve">Assembled with Legal Parts </t>
  </si>
  <si>
    <t>Gifted</t>
  </si>
  <si>
    <t>Theft</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</si>
  <si>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</si>
  <si>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</si>
  <si>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</si>
  <si>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</si>
  <si>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</si>
  <si>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</si>
  <si>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</si>
  <si>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</si>
  <si>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</si>
  <si>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</si>
  <si>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</si>
  <si>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</si>
  <si>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</si>
  <si>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</si>
  <si>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</si>
  <si>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</si>
  <si>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</si>
  <si>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</si>
  <si>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</si>
  <si>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</si>
  <si>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</si>
  <si>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</si>
  <si>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</si>
  <si>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</si>
  <si>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</si>
  <si>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</si>
  <si>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</si>
  <si>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</si>
  <si>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</si>
  <si>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</si>
  <si>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</si>
  <si>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.30-caliber automatic rifle</t>
  </si>
  <si>
    <t>.30-caliber M1 carbine rifle</t>
  </si>
  <si>
    <t>.25-caliber automatic pistol</t>
  </si>
  <si>
    <t>.38-caliber revolver</t>
  </si>
  <si>
    <t>12-gauge Mossberg 500 Persuader pump-action shotgun</t>
  </si>
  <si>
    <t>.223-caliber Ruger Mini-14 semi-automatic rifle with collapsible stock, silencer</t>
  </si>
  <si>
    <t>.22-caliber pistol with silencer</t>
  </si>
  <si>
    <t>Pistol</t>
  </si>
  <si>
    <t>.357 Magnum Smith &amp; Wesson stainless steel revolver</t>
  </si>
  <si>
    <t>.22-caliber revolver</t>
  </si>
  <si>
    <t>.357 Smith &amp; Wesson blue steel revolver</t>
  </si>
  <si>
    <t>Remington 870 shotgun</t>
  </si>
  <si>
    <t>Large-caliber Rolling Block replica single-shot rifle </t>
  </si>
  <si>
    <t>9mm Smith &amp; Wesson Model 459 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</si>
  <si>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</si>
  <si>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</si>
  <si>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</si>
  <si>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</si>
  <si>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</si>
  <si>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</si>
  <si>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</si>
  <si>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</si>
  <si>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</si>
  <si>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</si>
  <si>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</si>
  <si>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</si>
  <si>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</si>
  <si>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</si>
  <si>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</si>
  <si>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</si>
  <si>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</si>
  <si>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</si>
  <si>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</si>
  <si>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</si>
  <si>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</si>
  <si>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</si>
  <si>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</si>
  <si>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</si>
  <si>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</si>
  <si>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</si>
  <si>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</si>
  <si>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</si>
  <si>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</si>
  <si>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</si>
  <si>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</si>
  <si>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</si>
  <si>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</si>
  <si>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</si>
  <si>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</si>
  <si>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</si>
  <si>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</si>
  <si>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</si>
  <si>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</si>
  <si>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</si>
  <si>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</si>
  <si>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</si>
  <si>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</si>
  <si>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</si>
  <si>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</si>
  <si>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</si>
  <si>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</si>
  <si>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</si>
  <si>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</si>
  <si>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</si>
  <si>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</si>
  <si>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</si>
  <si>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</si>
  <si>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</si>
  <si>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</si>
  <si>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</si>
  <si>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</si>
  <si>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</si>
  <si>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</si>
  <si>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</si>
  <si>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</si>
  <si>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</si>
  <si>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</si>
  <si>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</si>
  <si>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</si>
  <si>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67, 68</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</si>
  <si>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</si>
  <si>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</si>
  <si>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</si>
  <si>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</si>
  <si>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</si>
  <si>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</si>
  <si>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</si>
  <si>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</si>
  <si>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</si>
  <si>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</si>
  <si>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</si>
  <si>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.22-caliber Ruger semi-automatic rifle</t>
  </si>
  <si>
    <t>.22-caliber Ruger pistol</t>
  </si>
  <si>
    <t>9mm Glock 19 pistol</t>
  </si>
  <si>
    <t>9mm Larson pistol</t>
  </si>
  <si>
    <t>71, 72</t>
  </si>
  <si>
    <t>Klebold, Harris</t>
  </si>
  <si>
    <t>Dylan, Eric</t>
  </si>
  <si>
    <t>12 gauge Savage Springfield 67H pump-action sawed-off shotgun</t>
  </si>
  <si>
    <t>12-gauge Savage 311D double-barreled sawed-off shotgun</t>
  </si>
  <si>
    <t>9mm Hi-Point 995 carbine</t>
  </si>
  <si>
    <t>9mm Intratec Tec-DC9 machine pistol</t>
  </si>
  <si>
    <t>.45-caliber Colt 1911 A-1 pistol</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</si>
  <si>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</si>
  <si>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</si>
  <si>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</si>
  <si>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</si>
  <si>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</si>
  <si>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</si>
  <si>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</si>
  <si>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</si>
  <si>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</si>
  <si>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</si>
  <si>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Revolver</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</si>
  <si>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</si>
  <si>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</si>
  <si>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</si>
  <si>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</si>
  <si>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</si>
  <si>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</si>
  <si>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</si>
  <si>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</si>
  <si>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</si>
  <si>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</si>
  <si>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.22-caliber rifle with scope</t>
  </si>
  <si>
    <t>.380-caliber Walther PP pistol</t>
  </si>
  <si>
    <t>7.62mm SKS AK-47 style semi-automatic rifle</t>
  </si>
  <si>
    <t>9mm Beretta pistol</t>
  </si>
  <si>
    <t>Glock pistol</t>
  </si>
  <si>
    <t>.40-caliber Glock 23 pistol</t>
  </si>
  <si>
    <t>12-gauge Remington 870 pump-action shotgun</t>
  </si>
  <si>
    <t>.22-caliber Ruger MK II pistol</t>
  </si>
  <si>
    <t>9mm Smith &amp; Wesson 915 pistol</t>
  </si>
  <si>
    <t>.40-caliber Ruger P-94 pistol</t>
  </si>
  <si>
    <t>.223-caliber Bushmaster XM15 AR-15 style rifle</t>
  </si>
  <si>
    <t>12-gauge Winchester Defender 1300 pump-action shotgun with a pistol grip</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</si>
  <si>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</si>
  <si>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</si>
  <si>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</si>
  <si>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</si>
  <si>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</si>
  <si>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</si>
  <si>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</si>
  <si>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</si>
  <si>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</si>
  <si>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</si>
  <si>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</si>
  <si>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</si>
  <si>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</si>
  <si>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</si>
  <si>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</si>
  <si>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</si>
  <si>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</si>
  <si>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</si>
  <si>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</si>
  <si>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</si>
  <si>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</si>
  <si>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</si>
  <si>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</si>
  <si>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</si>
  <si>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</si>
  <si>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Glock 17 Luger pistol</t>
  </si>
  <si>
    <t>.40-caliber Glock pistol</t>
  </si>
  <si>
    <t>.45-caliber Glock pistol</t>
  </si>
  <si>
    <t>9mm Ruger SR9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</si>
  <si>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</si>
  <si>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</si>
  <si>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</si>
  <si>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</si>
  <si>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</si>
  <si>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</si>
  <si>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</si>
  <si>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</si>
  <si>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</si>
  <si>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</si>
  <si>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</si>
  <si>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</si>
  <si>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</si>
  <si>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</si>
  <si>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</si>
  <si>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</si>
  <si>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</si>
  <si>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</si>
  <si>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</si>
  <si>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</si>
  <si>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</si>
  <si>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</si>
  <si>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</si>
  <si>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</si>
  <si>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</si>
  <si>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</si>
  <si>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</si>
  <si>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</si>
  <si>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</si>
  <si>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</si>
  <si>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</si>
  <si>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</si>
  <si>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</si>
  <si>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</si>
  <si>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</si>
  <si>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</si>
  <si>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</si>
  <si>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142, 143</t>
  </si>
  <si>
    <t>Farook, Malik</t>
  </si>
  <si>
    <t>Syed Rizwan, Tashfeen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</si>
  <si>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</si>
  <si>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</si>
  <si>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</si>
  <si>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</si>
  <si>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</si>
  <si>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</si>
  <si>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</si>
  <si>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</si>
  <si>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</si>
  <si>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</si>
  <si>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</si>
  <si>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</si>
  <si>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</si>
  <si>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</si>
  <si>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</si>
  <si>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</si>
  <si>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</si>
  <si>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</si>
  <si>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</si>
  <si>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</si>
  <si>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</si>
  <si>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</si>
  <si>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</si>
  <si>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</si>
  <si>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</si>
  <si>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</si>
  <si>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</si>
  <si>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</si>
  <si>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</si>
  <si>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</si>
  <si>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</si>
  <si>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</si>
  <si>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</si>
  <si>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</si>
  <si>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</si>
  <si>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</si>
  <si>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</si>
  <si>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</si>
  <si>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</si>
  <si>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</si>
  <si>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</si>
  <si>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</si>
  <si>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</si>
  <si>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</si>
  <si>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</si>
  <si>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</si>
  <si>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</si>
  <si>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</si>
  <si>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</si>
  <si>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172, 173</t>
  </si>
  <si>
    <t>Anderson, Graham</t>
  </si>
  <si>
    <t>David, Francine</t>
  </si>
  <si>
    <t>AR-15 style rifle</t>
  </si>
  <si>
    <t>12-gauge Mossberg shotgun</t>
  </si>
  <si>
    <t>9mm Ruger semi-automatic pistol</t>
  </si>
  <si>
    <t>.22-caliber Ruger Mark IV pistol with homemade silencer</t>
  </si>
  <si>
    <t>Handgun with silencer</t>
  </si>
  <si>
    <t>7.62-caliber SKS rifle</t>
  </si>
  <si>
    <t>9 mm handgun</t>
  </si>
  <si>
    <t>Ruger AR-556 semiautomatic pistol</t>
  </si>
  <si>
    <t>Glock semi-automatic handgun</t>
  </si>
  <si>
    <t>Ruger AR-556</t>
  </si>
  <si>
    <t>HM Defense HM15F</t>
  </si>
  <si>
    <t>9 mm pistol</t>
  </si>
  <si>
    <t>9mm Sig Sauer</t>
  </si>
  <si>
    <t>Bushmaster XM-15 semiautomatic rifle</t>
  </si>
  <si>
    <t>Victim Name</t>
  </si>
  <si>
    <t>Knew Shooter</t>
  </si>
  <si>
    <t>If Known, Relationship to Shooter</t>
  </si>
  <si>
    <t>Relationship to Shooter</t>
  </si>
  <si>
    <t>Life Expectancy</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</si>
  <si>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</si>
  <si>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</si>
  <si>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</si>
  <si>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</si>
  <si>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</si>
  <si>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</si>
  <si>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</si>
  <si>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</si>
  <si>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</si>
  <si>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</si>
  <si>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</si>
  <si>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</si>
  <si>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</si>
  <si>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</si>
  <si>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</si>
  <si>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</si>
  <si>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</si>
  <si>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</si>
  <si>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</si>
  <si>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</si>
  <si>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</si>
  <si>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</si>
  <si>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</si>
  <si>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</si>
  <si>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</si>
  <si>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</si>
  <si>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</si>
  <si>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</si>
  <si>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</si>
  <si>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</si>
  <si>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</si>
  <si>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</si>
  <si>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</si>
  <si>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</si>
  <si>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</si>
  <si>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</si>
  <si>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</si>
  <si>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</si>
  <si>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Rudolph Maurin</t>
  </si>
  <si>
    <t>Helvi Puisto (Mrs. Axel Puisto)</t>
  </si>
  <si>
    <t>Katherine Rigoni</t>
  </si>
  <si>
    <t>Daniel Weiss</t>
  </si>
  <si>
    <t>Ignatius Keenan</t>
  </si>
  <si>
    <t>Ruby Keenan</t>
  </si>
  <si>
    <t>Annette Lambright</t>
  </si>
  <si>
    <t>Vincent Saitta</t>
  </si>
  <si>
    <t>Sandra L Peters</t>
  </si>
  <si>
    <t>Patricia Chromik</t>
  </si>
  <si>
    <t>Linda D. Willis</t>
  </si>
  <si>
    <t>Melvin D. Harrison Jr.</t>
  </si>
  <si>
    <t>James G. Henry</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</si>
  <si>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</si>
  <si>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</si>
  <si>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</si>
  <si>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</si>
  <si>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</si>
  <si>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</si>
  <si>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</si>
  <si>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</si>
  <si>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</si>
  <si>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</si>
  <si>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</si>
  <si>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</si>
  <si>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</si>
  <si>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</si>
  <si>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</si>
  <si>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</si>
  <si>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</si>
  <si>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</si>
  <si>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</si>
  <si>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</si>
  <si>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</si>
  <si>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</si>
  <si>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</si>
  <si>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</si>
  <si>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</si>
  <si>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</si>
  <si>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</si>
  <si>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</si>
  <si>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</si>
  <si>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</si>
  <si>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</si>
  <si>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</si>
  <si>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</si>
  <si>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</si>
  <si>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</si>
  <si>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</si>
  <si>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</si>
  <si>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</si>
  <si>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</si>
  <si>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</si>
  <si>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</si>
  <si>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</si>
  <si>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</si>
  <si>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</si>
  <si>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</si>
  <si>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</si>
  <si>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</si>
  <si>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</si>
  <si>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</si>
  <si>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</si>
  <si>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</si>
  <si>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</si>
  <si>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</si>
  <si>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</si>
  <si>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</si>
  <si>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</si>
  <si>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</si>
  <si>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</si>
  <si>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</si>
  <si>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</si>
  <si>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</si>
  <si>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</si>
  <si>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</si>
  <si>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</si>
  <si>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</si>
  <si>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</si>
  <si>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</si>
  <si>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</si>
  <si>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</si>
  <si>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</si>
  <si>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</si>
  <si>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</si>
  <si>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</si>
  <si>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</si>
  <si>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</si>
  <si>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</si>
  <si>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</si>
  <si>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</si>
  <si>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</si>
  <si>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</si>
  <si>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</si>
  <si>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</si>
  <si>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</si>
  <si>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</si>
  <si>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</si>
  <si>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</si>
  <si>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</si>
  <si>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</si>
  <si>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</si>
  <si>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</si>
  <si>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</si>
  <si>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</si>
  <si>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</si>
  <si>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</si>
  <si>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</si>
  <si>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</si>
  <si>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</si>
  <si>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</si>
  <si>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</si>
  <si>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</si>
  <si>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</si>
  <si>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</si>
  <si>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</si>
  <si>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</si>
  <si>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</si>
  <si>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</si>
  <si>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</si>
  <si>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</si>
  <si>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</si>
  <si>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</si>
  <si>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</si>
  <si>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</si>
  <si>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</si>
  <si>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</si>
  <si>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</si>
  <si>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</si>
  <si>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</si>
  <si>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</si>
  <si>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</si>
  <si>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</si>
  <si>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</si>
  <si>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</si>
  <si>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</si>
  <si>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</si>
  <si>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</si>
  <si>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</si>
  <si>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</si>
  <si>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</si>
  <si>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</si>
  <si>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</si>
  <si>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</si>
  <si>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</si>
  <si>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</si>
  <si>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</si>
  <si>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</si>
  <si>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</si>
  <si>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</si>
  <si>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</si>
  <si>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</si>
  <si>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</si>
  <si>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</si>
  <si>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</si>
  <si>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</si>
  <si>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</si>
  <si>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</si>
  <si>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</si>
  <si>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</si>
  <si>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</si>
  <si>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</si>
  <si>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</si>
  <si>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</si>
  <si>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</si>
  <si>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</si>
  <si>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</si>
  <si>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</si>
  <si>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</si>
  <si>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</si>
  <si>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</si>
  <si>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</si>
  <si>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</si>
  <si>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</si>
  <si>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</si>
  <si>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</si>
  <si>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</si>
  <si>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</si>
  <si>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</si>
  <si>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</si>
  <si>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</si>
  <si>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</si>
  <si>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</si>
  <si>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</si>
  <si>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</si>
  <si>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</si>
  <si>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</si>
  <si>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</si>
  <si>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</si>
  <si>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</si>
  <si>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</si>
  <si>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</si>
  <si>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</si>
  <si>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</si>
  <si>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</si>
  <si>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</si>
  <si>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</si>
  <si>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</si>
  <si>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</si>
  <si>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</si>
  <si>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</si>
  <si>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</si>
  <si>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</si>
  <si>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</si>
  <si>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</si>
  <si>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</si>
  <si>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</si>
  <si>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</si>
  <si>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</si>
  <si>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</si>
  <si>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</si>
  <si>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</si>
  <si>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</si>
  <si>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</si>
  <si>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</si>
  <si>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</si>
  <si>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</si>
  <si>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</si>
  <si>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</si>
  <si>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</si>
  <si>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</si>
  <si>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</si>
  <si>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</si>
  <si>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</si>
  <si>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</si>
  <si>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</si>
  <si>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</si>
  <si>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</si>
  <si>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</si>
  <si>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</si>
  <si>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</si>
  <si>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</si>
  <si>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</si>
  <si>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</si>
  <si>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</si>
  <si>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</si>
  <si>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</si>
  <si>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</si>
  <si>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</si>
  <si>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</si>
  <si>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</si>
  <si>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</si>
  <si>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</si>
  <si>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</si>
  <si>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</si>
  <si>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</si>
  <si>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</si>
  <si>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</si>
  <si>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</si>
  <si>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</si>
  <si>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</si>
  <si>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</si>
  <si>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</si>
  <si>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</si>
  <si>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</si>
  <si>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</si>
  <si>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</si>
  <si>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</si>
  <si>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</si>
  <si>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</si>
  <si>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</si>
  <si>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</si>
  <si>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</si>
  <si>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</si>
  <si>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</si>
  <si>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</si>
  <si>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</si>
  <si>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</si>
  <si>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</si>
  <si>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</si>
  <si>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</si>
  <si>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</si>
  <si>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</si>
  <si>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</si>
  <si>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</si>
  <si>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</si>
  <si>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</si>
  <si>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</si>
  <si>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</si>
  <si>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</si>
  <si>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</si>
  <si>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</si>
  <si>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</si>
  <si>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</si>
  <si>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</si>
  <si>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</si>
  <si>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</si>
  <si>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</si>
  <si>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</si>
  <si>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</si>
  <si>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</si>
  <si>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</si>
  <si>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</si>
  <si>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</si>
  <si>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</si>
  <si>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</si>
  <si>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</si>
  <si>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</si>
  <si>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</si>
  <si>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</si>
  <si>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</si>
  <si>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</si>
  <si>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</si>
  <si>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</si>
  <si>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</si>
  <si>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</si>
  <si>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</si>
  <si>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</si>
  <si>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</si>
  <si>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</si>
  <si>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</si>
  <si>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</si>
  <si>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</si>
  <si>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</si>
  <si>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</si>
  <si>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</si>
  <si>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</si>
  <si>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</si>
  <si>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</si>
  <si>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</si>
  <si>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</si>
  <si>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</si>
  <si>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</si>
  <si>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</si>
  <si>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</si>
  <si>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</si>
  <si>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</si>
  <si>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</si>
  <si>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</si>
  <si>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</si>
  <si>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</si>
  <si>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</si>
  <si>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</si>
  <si>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</si>
  <si>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</si>
  <si>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</si>
  <si>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</si>
  <si>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</si>
  <si>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</si>
  <si>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</si>
  <si>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</si>
  <si>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</si>
  <si>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</si>
  <si>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</si>
  <si>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</si>
  <si>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</si>
  <si>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</si>
  <si>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</si>
  <si>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</si>
  <si>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</si>
  <si>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</si>
  <si>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</si>
  <si>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</si>
  <si>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</si>
  <si>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</si>
  <si>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</si>
  <si>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</si>
  <si>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</si>
  <si>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</si>
  <si>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</si>
  <si>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</si>
  <si>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</si>
  <si>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</si>
  <si>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</si>
  <si>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</si>
  <si>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</si>
  <si>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</si>
  <si>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</si>
  <si>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</si>
  <si>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</si>
  <si>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</si>
  <si>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</si>
  <si>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</si>
  <si>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</si>
  <si>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</si>
  <si>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</si>
  <si>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</si>
  <si>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</si>
  <si>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</si>
  <si>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</si>
  <si>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</si>
  <si>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</si>
  <si>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</si>
  <si>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</si>
  <si>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</si>
  <si>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</si>
  <si>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</si>
  <si>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</si>
  <si>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</si>
  <si>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</si>
  <si>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</si>
  <si>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</si>
  <si>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</si>
  <si>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</si>
  <si>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</si>
  <si>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</si>
  <si>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</si>
  <si>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</si>
  <si>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</si>
  <si>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</si>
  <si>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</si>
  <si>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</si>
  <si>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</si>
  <si>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</si>
  <si>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</si>
  <si>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</si>
  <si>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</si>
  <si>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</si>
  <si>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</si>
  <si>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</si>
  <si>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</si>
  <si>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</si>
  <si>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</si>
  <si>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</si>
  <si>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</si>
  <si>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</si>
  <si>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</si>
  <si>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</si>
  <si>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</si>
  <si>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</si>
  <si>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</si>
  <si>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</si>
  <si>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</si>
  <si>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</si>
  <si>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</si>
  <si>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</si>
  <si>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</si>
  <si>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</si>
  <si>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</si>
  <si>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</si>
  <si>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</si>
  <si>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</si>
  <si>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</si>
  <si>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</si>
  <si>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Leigh Ann Vandiver Barton</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</si>
  <si>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</si>
  <si>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</si>
  <si>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</si>
  <si>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</si>
  <si>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</si>
  <si>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</si>
  <si>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</si>
  <si>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</si>
  <si>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</si>
  <si>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</si>
  <si>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</si>
  <si>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</si>
  <si>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</si>
  <si>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</si>
  <si>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</si>
  <si>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</si>
  <si>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</si>
  <si>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</si>
  <si>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</si>
  <si>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</si>
  <si>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</si>
  <si>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</si>
  <si>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</si>
  <si>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</si>
  <si>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</si>
  <si>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</si>
  <si>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</si>
  <si>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</si>
  <si>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</si>
  <si>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</si>
  <si>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</si>
  <si>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</si>
  <si>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</si>
  <si>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</si>
  <si>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</si>
  <si>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</si>
  <si>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</si>
  <si>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</si>
  <si>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</si>
  <si>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</si>
  <si>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</si>
  <si>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</si>
  <si>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</si>
  <si>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</si>
  <si>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</si>
  <si>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</si>
  <si>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</si>
  <si>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</si>
  <si>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</si>
  <si>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</si>
  <si>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</si>
  <si>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</si>
  <si>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</si>
  <si>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</si>
  <si>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</si>
  <si>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</si>
  <si>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</si>
  <si>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</si>
  <si>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</si>
  <si>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</si>
  <si>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</si>
  <si>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</si>
  <si>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</si>
  <si>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</si>
  <si>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</si>
  <si>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</si>
  <si>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</si>
  <si>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</si>
  <si>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</si>
  <si>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</si>
  <si>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</si>
  <si>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</si>
  <si>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</si>
  <si>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</si>
  <si>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</si>
  <si>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</si>
  <si>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</si>
  <si>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</si>
  <si>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</si>
  <si>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</si>
  <si>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</si>
  <si>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</si>
  <si>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</si>
  <si>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</si>
  <si>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</si>
  <si>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</si>
  <si>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</si>
  <si>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</si>
  <si>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</si>
  <si>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</si>
  <si>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</si>
  <si>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</si>
  <si>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</si>
  <si>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</si>
  <si>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</si>
  <si>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</si>
  <si>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</si>
  <si>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</si>
  <si>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</si>
  <si>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</si>
  <si>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</si>
  <si>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</si>
  <si>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</si>
  <si>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</si>
  <si>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</si>
  <si>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</si>
  <si>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</si>
  <si>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</si>
  <si>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</si>
  <si>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</si>
  <si>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</si>
  <si>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</si>
  <si>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</si>
  <si>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</si>
  <si>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</si>
  <si>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</si>
  <si>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</si>
  <si>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</si>
  <si>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</si>
  <si>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</si>
  <si>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</si>
  <si>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</si>
  <si>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</si>
  <si>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</si>
  <si>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</si>
  <si>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</si>
  <si>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</si>
  <si>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</si>
  <si>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</si>
  <si>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</si>
  <si>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</si>
  <si>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</si>
  <si>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</si>
  <si>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</si>
  <si>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</si>
  <si>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</si>
  <si>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</si>
  <si>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</si>
  <si>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</si>
  <si>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</si>
  <si>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</si>
  <si>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</si>
  <si>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</si>
  <si>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</si>
  <si>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</si>
  <si>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</si>
  <si>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</si>
  <si>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</si>
  <si>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</si>
  <si>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</si>
  <si>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</si>
  <si>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</si>
  <si>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</si>
  <si>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</si>
  <si>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</si>
  <si>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</si>
  <si>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</si>
  <si>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</si>
  <si>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</si>
  <si>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</si>
  <si>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</si>
  <si>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</si>
  <si>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</si>
  <si>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</si>
  <si>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</si>
  <si>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</si>
  <si>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</si>
  <si>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</si>
  <si>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</si>
  <si>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</si>
  <si>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</si>
  <si>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</si>
  <si>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</si>
  <si>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</si>
  <si>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</si>
  <si>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</si>
  <si>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</si>
  <si>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</si>
  <si>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</si>
  <si>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</si>
  <si>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</si>
  <si>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</si>
  <si>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</si>
  <si>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</si>
  <si>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</si>
  <si>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</si>
  <si>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</si>
  <si>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</si>
  <si>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</si>
  <si>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</si>
  <si>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</si>
  <si>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</si>
  <si>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</si>
  <si>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</si>
  <si>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</si>
  <si>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</si>
  <si>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</si>
  <si>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</si>
  <si>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</si>
  <si>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</si>
  <si>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</si>
  <si>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</si>
  <si>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</si>
  <si>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</si>
  <si>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</si>
  <si>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</si>
  <si>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</si>
  <si>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</si>
  <si>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</si>
  <si>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</si>
  <si>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</si>
  <si>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</si>
  <si>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</si>
  <si>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</si>
  <si>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</si>
  <si>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</si>
  <si>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</si>
  <si>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</si>
  <si>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</si>
  <si>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</si>
  <si>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</si>
  <si>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</si>
  <si>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</si>
  <si>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</si>
  <si>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</si>
  <si>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</si>
  <si>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</si>
  <si>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</si>
  <si>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</si>
  <si>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</si>
  <si>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</si>
  <si>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</si>
  <si>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</si>
  <si>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</si>
  <si>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</si>
  <si>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</si>
  <si>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</si>
  <si>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</si>
  <si>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</si>
  <si>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</si>
  <si>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</si>
  <si>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</si>
  <si>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</si>
  <si>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</si>
  <si>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</si>
  <si>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</si>
  <si>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</si>
  <si>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</si>
  <si>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</si>
  <si>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</si>
  <si>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</si>
  <si>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</si>
  <si>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</si>
  <si>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</si>
  <si>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</si>
  <si>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</si>
  <si>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</si>
  <si>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</si>
  <si>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</si>
  <si>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 xml:space="preserve">former classmate
</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</si>
  <si>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</si>
  <si>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</si>
  <si>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</si>
  <si>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</si>
  <si>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</si>
  <si>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</si>
  <si>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</si>
  <si>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</si>
  <si>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</si>
  <si>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</si>
  <si>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</si>
  <si>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</si>
  <si>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</si>
  <si>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</si>
  <si>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</si>
  <si>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</si>
  <si>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</si>
  <si>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</si>
  <si>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</si>
  <si>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</si>
  <si>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</si>
  <si>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</si>
  <si>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</si>
  <si>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</si>
  <si>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</si>
  <si>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</si>
  <si>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</si>
  <si>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</si>
  <si>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</si>
  <si>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</si>
  <si>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</si>
  <si>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</si>
  <si>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</si>
  <si>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</si>
  <si>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</si>
  <si>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</si>
  <si>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</si>
  <si>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</si>
  <si>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</si>
  <si>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</si>
  <si>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</si>
  <si>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</si>
  <si>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</si>
  <si>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</si>
  <si>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</si>
  <si>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</si>
  <si>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</si>
  <si>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</si>
  <si>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</si>
  <si>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</si>
  <si>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</si>
  <si>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</si>
  <si>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</si>
  <si>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</si>
  <si>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</si>
  <si>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</si>
  <si>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</si>
  <si>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</si>
  <si>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</si>
  <si>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</si>
  <si>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</si>
  <si>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</si>
  <si>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</si>
  <si>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</si>
  <si>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</si>
  <si>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</si>
  <si>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</si>
  <si>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</si>
  <si>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</si>
  <si>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</si>
  <si>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</si>
  <si>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</si>
  <si>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</si>
  <si>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</si>
  <si>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</si>
  <si>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</si>
  <si>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</si>
  <si>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</si>
  <si>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</si>
  <si>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</si>
  <si>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</si>
  <si>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</si>
  <si>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</si>
  <si>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</si>
  <si>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</si>
  <si>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</si>
  <si>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</si>
  <si>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</si>
  <si>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</si>
  <si>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</si>
  <si>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</si>
  <si>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</si>
  <si>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</si>
  <si>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</si>
  <si>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</si>
  <si>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</si>
  <si>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</si>
  <si>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</si>
  <si>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</si>
  <si>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</si>
  <si>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</si>
  <si>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</si>
  <si>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</si>
  <si>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</si>
  <si>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</si>
  <si>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</si>
  <si>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</si>
  <si>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</si>
  <si>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</si>
  <si>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</si>
  <si>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</si>
  <si>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</si>
  <si>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</si>
  <si>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</si>
  <si>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</si>
  <si>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</si>
  <si>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</si>
  <si>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</si>
  <si>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</si>
  <si>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</si>
  <si>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</si>
  <si>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</si>
  <si>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</si>
  <si>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</si>
  <si>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</si>
  <si>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</si>
  <si>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</si>
  <si>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</si>
  <si>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</si>
  <si>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</si>
  <si>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</si>
  <si>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</si>
  <si>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</si>
  <si>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</si>
  <si>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</si>
  <si>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</si>
  <si>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</si>
  <si>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</si>
  <si>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</si>
  <si>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</si>
  <si>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</si>
  <si>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</si>
  <si>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</si>
  <si>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</si>
  <si>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</si>
  <si>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</si>
  <si>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</si>
  <si>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</si>
  <si>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</si>
  <si>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</si>
  <si>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</si>
  <si>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</si>
  <si>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</si>
  <si>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</si>
  <si>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</si>
  <si>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</si>
  <si>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</si>
  <si>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</si>
  <si>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</si>
  <si>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</si>
  <si>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</si>
  <si>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</si>
  <si>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</si>
  <si>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</si>
  <si>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</si>
  <si>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</si>
  <si>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</si>
  <si>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</si>
  <si>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</si>
  <si>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</si>
  <si>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</si>
  <si>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</si>
  <si>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</si>
  <si>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</si>
  <si>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</si>
  <si>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</si>
  <si>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</si>
  <si>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</si>
  <si>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</si>
  <si>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</si>
  <si>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</si>
  <si>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</si>
  <si>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</si>
  <si>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</si>
  <si>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</si>
  <si>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</si>
  <si>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</si>
  <si>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</si>
  <si>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</si>
  <si>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</si>
  <si>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</si>
  <si>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</si>
  <si>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</si>
  <si>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</si>
  <si>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</si>
  <si>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</si>
  <si>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</si>
  <si>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</si>
  <si>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</si>
  <si>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</si>
  <si>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</si>
  <si>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</si>
  <si>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</si>
  <si>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</si>
  <si>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</si>
  <si>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</si>
  <si>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</si>
  <si>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</si>
  <si>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</si>
  <si>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</si>
  <si>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</si>
  <si>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</si>
  <si>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</si>
  <si>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</si>
  <si>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</si>
  <si>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</si>
  <si>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</si>
  <si>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</si>
  <si>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</si>
  <si>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</si>
  <si>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</si>
  <si>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</si>
  <si>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</si>
  <si>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</si>
  <si>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</si>
  <si>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</si>
  <si>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</si>
  <si>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</si>
  <si>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</si>
  <si>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</si>
  <si>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</si>
  <si>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</si>
  <si>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</si>
  <si>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</si>
  <si>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</si>
  <si>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</si>
  <si>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</si>
  <si>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</si>
  <si>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</si>
  <si>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</si>
  <si>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</si>
  <si>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</si>
  <si>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</si>
  <si>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</si>
  <si>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</si>
  <si>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</si>
  <si>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</si>
  <si>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</si>
  <si>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</si>
  <si>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</si>
  <si>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</si>
  <si>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</si>
  <si>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</si>
  <si>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</si>
  <si>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</si>
  <si>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</si>
  <si>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</si>
  <si>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</si>
  <si>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</si>
  <si>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</si>
  <si>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</si>
  <si>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</si>
  <si>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</si>
  <si>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</si>
  <si>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</si>
  <si>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</si>
  <si>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</si>
  <si>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</si>
  <si>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</si>
  <si>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</si>
  <si>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</si>
  <si>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</si>
  <si>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</si>
  <si>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</si>
  <si>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</si>
  <si>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</si>
  <si>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</si>
  <si>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</si>
  <si>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</si>
  <si>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</si>
  <si>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</si>
  <si>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</si>
  <si>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</si>
  <si>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</si>
  <si>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</si>
  <si>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</si>
  <si>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</si>
  <si>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</si>
  <si>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</si>
  <si>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</si>
  <si>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</si>
  <si>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</si>
  <si>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</si>
  <si>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</si>
  <si>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</si>
  <si>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</si>
  <si>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</si>
  <si>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</si>
  <si>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</si>
  <si>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</si>
  <si>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</si>
  <si>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</si>
  <si>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</si>
  <si>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</si>
  <si>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</si>
  <si>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</si>
  <si>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</si>
  <si>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</si>
  <si>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</si>
  <si>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</si>
  <si>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</si>
  <si>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</si>
  <si>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</si>
  <si>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</si>
  <si>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</si>
  <si>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</si>
  <si>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</si>
  <si>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</si>
  <si>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</si>
  <si>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</si>
  <si>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</si>
  <si>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</si>
  <si>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</si>
  <si>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</si>
  <si>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</si>
  <si>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</si>
  <si>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</si>
  <si>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</si>
  <si>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</si>
  <si>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</si>
  <si>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</si>
  <si>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</si>
  <si>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</si>
  <si>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</si>
  <si>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</si>
  <si>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</si>
  <si>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</si>
  <si>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</si>
  <si>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</si>
  <si>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</si>
  <si>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</si>
  <si>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</si>
  <si>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</si>
  <si>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</si>
  <si>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</si>
  <si>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</si>
  <si>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</si>
  <si>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</si>
  <si>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</si>
  <si>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</si>
  <si>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</si>
  <si>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</si>
  <si>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</si>
  <si>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</si>
  <si>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</si>
  <si>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</si>
  <si>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</si>
  <si>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</si>
  <si>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</si>
  <si>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</si>
  <si>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</si>
  <si>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</si>
  <si>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</si>
  <si>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</si>
  <si>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</si>
  <si>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</si>
  <si>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</si>
  <si>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</si>
  <si>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</si>
  <si>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</si>
  <si>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</si>
  <si>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</si>
  <si>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</si>
  <si>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</si>
  <si>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</si>
  <si>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</si>
  <si>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</si>
  <si>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</si>
  <si>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</si>
  <si>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</si>
  <si>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</si>
  <si>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</si>
  <si>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</si>
  <si>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</si>
  <si>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</si>
  <si>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</si>
  <si>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</si>
  <si>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</si>
  <si>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</si>
  <si>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</si>
  <si>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</si>
  <si>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</si>
  <si>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</si>
  <si>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</si>
  <si>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</si>
  <si>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</si>
  <si>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</si>
  <si>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</si>
  <si>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</si>
  <si>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</si>
  <si>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</si>
  <si>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</si>
  <si>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</si>
  <si>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</si>
  <si>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</si>
  <si>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</si>
  <si>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</si>
  <si>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</si>
  <si>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</si>
  <si>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</si>
  <si>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</si>
  <si>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</si>
  <si>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</si>
  <si>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</si>
  <si>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</si>
  <si>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</si>
  <si>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</si>
  <si>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</si>
  <si>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</si>
  <si>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</si>
  <si>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</si>
  <si>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</si>
  <si>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</si>
  <si>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</si>
  <si>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</si>
  <si>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</si>
  <si>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</si>
  <si>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</si>
  <si>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</si>
  <si>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</si>
  <si>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</si>
  <si>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</si>
  <si>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</si>
  <si>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</si>
  <si>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</si>
  <si>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</si>
  <si>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</si>
  <si>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</si>
  <si>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</si>
  <si>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</si>
  <si>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</si>
  <si>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</si>
  <si>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</si>
  <si>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</si>
  <si>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</si>
  <si>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</si>
  <si>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</si>
  <si>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</si>
  <si>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</si>
  <si>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</si>
  <si>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</si>
  <si>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</si>
  <si>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</si>
  <si>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</si>
  <si>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</si>
  <si>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</si>
  <si>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</si>
  <si>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</si>
  <si>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</si>
  <si>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</si>
  <si>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</si>
  <si>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</si>
  <si>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</si>
  <si>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</si>
  <si>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</si>
  <si>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</si>
  <si>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</si>
  <si>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</si>
  <si>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</si>
  <si>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</si>
  <si>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</si>
  <si>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</si>
  <si>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</si>
  <si>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</si>
  <si>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</si>
  <si>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</si>
  <si>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</si>
  <si>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</si>
  <si>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</si>
  <si>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</si>
  <si>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</si>
  <si>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</si>
  <si>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</si>
  <si>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</si>
  <si>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</si>
  <si>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</si>
  <si>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</si>
  <si>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</si>
  <si>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</si>
  <si>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</si>
  <si>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</si>
  <si>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</si>
  <si>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</si>
  <si>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</si>
  <si>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</si>
  <si>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</si>
  <si>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</si>
  <si>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</si>
  <si>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</si>
  <si>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</si>
  <si>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</si>
  <si>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</si>
  <si>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</si>
  <si>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</si>
  <si>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</si>
  <si>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</si>
  <si>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</si>
  <si>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</si>
  <si>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</si>
  <si>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</si>
  <si>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</si>
  <si>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</si>
  <si>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</si>
  <si>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</si>
  <si>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</si>
  <si>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</si>
  <si>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</si>
  <si>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</si>
  <si>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</si>
  <si>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</si>
  <si>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</si>
  <si>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</si>
  <si>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</si>
  <si>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</si>
  <si>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</si>
  <si>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</si>
  <si>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</si>
  <si>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</si>
  <si>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</si>
  <si>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</si>
  <si>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</si>
  <si>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</si>
  <si>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</si>
  <si>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</si>
  <si>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</si>
  <si>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</si>
  <si>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</si>
  <si>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</si>
  <si>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</si>
  <si>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</si>
  <si>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</si>
  <si>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</si>
  <si>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</si>
  <si>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</si>
  <si>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</si>
  <si>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</si>
  <si>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</si>
  <si>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</si>
  <si>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</si>
  <si>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</si>
  <si>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</si>
  <si>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</si>
  <si>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</si>
  <si>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</si>
  <si>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</si>
  <si>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</si>
  <si>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</si>
  <si>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</si>
  <si>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</si>
  <si>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</si>
  <si>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</si>
  <si>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</si>
  <si>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</si>
  <si>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</si>
  <si>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</si>
  <si>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</si>
  <si>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</si>
  <si>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</si>
  <si>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</si>
  <si>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</si>
  <si>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</si>
  <si>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</si>
  <si>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</si>
  <si>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</si>
  <si>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</si>
  <si>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</si>
  <si>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</si>
  <si>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</si>
  <si>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</si>
  <si>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</si>
  <si>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</si>
  <si>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</si>
  <si>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</si>
  <si>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</si>
  <si>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</si>
  <si>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</si>
  <si>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</si>
  <si>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</si>
  <si>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</si>
  <si>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</si>
  <si>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</si>
  <si>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</si>
  <si>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</si>
  <si>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</si>
  <si>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Hyun Jung Grant</t>
  </si>
  <si>
    <t>She worked at a business he frequented.</t>
  </si>
  <si>
    <t>Xiaojie Tan</t>
  </si>
  <si>
    <t>He might have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</si>
  <si>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</si>
  <si>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</si>
  <si>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</si>
  <si>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</si>
  <si>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</si>
  <si>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</si>
  <si>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</si>
  <si>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</si>
  <si>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</si>
  <si>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</si>
  <si>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</si>
  <si>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</si>
  <si>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</si>
  <si>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</si>
  <si>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</si>
  <si>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</si>
  <si>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</si>
  <si>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</si>
  <si>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</si>
  <si>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</si>
  <si>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</si>
  <si>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</si>
  <si>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</si>
  <si>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</si>
  <si>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</si>
  <si>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</si>
  <si>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</si>
  <si>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</si>
  <si>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</si>
  <si>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</si>
  <si>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</si>
  <si>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</si>
  <si>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</si>
  <si>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</si>
  <si>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</si>
  <si>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</si>
  <si>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</si>
  <si>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</si>
  <si>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</si>
  <si>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</si>
  <si>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</si>
  <si>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</si>
  <si>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</si>
  <si>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</si>
  <si>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</si>
  <si>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</si>
  <si>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</si>
  <si>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Location (Code)</t>
  </si>
  <si>
    <t>Location (Specify)</t>
  </si>
  <si>
    <t>Time of Day</t>
  </si>
  <si>
    <t>Total Population</t>
  </si>
  <si>
    <t>Nearest Hospital (Miles)</t>
  </si>
  <si>
    <t>Size of Police Dept</t>
  </si>
  <si>
    <t>Homicide Rate</t>
  </si>
  <si>
    <t>Workplace</t>
  </si>
  <si>
    <t>Retail</t>
  </si>
  <si>
    <t>Public</t>
  </si>
  <si>
    <t>(0)3576</t>
  </si>
  <si>
    <t>(0)6067</t>
  </si>
  <si>
    <t>67/68</t>
  </si>
  <si>
    <t>Golden (and Mitchell Johnson)</t>
  </si>
  <si>
    <t>K-12 School</t>
  </si>
  <si>
    <t>House of Worship</t>
  </si>
  <si>
    <t>71/72</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</si>
  <si>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</si>
  <si>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</si>
  <si>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</si>
  <si>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</si>
  <si>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</si>
  <si>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</si>
  <si>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</si>
  <si>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</si>
  <si>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</si>
  <si>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</si>
  <si>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</si>
  <si>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</si>
  <si>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</si>
  <si>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</si>
  <si>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</si>
  <si>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</si>
  <si>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</si>
  <si>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</si>
  <si>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</si>
  <si>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</si>
  <si>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</si>
  <si>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</si>
  <si>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</si>
  <si>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</si>
  <si>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</si>
  <si>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</si>
  <si>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</si>
  <si>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</si>
  <si>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</si>
  <si>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</si>
  <si>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</si>
  <si>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</si>
  <si>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</si>
  <si>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</si>
  <si>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</si>
  <si>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</si>
  <si>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142/3</t>
  </si>
  <si>
    <t>Farook (and Tashfeen Malik)</t>
  </si>
  <si>
    <t>Workplace (Government Building / Place of Civic Importance)</t>
  </si>
  <si>
    <t>145/6</t>
  </si>
  <si>
    <t>City - Attack on Law Enforcement</t>
  </si>
  <si>
    <t>18:52</t>
  </si>
  <si>
    <t>19:17</t>
  </si>
  <si>
    <t>Airport</t>
  </si>
  <si>
    <t>Outdoor Concert / Casino</t>
  </si>
  <si>
    <t>Public, including K-12 School</t>
  </si>
  <si>
    <t>Travis Jeffrey</t>
  </si>
  <si>
    <t>Workplace / Capital Gazette Newspaper</t>
  </si>
  <si>
    <t>Driving</t>
  </si>
  <si>
    <t>(0)7305</t>
  </si>
  <si>
    <t>16:50</t>
  </si>
  <si>
    <t>18:00</t>
  </si>
  <si>
    <t>14:30</t>
  </si>
  <si>
    <t>15:28</t>
  </si>
  <si>
    <t xml:space="preserve">Retail </t>
  </si>
  <si>
    <t>17:34</t>
  </si>
  <si>
    <t>23:00</t>
  </si>
  <si>
    <t>23:04</t>
  </si>
  <si>
    <t>6:34</t>
  </si>
  <si>
    <t>6:40</t>
  </si>
  <si>
    <t>High School</t>
  </si>
  <si>
    <t>25,463</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</si>
  <si>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</si>
  <si>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</si>
  <si>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</si>
  <si>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</si>
  <si>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</si>
  <si>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</si>
  <si>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</si>
  <si>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</si>
  <si>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</si>
  <si>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</si>
  <si>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</si>
  <si>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</si>
  <si>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</si>
  <si>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</si>
  <si>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</si>
  <si>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</si>
  <si>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</si>
  <si>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Yearly Growth Rate</t>
  </si>
  <si>
    <t>Mass Shootings by Decade</t>
  </si>
  <si>
    <t>N</t>
  </si>
  <si>
    <t>% of total</t>
  </si>
  <si>
    <t>Deadliest Mass Shootings</t>
  </si>
  <si>
    <t>Event</t>
  </si>
  <si>
    <t>Dead</t>
  </si>
  <si>
    <t>1960s</t>
  </si>
  <si>
    <t>Las Vegas, NV. Oct. 1, 2017</t>
  </si>
  <si>
    <t>1970s</t>
  </si>
  <si>
    <t>Orlando, FL. Jun. 12, 2016</t>
  </si>
  <si>
    <t>1980s</t>
  </si>
  <si>
    <t>Virginia Tech, VA. Apr. 16, 2007</t>
  </si>
  <si>
    <t>1990s</t>
  </si>
  <si>
    <t>Newtown, CT. Dec. 14, 2012</t>
  </si>
  <si>
    <t>2000s</t>
  </si>
  <si>
    <t>Sutherland Springs, TX, Nov. 5, 2017</t>
  </si>
  <si>
    <t>2010s</t>
  </si>
  <si>
    <t>Killeen, TX. Oct. 16, 1991</t>
  </si>
  <si>
    <t>El Paso, TX, Aug. 2, 2019</t>
  </si>
  <si>
    <t>San Ysidro, CA. Jul. 18, 1984</t>
  </si>
  <si>
    <t>Parkland, Florida, Feb. 14, 2018</t>
  </si>
  <si>
    <t>Austin, TX. Aug. 1, 1966</t>
  </si>
  <si>
    <t>San Bernardino, CA. Dec. 2, 2015</t>
  </si>
  <si>
    <t>Edmond, OK. Aug. 20, 1986</t>
  </si>
  <si>
    <t>Fort Hood, TX. Nov. 5, 2009</t>
  </si>
  <si>
    <t>Littleton, CO. Apr. 20, 1999</t>
  </si>
  <si>
    <t>Binghamton, NY. Apr. 3, 2009</t>
  </si>
  <si>
    <t>Aurora, CO. Jul. 12, 2012</t>
  </si>
  <si>
    <t>Thousand Oaks, CA. Nov. 8, 2018</t>
  </si>
  <si>
    <t>Atlanta, GA. Jul. 29, 1999</t>
  </si>
  <si>
    <t>Washington DC. Sep. 16, 2013</t>
  </si>
  <si>
    <t>Virginia Beach, VA. May 31, 2019</t>
  </si>
  <si>
    <t>Workplace shooting</t>
  </si>
  <si>
    <t>Workplace Shooting</t>
  </si>
  <si>
    <t>Roberta A. Drury</t>
  </si>
  <si>
    <t>Margus D. Morrison</t>
  </si>
  <si>
    <t>Andre Mackniel</t>
  </si>
  <si>
    <t>Aaron Salter</t>
  </si>
  <si>
    <t>Geraldine Talley</t>
  </si>
  <si>
    <t>Celestine Chaney</t>
  </si>
  <si>
    <t>Heyward Patterson</t>
  </si>
  <si>
    <t>Katherine Massey</t>
  </si>
  <si>
    <t>Pearl Young</t>
  </si>
  <si>
    <t>Ruth Whitfield</t>
  </si>
  <si>
    <t>Shooter was a current or former employee</t>
  </si>
  <si>
    <t>"Location" codes were expanded to include office buildings, post offices, and warehouses/factories and to better locate previously coded "workplace" shootings. A new "Workplace Shooting" variable was added for this reason.</t>
  </si>
  <si>
    <t>"Childhood Trauma" was re-coded from specifying the type of trauma to being a yes/no variable. The specifications were not very illuminating. Instead, we added columns specifying what Adverse Childhood Experiences (ACEs) each shooter had experienced. These ACEs should be interpreted with caution since little information is available or known about the early childhoods of the majority of perpetrators in the database. </t>
  </si>
  <si>
    <t>The November 2021 Oxford High School (case 181) and May 2022 Buffalo supermarket (case 182) shootings were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</si>
</sst>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 d"/>
    <numFmt numFmtId="165" formatCode="0.0"/>
    <numFmt numFmtId="166" formatCode="_(* #,##0.0_);_(* \(#,##0.0\);_(* &quot;-&quot;??.0_);_(@_)"/>
    <numFmt numFmtId="167" formatCode="_(* #,##0_);_(* \(#,##0\);_(* &quot;-&quot;??_);_(@_)"/>
  </numFmts>
  <fonts count="29" x14ac:knownFonts="1">
    <font>
      <sz val="11"/>
      <color rgb="FF000000"/>
      <name val="Calibri"/>
      <scheme val="minor"/>
    </font>
    <font>
      <b/>
      <sz val="12"/>
      <color rgb="FF000000"/>
      <name val="Arial"/>
      <family val="2"/>
    </font>
    <font>
      <sz val="12"/>
      <color rgb="FF000000"/>
      <name val="Arial"/>
      <family val="2"/>
    </font>
    <font>
      <sz val="12"/>
      <color rgb="FF000000"/>
      <name val="Calibri"/>
      <family val="2"/>
    </font>
    <font>
      <b/>
      <sz val="12"/>
      <color rgb="FFC00000"/>
      <name val="Arial"/>
      <family val="2"/>
    </font>
    <font>
      <b/>
      <sz val="12"/>
      <color rgb="FFFF0000"/>
      <name val="Arial"/>
      <family val="2"/>
    </font>
    <font>
      <b/>
      <sz val="12"/>
      <color rgb="FFFFC000"/>
      <name val="Arial"/>
      <family val="2"/>
    </font>
    <font>
      <b/>
      <sz val="12"/>
      <color rgb="FFFFFF00"/>
      <name val="Arial"/>
      <family val="2"/>
    </font>
    <font>
      <b/>
      <sz val="12"/>
      <color rgb="FF92D050"/>
      <name val="Arial"/>
      <family val="2"/>
    </font>
    <font>
      <b/>
      <sz val="12"/>
      <color rgb="FF00B0F0"/>
      <name val="Arial"/>
      <family val="2"/>
    </font>
    <font>
      <b/>
      <sz val="12"/>
      <color rgb="FF0070C0"/>
      <name val="Arial"/>
      <family val="2"/>
    </font>
    <font>
      <b/>
      <sz val="12"/>
      <color rgb="FF002060"/>
      <name val="Arial"/>
      <family val="2"/>
    </font>
    <font>
      <sz val="12"/>
      <color theme="1"/>
      <name val="Arial"/>
      <family val="2"/>
    </font>
    <font>
      <u/>
      <sz val="12"/>
      <color theme="1"/>
      <name val="Arial"/>
      <family val="2"/>
    </font>
    <font>
      <i/>
      <sz val="12"/>
      <color rgb="FF000000"/>
      <name val="Arial"/>
      <family val="2"/>
    </font>
    <font>
      <i/>
      <u/>
      <sz val="12"/>
      <color theme="1"/>
      <name val="Arial"/>
      <family val="2"/>
    </font>
    <font>
      <b/>
      <sz val="12"/>
      <color theme="1"/>
      <name val="Arial"/>
      <family val="2"/>
    </font>
    <font>
      <sz val="12"/>
      <color theme="1"/>
      <name val="Calibri"/>
      <family val="2"/>
    </font>
    <font>
      <sz val="12"/>
      <color rgb="FF000000"/>
      <name val="Roboto"/>
    </font>
    <font>
      <sz val="11"/>
      <name val="Calibri"/>
      <family val="2"/>
    </font>
    <font>
      <b/>
      <sz val="12"/>
      <color rgb="FFB2A1C7"/>
      <name val="Arial"/>
      <family val="2"/>
    </font>
    <font>
      <sz val="11"/>
      <color rgb="FF000000"/>
      <name val="Calibri"/>
      <family val="2"/>
    </font>
    <font>
      <u/>
      <sz val="12"/>
      <color theme="1"/>
      <name val="Arial"/>
      <family val="2"/>
    </font>
    <font>
      <u/>
      <sz val="12"/>
      <color theme="1"/>
      <name val="Arial"/>
      <family val="2"/>
    </font>
    <font>
      <sz val="11"/>
      <color theme="1"/>
      <name val="Arial"/>
      <family val="2"/>
    </font>
    <font>
      <sz val="11"/>
      <color rgb="FF000000"/>
      <name val="Arial"/>
      <family val="2"/>
    </font>
    <font>
      <b/>
      <i/>
      <sz val="12"/>
      <color rgb="FF000000"/>
      <name val="Arial"/>
      <family val="2"/>
    </font>
    <font>
      <sz val="12"/>
      <color rgb="FF000000"/>
      <name val="Arial"/>
      <family val="2"/>
    </font>
    <font>
      <sz val="12"/>
      <color rgb="FF0C0C0C"/>
      <name val="Arial"/>
      <family val="2"/>
    </font>
  </fonts>
  <fills count="42">
    <fill>
      <patternFill patternType="none"/>
    </fill>
    <fill>
      <patternFill patternType="gray125"/>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95B3D7"/>
        <bgColor rgb="FF95B3D7"/>
      </patternFill>
    </fill>
    <fill>
      <patternFill patternType="solid">
        <fgColor rgb="FFFFFFFF"/>
        <bgColor rgb="FFFFFFFF"/>
      </patternFill>
    </fill>
    <fill>
      <patternFill patternType="solid">
        <fgColor rgb="FFD99594"/>
        <bgColor rgb="FFD99594"/>
      </patternFill>
    </fill>
    <fill>
      <patternFill patternType="solid">
        <fgColor rgb="FFC2D69B"/>
        <bgColor rgb="FFC2D69B"/>
      </patternFill>
    </fill>
    <fill>
      <patternFill patternType="solid">
        <fgColor rgb="FFB2A1C7"/>
        <bgColor rgb="FFB2A1C7"/>
      </patternFill>
    </fill>
    <fill>
      <patternFill patternType="solid">
        <fgColor rgb="FF00B0F0"/>
        <bgColor rgb="FF00B0F0"/>
      </patternFill>
    </fill>
    <fill>
      <patternFill patternType="solid">
        <fgColor rgb="FFFABF8F"/>
        <bgColor rgb="FFFABF8F"/>
      </patternFill>
    </fill>
    <fill>
      <patternFill patternType="solid">
        <fgColor theme="0"/>
        <bgColor theme="0"/>
      </patternFill>
    </fill>
    <fill>
      <patternFill patternType="solid">
        <fgColor rgb="FF00B050"/>
        <bgColor rgb="FF00B050"/>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E5DFEC"/>
        <bgColor rgb="FFE5DFEC"/>
      </patternFill>
    </fill>
    <fill>
      <patternFill patternType="solid">
        <fgColor rgb="FFFFD966"/>
        <bgColor rgb="FFFFD966"/>
      </patternFill>
    </fill>
    <fill>
      <patternFill patternType="solid">
        <fgColor rgb="FFCCC0D9"/>
        <bgColor rgb="FFCCC0D9"/>
      </patternFill>
    </fill>
    <fill>
      <patternFill patternType="solid">
        <fgColor theme="9"/>
        <bgColor theme="9"/>
      </patternFill>
    </fill>
    <fill>
      <patternFill patternType="solid">
        <fgColor rgb="FFF79646"/>
        <bgColor rgb="FFF79646"/>
      </patternFill>
    </fill>
    <fill>
      <patternFill patternType="solid">
        <fgColor rgb="FFBFBFBF"/>
        <bgColor rgb="FFBFBFBF"/>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FE2F3"/>
        <bgColor rgb="FFCFE2F3"/>
      </patternFill>
    </fill>
    <fill>
      <patternFill patternType="solid">
        <fgColor rgb="FFB6D7A8"/>
        <bgColor rgb="FFB6D7A8"/>
      </patternFill>
    </fill>
    <fill>
      <patternFill patternType="solid">
        <fgColor rgb="FFFDEFA2"/>
        <bgColor rgb="FFFDEFA2"/>
      </patternFill>
    </fill>
    <fill>
      <patternFill patternType="solid">
        <fgColor theme="6" tint="0.59999389629810485"/>
        <bgColor rgb="FFFFFFFF"/>
      </patternFill>
    </fill>
    <fill>
      <patternFill patternType="solid">
        <fgColor theme="4"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25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xf numFmtId="0" fontId="3" fillId="0" borderId="0" xfId="0" applyFont="1"/>
    <xf numFmtId="0" fontId="1" fillId="2" borderId="1" xfId="0" applyFont="1" applyFill="1" applyBorder="1"/>
    <xf numFmtId="0" fontId="4" fillId="2" borderId="1" xfId="0" applyFont="1" applyFill="1" applyBorder="1"/>
    <xf numFmtId="0" fontId="2" fillId="0" borderId="1" xfId="0" applyFont="1" applyBorder="1"/>
    <xf numFmtId="0" fontId="5" fillId="2" borderId="1" xfId="0" applyFont="1" applyFill="1" applyBorder="1" applyAlignment="1">
      <alignment horizontal="left"/>
    </xf>
    <xf numFmtId="0" fontId="6" fillId="2" borderId="1" xfId="0" applyFont="1" applyFill="1" applyBorder="1" applyAlignment="1">
      <alignment horizontal="left"/>
    </xf>
    <xf numFmtId="0" fontId="7"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 fillId="2" borderId="1" xfId="0" applyFont="1" applyFill="1" applyBorder="1" applyAlignment="1">
      <alignment horizontal="left"/>
    </xf>
    <xf numFmtId="0" fontId="1" fillId="0" borderId="0" xfId="0" applyFont="1" applyAlignment="1">
      <alignment vertical="top" wrapText="1"/>
    </xf>
    <xf numFmtId="0" fontId="2"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 fillId="3" borderId="2" xfId="0" applyFont="1" applyFill="1" applyBorder="1"/>
    <xf numFmtId="0" fontId="2" fillId="0" borderId="0" xfId="0" applyFont="1" applyAlignment="1">
      <alignment vertical="center"/>
    </xf>
    <xf numFmtId="0" fontId="1" fillId="0" borderId="0" xfId="0" applyFont="1" applyAlignment="1">
      <alignment vertical="center"/>
    </xf>
    <xf numFmtId="0" fontId="2" fillId="0" borderId="0" xfId="0" applyFont="1" applyAlignment="1">
      <alignment horizontal="left" vertic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16" fillId="4" borderId="1" xfId="0" applyFont="1" applyFill="1" applyBorder="1" applyAlignment="1">
      <alignment horizontal="center" wrapText="1"/>
    </xf>
    <xf numFmtId="0" fontId="1" fillId="5" borderId="1" xfId="0" applyFont="1" applyFill="1" applyBorder="1" applyAlignment="1">
      <alignment horizontal="center" wrapText="1"/>
    </xf>
    <xf numFmtId="0" fontId="2" fillId="5" borderId="1" xfId="0" applyFont="1" applyFill="1" applyBorder="1" applyAlignment="1">
      <alignment horizontal="center" wrapText="1"/>
    </xf>
    <xf numFmtId="0" fontId="12" fillId="0" borderId="1" xfId="0" applyFont="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7"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wrapText="1"/>
    </xf>
    <xf numFmtId="0" fontId="1" fillId="7" borderId="1" xfId="0" applyFont="1" applyFill="1" applyBorder="1" applyAlignment="1">
      <alignment horizontal="center" wrapText="1"/>
    </xf>
    <xf numFmtId="0" fontId="2" fillId="6" borderId="1" xfId="0" applyFont="1" applyFill="1" applyBorder="1" applyAlignment="1">
      <alignment horizontal="center" wrapText="1"/>
    </xf>
    <xf numFmtId="0" fontId="1" fillId="8" borderId="1" xfId="0" applyFont="1" applyFill="1" applyBorder="1" applyAlignment="1">
      <alignment horizontal="center" wrapText="1"/>
    </xf>
    <xf numFmtId="0" fontId="2" fillId="8" borderId="1" xfId="0" applyFont="1" applyFill="1" applyBorder="1" applyAlignment="1">
      <alignment horizontal="center" wrapText="1"/>
    </xf>
    <xf numFmtId="0" fontId="1" fillId="9" borderId="1" xfId="0" applyFont="1" applyFill="1" applyBorder="1" applyAlignment="1">
      <alignment horizontal="center" wrapText="1"/>
    </xf>
    <xf numFmtId="0" fontId="2" fillId="9" borderId="1" xfId="0" applyFont="1" applyFill="1" applyBorder="1" applyAlignment="1">
      <alignment horizontal="center" wrapText="1"/>
    </xf>
    <xf numFmtId="0" fontId="18" fillId="9" borderId="1" xfId="0" applyFont="1" applyFill="1" applyBorder="1" applyAlignment="1">
      <alignment horizontal="center" wrapText="1"/>
    </xf>
    <xf numFmtId="0" fontId="1" fillId="10" borderId="1" xfId="0" applyFont="1" applyFill="1" applyBorder="1" applyAlignment="1">
      <alignment horizontal="center" wrapText="1"/>
    </xf>
    <xf numFmtId="0" fontId="2" fillId="10" borderId="1" xfId="0" applyFont="1" applyFill="1" applyBorder="1" applyAlignment="1">
      <alignment horizontal="center" wrapText="1"/>
    </xf>
    <xf numFmtId="0" fontId="18" fillId="10" borderId="1" xfId="0" applyFont="1" applyFill="1" applyBorder="1" applyAlignment="1">
      <alignment horizontal="center" wrapText="1"/>
    </xf>
    <xf numFmtId="0" fontId="1" fillId="11" borderId="1" xfId="0" applyFont="1" applyFill="1" applyBorder="1" applyAlignment="1">
      <alignment horizontal="center" wrapText="1"/>
    </xf>
    <xf numFmtId="0" fontId="2" fillId="11" borderId="1" xfId="0" applyFont="1" applyFill="1" applyBorder="1" applyAlignment="1">
      <alignment horizontal="center" wrapText="1"/>
    </xf>
    <xf numFmtId="0" fontId="2" fillId="12" borderId="1" xfId="0" applyFont="1" applyFill="1" applyBorder="1" applyAlignment="1">
      <alignment horizontal="center" wrapText="1"/>
    </xf>
    <xf numFmtId="0" fontId="1" fillId="13" borderId="1" xfId="0" applyFont="1" applyFill="1" applyBorder="1" applyAlignment="1">
      <alignment horizontal="center" wrapText="1"/>
    </xf>
    <xf numFmtId="0" fontId="2" fillId="13" borderId="1" xfId="0" applyFont="1" applyFill="1" applyBorder="1" applyAlignment="1">
      <alignment horizontal="center" wrapText="1"/>
    </xf>
    <xf numFmtId="0" fontId="1" fillId="14" borderId="1" xfId="0" applyFont="1" applyFill="1" applyBorder="1" applyAlignment="1">
      <alignment horizontal="center" wrapText="1"/>
    </xf>
    <xf numFmtId="0" fontId="2" fillId="14" borderId="1" xfId="0" applyFont="1" applyFill="1" applyBorder="1" applyAlignment="1">
      <alignment horizontal="center" wrapText="1"/>
    </xf>
    <xf numFmtId="0" fontId="18" fillId="14" borderId="1" xfId="0" applyFont="1" applyFill="1" applyBorder="1" applyAlignment="1">
      <alignment horizontal="center" wrapText="1"/>
    </xf>
    <xf numFmtId="0" fontId="1" fillId="15" borderId="1" xfId="0" applyFont="1" applyFill="1" applyBorder="1" applyAlignment="1">
      <alignment horizontal="center" wrapText="1"/>
    </xf>
    <xf numFmtId="0" fontId="2" fillId="15" borderId="1" xfId="0" applyFont="1" applyFill="1" applyBorder="1" applyAlignment="1">
      <alignment horizont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wrapText="1"/>
    </xf>
    <xf numFmtId="0" fontId="18" fillId="3" borderId="1" xfId="0" applyFont="1" applyFill="1" applyBorder="1" applyAlignment="1">
      <alignment horizontal="center" wrapText="1"/>
    </xf>
    <xf numFmtId="0" fontId="16" fillId="16" borderId="1" xfId="0" applyFont="1" applyFill="1" applyBorder="1" applyAlignment="1">
      <alignment horizontal="center" wrapText="1"/>
    </xf>
    <xf numFmtId="0" fontId="1" fillId="16" borderId="1" xfId="0" applyFont="1" applyFill="1" applyBorder="1" applyAlignment="1">
      <alignment horizontal="center" wrapText="1"/>
    </xf>
    <xf numFmtId="0" fontId="2" fillId="16" borderId="1" xfId="0" applyFont="1" applyFill="1" applyBorder="1" applyAlignment="1">
      <alignment horizontal="center" wrapText="1"/>
    </xf>
    <xf numFmtId="0" fontId="12" fillId="16" borderId="1" xfId="0" applyFont="1" applyFill="1" applyBorder="1" applyAlignment="1">
      <alignment horizontal="center" wrapText="1"/>
    </xf>
    <xf numFmtId="0" fontId="1" fillId="17" borderId="1" xfId="0" applyFont="1" applyFill="1" applyBorder="1" applyAlignment="1">
      <alignment horizontal="center" wrapText="1"/>
    </xf>
    <xf numFmtId="0" fontId="2" fillId="17" borderId="1" xfId="0" applyFont="1" applyFill="1" applyBorder="1" applyAlignment="1">
      <alignment horizontal="center" wrapText="1"/>
    </xf>
    <xf numFmtId="0" fontId="16" fillId="0" borderId="1" xfId="0" applyFont="1" applyBorder="1" applyAlignment="1">
      <alignment horizontal="center" wrapText="1"/>
    </xf>
    <xf numFmtId="0" fontId="16" fillId="18" borderId="1" xfId="0" applyFont="1" applyFill="1" applyBorder="1" applyAlignment="1">
      <alignment horizontal="center" wrapText="1"/>
    </xf>
    <xf numFmtId="0" fontId="12" fillId="18" borderId="1" xfId="0" applyFont="1" applyFill="1" applyBorder="1" applyAlignment="1">
      <alignment horizontal="center" wrapText="1"/>
    </xf>
    <xf numFmtId="0" fontId="12" fillId="6" borderId="1" xfId="0" applyFont="1" applyFill="1" applyBorder="1" applyAlignment="1">
      <alignment horizontal="center" wrapText="1"/>
    </xf>
    <xf numFmtId="0" fontId="2" fillId="18" borderId="1" xfId="0" applyFont="1" applyFill="1" applyBorder="1" applyAlignment="1">
      <alignment horizontal="center" wrapText="1"/>
    </xf>
    <xf numFmtId="0" fontId="1" fillId="19" borderId="1" xfId="0" applyFont="1" applyFill="1" applyBorder="1" applyAlignment="1">
      <alignment horizontal="center" wrapText="1"/>
    </xf>
    <xf numFmtId="0" fontId="2" fillId="19" borderId="1" xfId="0" applyFont="1" applyFill="1" applyBorder="1" applyAlignment="1">
      <alignment horizontal="center" wrapText="1"/>
    </xf>
    <xf numFmtId="0" fontId="1" fillId="20" borderId="1" xfId="0" applyFont="1" applyFill="1" applyBorder="1" applyAlignment="1">
      <alignment horizontal="center" wrapText="1"/>
    </xf>
    <xf numFmtId="0" fontId="1" fillId="21" borderId="1" xfId="0" applyFont="1" applyFill="1" applyBorder="1" applyAlignment="1">
      <alignment horizontal="center" wrapText="1"/>
    </xf>
    <xf numFmtId="0" fontId="2" fillId="21" borderId="1" xfId="0" applyFont="1" applyFill="1" applyBorder="1" applyAlignment="1">
      <alignment horizontal="center" wrapText="1"/>
    </xf>
    <xf numFmtId="49" fontId="1" fillId="21" borderId="1" xfId="0" applyNumberFormat="1" applyFont="1" applyFill="1" applyBorder="1" applyAlignment="1">
      <alignment horizontal="center" wrapText="1"/>
    </xf>
    <xf numFmtId="0" fontId="16" fillId="22"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0" fillId="9" borderId="1" xfId="0" applyFont="1" applyFill="1" applyBorder="1" applyAlignment="1">
      <alignment horizontal="center" vertical="center" wrapText="1"/>
    </xf>
    <xf numFmtId="49" fontId="16" fillId="10" borderId="1" xfId="0" applyNumberFormat="1" applyFont="1" applyFill="1" applyBorder="1" applyAlignment="1">
      <alignment horizontal="center" vertical="center" wrapText="1"/>
    </xf>
    <xf numFmtId="0" fontId="21"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21" fillId="13"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49" fontId="16" fillId="14" borderId="1" xfId="0" applyNumberFormat="1" applyFont="1" applyFill="1" applyBorder="1" applyAlignment="1">
      <alignment horizontal="center" vertical="center" wrapText="1"/>
    </xf>
    <xf numFmtId="49" fontId="16" fillId="15"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49" fontId="16" fillId="3" borderId="1" xfId="0" applyNumberFormat="1"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xf>
    <xf numFmtId="0" fontId="1" fillId="0" borderId="5"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5" xfId="0" applyFont="1" applyBorder="1" applyAlignment="1">
      <alignment horizontal="center" vertical="center"/>
    </xf>
    <xf numFmtId="49" fontId="2" fillId="0" borderId="5"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16"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2" fillId="23" borderId="1" xfId="0" applyFont="1" applyFill="1" applyBorder="1" applyAlignment="1">
      <alignment horizontal="center" vertical="center"/>
    </xf>
    <xf numFmtId="14" fontId="12" fillId="23" borderId="1" xfId="0" applyNumberFormat="1" applyFont="1" applyFill="1" applyBorder="1" applyAlignment="1">
      <alignment horizontal="center" vertical="center"/>
    </xf>
    <xf numFmtId="0" fontId="12" fillId="6" borderId="1" xfId="0" applyFont="1" applyFill="1" applyBorder="1" applyAlignment="1">
      <alignment horizontal="center" vertical="center"/>
    </xf>
    <xf numFmtId="0" fontId="12" fillId="24" borderId="1" xfId="0" applyFont="1" applyFill="1" applyBorder="1" applyAlignment="1">
      <alignment horizontal="center" vertical="center"/>
    </xf>
    <xf numFmtId="14" fontId="12" fillId="24" borderId="1" xfId="0" applyNumberFormat="1" applyFont="1" applyFill="1" applyBorder="1" applyAlignment="1">
      <alignment horizontal="center" vertical="center"/>
    </xf>
    <xf numFmtId="0" fontId="12" fillId="25" borderId="1" xfId="0" applyFont="1" applyFill="1" applyBorder="1" applyAlignment="1">
      <alignment horizontal="center" vertical="center"/>
    </xf>
    <xf numFmtId="14" fontId="12" fillId="25" borderId="1" xfId="0" applyNumberFormat="1" applyFont="1" applyFill="1" applyBorder="1" applyAlignment="1">
      <alignment horizontal="center" vertical="center"/>
    </xf>
    <xf numFmtId="0" fontId="12" fillId="17" borderId="1" xfId="0" applyFont="1" applyFill="1" applyBorder="1" applyAlignment="1">
      <alignment horizontal="center" vertical="center"/>
    </xf>
    <xf numFmtId="14" fontId="12" fillId="17" borderId="1" xfId="0" applyNumberFormat="1" applyFont="1" applyFill="1" applyBorder="1" applyAlignment="1">
      <alignment horizontal="center" vertical="center"/>
    </xf>
    <xf numFmtId="0" fontId="12" fillId="26" borderId="1" xfId="0" applyFont="1" applyFill="1" applyBorder="1" applyAlignment="1">
      <alignment horizontal="center" vertical="center"/>
    </xf>
    <xf numFmtId="14" fontId="12" fillId="26" borderId="1" xfId="0" applyNumberFormat="1" applyFont="1" applyFill="1" applyBorder="1" applyAlignment="1">
      <alignment horizontal="center" vertical="center"/>
    </xf>
    <xf numFmtId="0" fontId="12" fillId="16" borderId="1" xfId="0" applyFont="1" applyFill="1" applyBorder="1" applyAlignment="1">
      <alignment horizontal="center" vertical="center"/>
    </xf>
    <xf numFmtId="14" fontId="12" fillId="16" borderId="1" xfId="0" applyNumberFormat="1" applyFont="1" applyFill="1" applyBorder="1" applyAlignment="1">
      <alignment horizontal="center" vertical="center"/>
    </xf>
    <xf numFmtId="0" fontId="12" fillId="0" borderId="1" xfId="0" applyFont="1" applyBorder="1" applyAlignment="1">
      <alignment horizontal="center" vertical="center"/>
    </xf>
    <xf numFmtId="0" fontId="2" fillId="17" borderId="1" xfId="0" applyFont="1" applyFill="1" applyBorder="1" applyAlignment="1">
      <alignment horizontal="center"/>
    </xf>
    <xf numFmtId="0" fontId="12" fillId="12" borderId="1" xfId="0" applyFont="1" applyFill="1" applyBorder="1" applyAlignment="1">
      <alignment horizontal="center" vertical="center"/>
    </xf>
    <xf numFmtId="0" fontId="2" fillId="12" borderId="1" xfId="0" applyFont="1" applyFill="1" applyBorder="1" applyAlignment="1">
      <alignment horizontal="center"/>
    </xf>
    <xf numFmtId="0" fontId="12" fillId="27" borderId="1" xfId="0" applyFont="1" applyFill="1" applyBorder="1" applyAlignment="1">
      <alignment horizontal="center" wrapText="1"/>
    </xf>
    <xf numFmtId="0" fontId="2" fillId="27" borderId="1" xfId="0" applyFont="1" applyFill="1" applyBorder="1" applyAlignment="1">
      <alignment horizontal="center" wrapText="1"/>
    </xf>
    <xf numFmtId="14" fontId="2" fillId="27" borderId="1" xfId="0" applyNumberFormat="1" applyFont="1" applyFill="1" applyBorder="1" applyAlignment="1">
      <alignment horizontal="center" wrapText="1"/>
    </xf>
    <xf numFmtId="0" fontId="12" fillId="6" borderId="1" xfId="0" applyFont="1" applyFill="1" applyBorder="1"/>
    <xf numFmtId="0" fontId="12" fillId="28" borderId="1" xfId="0" applyFont="1" applyFill="1" applyBorder="1" applyAlignment="1">
      <alignment horizontal="center" wrapText="1"/>
    </xf>
    <xf numFmtId="0" fontId="2" fillId="28" borderId="1" xfId="0" applyFont="1" applyFill="1" applyBorder="1" applyAlignment="1">
      <alignment horizontal="center" wrapText="1"/>
    </xf>
    <xf numFmtId="0" fontId="2" fillId="28" borderId="1" xfId="0" applyFont="1" applyFill="1" applyBorder="1" applyAlignment="1">
      <alignment horizontal="center"/>
    </xf>
    <xf numFmtId="14" fontId="2" fillId="28" borderId="1" xfId="0" applyNumberFormat="1" applyFont="1" applyFill="1" applyBorder="1" applyAlignment="1">
      <alignment horizontal="center" wrapText="1"/>
    </xf>
    <xf numFmtId="0" fontId="12" fillId="23" borderId="1" xfId="0" applyFont="1" applyFill="1" applyBorder="1" applyAlignment="1">
      <alignment horizontal="center" wrapText="1"/>
    </xf>
    <xf numFmtId="0" fontId="2" fillId="23" borderId="1" xfId="0" applyFont="1" applyFill="1" applyBorder="1" applyAlignment="1">
      <alignment horizontal="center"/>
    </xf>
    <xf numFmtId="0" fontId="12" fillId="23" borderId="1" xfId="0" applyFont="1" applyFill="1" applyBorder="1" applyAlignment="1">
      <alignment horizontal="center"/>
    </xf>
    <xf numFmtId="14" fontId="2" fillId="23" borderId="1" xfId="0" applyNumberFormat="1" applyFont="1" applyFill="1" applyBorder="1" applyAlignment="1">
      <alignment horizontal="center" wrapText="1"/>
    </xf>
    <xf numFmtId="0" fontId="12" fillId="29" borderId="1" xfId="0" applyFont="1" applyFill="1" applyBorder="1" applyAlignment="1">
      <alignment horizontal="center" wrapText="1"/>
    </xf>
    <xf numFmtId="0" fontId="2" fillId="29" borderId="1" xfId="0" applyFont="1" applyFill="1" applyBorder="1" applyAlignment="1">
      <alignment horizontal="center" wrapText="1"/>
    </xf>
    <xf numFmtId="14" fontId="2" fillId="29" borderId="1" xfId="0" applyNumberFormat="1" applyFont="1" applyFill="1" applyBorder="1" applyAlignment="1">
      <alignment horizontal="center" wrapText="1"/>
    </xf>
    <xf numFmtId="0" fontId="12" fillId="25" borderId="1" xfId="0" applyFont="1" applyFill="1" applyBorder="1" applyAlignment="1">
      <alignment horizontal="center" wrapText="1"/>
    </xf>
    <xf numFmtId="14" fontId="12" fillId="25" borderId="1" xfId="0" applyNumberFormat="1" applyFont="1" applyFill="1" applyBorder="1" applyAlignment="1">
      <alignment horizontal="center" wrapText="1"/>
    </xf>
    <xf numFmtId="14" fontId="12" fillId="23" borderId="1" xfId="0" applyNumberFormat="1" applyFont="1" applyFill="1" applyBorder="1" applyAlignment="1">
      <alignment horizontal="center"/>
    </xf>
    <xf numFmtId="0" fontId="12" fillId="6" borderId="1" xfId="0" applyFont="1" applyFill="1" applyBorder="1" applyAlignment="1">
      <alignment horizontal="center" vertical="center"/>
    </xf>
    <xf numFmtId="14" fontId="12" fillId="6" borderId="1" xfId="0" applyNumberFormat="1" applyFont="1" applyFill="1" applyBorder="1" applyAlignment="1">
      <alignment horizontal="center" vertical="center"/>
    </xf>
    <xf numFmtId="0" fontId="16" fillId="4" borderId="1" xfId="0" applyFont="1" applyFill="1" applyBorder="1" applyAlignment="1">
      <alignment horizontal="center" vertical="center"/>
    </xf>
    <xf numFmtId="0" fontId="16" fillId="30" borderId="1" xfId="0" applyFont="1" applyFill="1" applyBorder="1" applyAlignment="1">
      <alignment horizontal="center" vertical="center" wrapText="1"/>
    </xf>
    <xf numFmtId="0" fontId="21" fillId="0" borderId="4" xfId="0" applyFont="1" applyBorder="1" applyAlignment="1">
      <alignment horizontal="center"/>
    </xf>
    <xf numFmtId="0" fontId="21" fillId="0" borderId="1" xfId="0" applyFont="1" applyBorder="1" applyAlignment="1">
      <alignment horizontal="center"/>
    </xf>
    <xf numFmtId="0" fontId="12" fillId="31" borderId="1" xfId="0" applyFont="1" applyFill="1" applyBorder="1" applyAlignment="1">
      <alignment horizontal="center" vertical="center"/>
    </xf>
    <xf numFmtId="14" fontId="12" fillId="31" borderId="1" xfId="0" applyNumberFormat="1" applyFont="1" applyFill="1" applyBorder="1" applyAlignment="1">
      <alignment horizontal="center" vertical="center"/>
    </xf>
    <xf numFmtId="0" fontId="22" fillId="6" borderId="1" xfId="0" applyFont="1" applyFill="1" applyBorder="1" applyAlignment="1">
      <alignment horizontal="center" vertical="center"/>
    </xf>
    <xf numFmtId="0" fontId="12" fillId="29" borderId="1" xfId="0" applyFont="1" applyFill="1" applyBorder="1" applyAlignment="1">
      <alignment horizontal="center" vertical="center"/>
    </xf>
    <xf numFmtId="14" fontId="12" fillId="29" borderId="1" xfId="0" applyNumberFormat="1" applyFont="1" applyFill="1" applyBorder="1" applyAlignment="1">
      <alignment horizontal="center" vertical="center"/>
    </xf>
    <xf numFmtId="0" fontId="12" fillId="32" borderId="1" xfId="0" applyFont="1" applyFill="1" applyBorder="1" applyAlignment="1">
      <alignment horizontal="center" vertical="center"/>
    </xf>
    <xf numFmtId="14" fontId="12" fillId="32" borderId="1" xfId="0" applyNumberFormat="1" applyFont="1" applyFill="1" applyBorder="1" applyAlignment="1">
      <alignment horizontal="center" vertical="center"/>
    </xf>
    <xf numFmtId="0" fontId="12" fillId="33" borderId="1" xfId="0" applyFont="1" applyFill="1" applyBorder="1" applyAlignment="1">
      <alignment horizontal="center" vertical="center"/>
    </xf>
    <xf numFmtId="14" fontId="12" fillId="33" borderId="1" xfId="0" applyNumberFormat="1" applyFont="1" applyFill="1" applyBorder="1" applyAlignment="1">
      <alignment horizontal="center" vertical="center"/>
    </xf>
    <xf numFmtId="0" fontId="23" fillId="12" borderId="1" xfId="0" applyFont="1" applyFill="1" applyBorder="1" applyAlignment="1">
      <alignment horizontal="center" vertical="center"/>
    </xf>
    <xf numFmtId="0" fontId="12" fillId="34" borderId="1" xfId="0" applyFont="1" applyFill="1" applyBorder="1" applyAlignment="1">
      <alignment horizontal="center" vertical="center"/>
    </xf>
    <xf numFmtId="14" fontId="12" fillId="34" borderId="1" xfId="0" applyNumberFormat="1" applyFont="1" applyFill="1" applyBorder="1" applyAlignment="1">
      <alignment horizontal="center" vertical="center"/>
    </xf>
    <xf numFmtId="0" fontId="12" fillId="35" borderId="1" xfId="0" applyFont="1" applyFill="1" applyBorder="1" applyAlignment="1">
      <alignment horizontal="center" vertical="center"/>
    </xf>
    <xf numFmtId="14" fontId="12" fillId="35" borderId="1" xfId="0" applyNumberFormat="1" applyFont="1" applyFill="1" applyBorder="1" applyAlignment="1">
      <alignment horizontal="center" vertical="center"/>
    </xf>
    <xf numFmtId="0" fontId="12" fillId="36" borderId="1" xfId="0" applyFont="1" applyFill="1" applyBorder="1" applyAlignment="1">
      <alignment horizontal="center" vertical="center"/>
    </xf>
    <xf numFmtId="14" fontId="12" fillId="36" borderId="1" xfId="0" applyNumberFormat="1" applyFont="1" applyFill="1" applyBorder="1" applyAlignment="1">
      <alignment horizontal="center" vertical="center"/>
    </xf>
    <xf numFmtId="0" fontId="12" fillId="28" borderId="1" xfId="0" applyFont="1" applyFill="1" applyBorder="1" applyAlignment="1">
      <alignment horizontal="center" vertical="center"/>
    </xf>
    <xf numFmtId="14" fontId="12" fillId="28" borderId="1" xfId="0" applyNumberFormat="1" applyFont="1" applyFill="1" applyBorder="1" applyAlignment="1">
      <alignment horizontal="center" vertical="center"/>
    </xf>
    <xf numFmtId="0" fontId="12" fillId="27" borderId="1" xfId="0" applyFont="1" applyFill="1" applyBorder="1" applyAlignment="1">
      <alignment horizontal="center" vertical="center"/>
    </xf>
    <xf numFmtId="14" fontId="12" fillId="27" borderId="1" xfId="0" applyNumberFormat="1" applyFont="1" applyFill="1" applyBorder="1" applyAlignment="1">
      <alignment horizontal="center" vertical="center"/>
    </xf>
    <xf numFmtId="14" fontId="12" fillId="37" borderId="1" xfId="0" applyNumberFormat="1" applyFont="1" applyFill="1" applyBorder="1" applyAlignment="1">
      <alignment horizontal="center" vertical="center"/>
    </xf>
    <xf numFmtId="0" fontId="12" fillId="37" borderId="1" xfId="0" applyFont="1" applyFill="1" applyBorder="1" applyAlignment="1">
      <alignment horizontal="center" vertical="center"/>
    </xf>
    <xf numFmtId="0" fontId="12" fillId="38" borderId="1" xfId="0" applyFont="1" applyFill="1" applyBorder="1" applyAlignment="1">
      <alignment horizontal="center" vertical="center"/>
    </xf>
    <xf numFmtId="14" fontId="12" fillId="38" borderId="1" xfId="0" applyNumberFormat="1" applyFont="1" applyFill="1" applyBorder="1" applyAlignment="1">
      <alignment horizontal="center" vertical="center"/>
    </xf>
    <xf numFmtId="0" fontId="12" fillId="0" borderId="1" xfId="0" applyFont="1" applyBorder="1" applyAlignment="1">
      <alignment horizontal="center" vertical="center" wrapText="1"/>
    </xf>
    <xf numFmtId="0" fontId="21" fillId="6" borderId="6" xfId="0" applyFont="1" applyFill="1" applyBorder="1" applyAlignment="1">
      <alignment horizontal="center"/>
    </xf>
    <xf numFmtId="0" fontId="21" fillId="6" borderId="1" xfId="0" applyFont="1" applyFill="1" applyBorder="1" applyAlignment="1">
      <alignment horizontal="center"/>
    </xf>
    <xf numFmtId="14" fontId="12" fillId="32" borderId="1" xfId="0" applyNumberFormat="1" applyFont="1" applyFill="1" applyBorder="1" applyAlignment="1">
      <alignment horizontal="center" vertical="center" wrapText="1"/>
    </xf>
    <xf numFmtId="0" fontId="24" fillId="0" borderId="4" xfId="0" applyFont="1" applyBorder="1"/>
    <xf numFmtId="0" fontId="24" fillId="0" borderId="1" xfId="0" applyFont="1" applyBorder="1"/>
    <xf numFmtId="0" fontId="12" fillId="29" borderId="1" xfId="0" applyFont="1" applyFill="1" applyBorder="1" applyAlignment="1">
      <alignment horizontal="center" vertical="center" wrapText="1"/>
    </xf>
    <xf numFmtId="14" fontId="12" fillId="29" borderId="1" xfId="0" applyNumberFormat="1" applyFont="1" applyFill="1" applyBorder="1" applyAlignment="1">
      <alignment horizontal="center" vertical="center" wrapText="1"/>
    </xf>
    <xf numFmtId="0" fontId="12" fillId="33" borderId="1" xfId="0" applyFont="1" applyFill="1" applyBorder="1" applyAlignment="1">
      <alignment horizontal="center" vertical="center" wrapText="1"/>
    </xf>
    <xf numFmtId="14" fontId="12" fillId="19" borderId="1" xfId="0" applyNumberFormat="1" applyFont="1" applyFill="1" applyBorder="1" applyAlignment="1">
      <alignment horizontal="center" vertical="center" wrapText="1"/>
    </xf>
    <xf numFmtId="0" fontId="12" fillId="31" borderId="1" xfId="0" applyFont="1" applyFill="1" applyBorder="1" applyAlignment="1">
      <alignment horizontal="center" vertical="center" wrapText="1"/>
    </xf>
    <xf numFmtId="14" fontId="12" fillId="39" borderId="1" xfId="0" applyNumberFormat="1" applyFont="1" applyFill="1" applyBorder="1" applyAlignment="1">
      <alignment horizontal="center" vertical="center" wrapText="1"/>
    </xf>
    <xf numFmtId="0" fontId="12" fillId="34" borderId="1" xfId="0" applyFont="1" applyFill="1" applyBorder="1" applyAlignment="1">
      <alignment horizontal="center" vertical="center" wrapText="1"/>
    </xf>
    <xf numFmtId="14" fontId="12" fillId="34" borderId="1" xfId="0" applyNumberFormat="1" applyFont="1" applyFill="1" applyBorder="1" applyAlignment="1">
      <alignment horizontal="center" vertical="center" wrapText="1"/>
    </xf>
    <xf numFmtId="14" fontId="12" fillId="28" borderId="1" xfId="0" applyNumberFormat="1" applyFont="1" applyFill="1" applyBorder="1" applyAlignment="1">
      <alignment horizontal="center" vertical="center"/>
    </xf>
    <xf numFmtId="0" fontId="25" fillId="6" borderId="8" xfId="0" applyFont="1" applyFill="1" applyBorder="1" applyAlignment="1">
      <alignment horizontal="center"/>
    </xf>
    <xf numFmtId="0" fontId="25" fillId="12" borderId="9" xfId="0" applyFont="1" applyFill="1" applyBorder="1" applyAlignment="1">
      <alignment horizontal="center"/>
    </xf>
    <xf numFmtId="0" fontId="25" fillId="12" borderId="10" xfId="0" applyFont="1" applyFill="1" applyBorder="1" applyAlignment="1">
      <alignment horizontal="center"/>
    </xf>
    <xf numFmtId="0" fontId="25" fillId="0" borderId="1" xfId="0" applyFont="1" applyBorder="1" applyAlignment="1">
      <alignment horizontal="center"/>
    </xf>
    <xf numFmtId="0" fontId="25" fillId="6" borderId="1" xfId="0" applyFont="1" applyFill="1" applyBorder="1" applyAlignment="1">
      <alignment horizontal="center"/>
    </xf>
    <xf numFmtId="0" fontId="25" fillId="12" borderId="11" xfId="0" applyFont="1" applyFill="1" applyBorder="1" applyAlignment="1">
      <alignment horizontal="center"/>
    </xf>
    <xf numFmtId="0" fontId="21" fillId="0" borderId="1" xfId="0" applyFont="1" applyBorder="1"/>
    <xf numFmtId="0" fontId="25" fillId="12" borderId="6" xfId="0" applyFont="1" applyFill="1" applyBorder="1" applyAlignment="1">
      <alignment horizontal="center"/>
    </xf>
    <xf numFmtId="0" fontId="24" fillId="12" borderId="11" xfId="0" applyFont="1" applyFill="1" applyBorder="1" applyAlignment="1">
      <alignment horizontal="center"/>
    </xf>
    <xf numFmtId="49" fontId="16" fillId="4" borderId="1" xfId="0" applyNumberFormat="1" applyFont="1" applyFill="1" applyBorder="1" applyAlignment="1">
      <alignment horizontal="center" vertical="center"/>
    </xf>
    <xf numFmtId="0" fontId="12" fillId="4"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1" fontId="12" fillId="0" borderId="1" xfId="0" applyNumberFormat="1" applyFont="1" applyBorder="1" applyAlignment="1">
      <alignment horizontal="center" vertical="center"/>
    </xf>
    <xf numFmtId="3" fontId="12" fillId="0" borderId="1" xfId="0" applyNumberFormat="1" applyFont="1" applyBorder="1" applyAlignment="1">
      <alignment horizontal="center" vertical="center"/>
    </xf>
    <xf numFmtId="0" fontId="12" fillId="6" borderId="6" xfId="0" applyFont="1" applyFill="1" applyBorder="1" applyAlignment="1">
      <alignment horizontal="center" vertical="center"/>
    </xf>
    <xf numFmtId="20" fontId="12" fillId="0" borderId="1" xfId="0" applyNumberFormat="1" applyFont="1" applyBorder="1" applyAlignment="1">
      <alignment horizontal="center" vertical="center"/>
    </xf>
    <xf numFmtId="165" fontId="12" fillId="0" borderId="1" xfId="0" applyNumberFormat="1" applyFont="1" applyBorder="1" applyAlignment="1">
      <alignment horizontal="center" vertical="center"/>
    </xf>
    <xf numFmtId="165" fontId="12" fillId="6" borderId="1" xfId="0" applyNumberFormat="1" applyFont="1" applyFill="1" applyBorder="1" applyAlignment="1">
      <alignment horizontal="center" vertical="center"/>
    </xf>
    <xf numFmtId="0" fontId="12" fillId="0" borderId="4" xfId="0" applyFont="1" applyBorder="1" applyAlignment="1">
      <alignment horizontal="center" vertical="center"/>
    </xf>
    <xf numFmtId="20" fontId="12" fillId="6" borderId="1" xfId="0" applyNumberFormat="1" applyFont="1" applyFill="1" applyBorder="1" applyAlignment="1">
      <alignment horizontal="center" vertical="center"/>
    </xf>
    <xf numFmtId="3" fontId="12" fillId="6" borderId="1" xfId="0" applyNumberFormat="1" applyFont="1" applyFill="1" applyBorder="1" applyAlignment="1">
      <alignment horizontal="center" vertical="center"/>
    </xf>
    <xf numFmtId="166" fontId="12" fillId="0" borderId="1" xfId="0" applyNumberFormat="1" applyFont="1" applyBorder="1" applyAlignment="1">
      <alignment horizontal="center" vertical="center"/>
    </xf>
    <xf numFmtId="167" fontId="12"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5" xfId="0" applyFont="1" applyBorder="1" applyAlignment="1">
      <alignment horizontal="center" vertical="center"/>
    </xf>
    <xf numFmtId="20" fontId="12" fillId="6" borderId="1" xfId="0" applyNumberFormat="1" applyFont="1" applyFill="1" applyBorder="1" applyAlignment="1">
      <alignment horizontal="center" vertical="center" wrapText="1"/>
    </xf>
    <xf numFmtId="0" fontId="25" fillId="6" borderId="6" xfId="0" applyFont="1" applyFill="1" applyBorder="1" applyAlignment="1">
      <alignment horizontal="left" vertical="center" wrapText="1"/>
    </xf>
    <xf numFmtId="0" fontId="25" fillId="6" borderId="1" xfId="0" applyFont="1" applyFill="1" applyBorder="1" applyAlignment="1">
      <alignment horizontal="left" vertical="center" wrapText="1"/>
    </xf>
    <xf numFmtId="0" fontId="25" fillId="6" borderId="1" xfId="0" applyFont="1" applyFill="1" applyBorder="1"/>
    <xf numFmtId="49" fontId="12" fillId="6" borderId="1" xfId="0" applyNumberFormat="1" applyFont="1" applyFill="1" applyBorder="1" applyAlignment="1">
      <alignment horizontal="center" vertical="center"/>
    </xf>
    <xf numFmtId="0" fontId="24" fillId="6" borderId="6" xfId="0" applyFont="1" applyFill="1" applyBorder="1"/>
    <xf numFmtId="0" fontId="24" fillId="6" borderId="1" xfId="0" applyFont="1" applyFill="1" applyBorder="1"/>
    <xf numFmtId="0" fontId="12" fillId="0" borderId="7" xfId="0" applyFont="1" applyBorder="1" applyAlignment="1">
      <alignment horizontal="center" vertical="center"/>
    </xf>
    <xf numFmtId="49" fontId="12" fillId="0" borderId="7" xfId="0" applyNumberFormat="1" applyFont="1" applyBorder="1" applyAlignment="1">
      <alignment horizontal="center" vertical="center"/>
    </xf>
    <xf numFmtId="0" fontId="12" fillId="0" borderId="0" xfId="0" applyFont="1" applyAlignment="1">
      <alignment horizontal="center" vertical="center"/>
    </xf>
    <xf numFmtId="0" fontId="25" fillId="0" borderId="0" xfId="0" applyFont="1"/>
    <xf numFmtId="3" fontId="2" fillId="0" borderId="1" xfId="0" applyNumberFormat="1" applyFont="1" applyBorder="1" applyAlignment="1">
      <alignment horizontal="center" vertical="center"/>
    </xf>
    <xf numFmtId="0" fontId="2" fillId="0" borderId="1" xfId="0" applyFont="1" applyBorder="1" applyAlignment="1">
      <alignment horizontal="center"/>
    </xf>
    <xf numFmtId="3" fontId="1" fillId="0" borderId="1" xfId="0" applyNumberFormat="1" applyFont="1" applyBorder="1" applyAlignment="1">
      <alignment horizontal="center" vertical="center"/>
    </xf>
    <xf numFmtId="0" fontId="2" fillId="0" borderId="0" xfId="0" applyFont="1" applyAlignment="1">
      <alignment horizontal="center" vertical="center"/>
    </xf>
    <xf numFmtId="0" fontId="12" fillId="0" borderId="0" xfId="0" applyFont="1"/>
    <xf numFmtId="0" fontId="12" fillId="40" borderId="1" xfId="0" applyFont="1" applyFill="1" applyBorder="1" applyAlignment="1">
      <alignment horizontal="center" vertical="center"/>
    </xf>
    <xf numFmtId="14" fontId="12" fillId="40" borderId="1" xfId="0" applyNumberFormat="1" applyFont="1" applyFill="1" applyBorder="1" applyAlignment="1">
      <alignment horizontal="center" vertical="center"/>
    </xf>
    <xf numFmtId="0" fontId="2" fillId="41" borderId="1" xfId="0" applyFont="1" applyFill="1" applyBorder="1" applyAlignment="1">
      <alignment horizontal="center" vertical="center"/>
    </xf>
    <xf numFmtId="14" fontId="2" fillId="41" borderId="1" xfId="0" applyNumberFormat="1" applyFont="1" applyFill="1" applyBorder="1" applyAlignment="1">
      <alignment horizontal="center" vertical="center"/>
    </xf>
    <xf numFmtId="0" fontId="27" fillId="41" borderId="1" xfId="0" applyFont="1" applyFill="1" applyBorder="1" applyAlignment="1">
      <alignment horizontal="center" vertical="center"/>
    </xf>
    <xf numFmtId="14" fontId="2" fillId="41" borderId="11" xfId="0" applyNumberFormat="1" applyFont="1" applyFill="1" applyBorder="1" applyAlignment="1">
      <alignment horizontal="center" vertical="center"/>
    </xf>
    <xf numFmtId="0" fontId="27" fillId="6" borderId="14" xfId="0" applyFont="1" applyFill="1" applyBorder="1" applyAlignment="1">
      <alignment horizontal="center"/>
    </xf>
    <xf numFmtId="0" fontId="28" fillId="0" borderId="15" xfId="0" applyFont="1" applyBorder="1" applyAlignment="1">
      <alignment horizontal="center"/>
    </xf>
    <xf numFmtId="0" fontId="21" fillId="0" borderId="10" xfId="0" applyFont="1" applyBorder="1"/>
    <xf numFmtId="0" fontId="21" fillId="0" borderId="6" xfId="0" applyFont="1" applyBorder="1"/>
    <xf numFmtId="0" fontId="12" fillId="6" borderId="5" xfId="0" applyFont="1" applyFill="1" applyBorder="1" applyAlignment="1">
      <alignment horizontal="center" vertical="center"/>
    </xf>
    <xf numFmtId="0" fontId="12" fillId="12" borderId="5" xfId="0" applyFont="1" applyFill="1" applyBorder="1" applyAlignment="1">
      <alignment horizontal="center" vertical="center"/>
    </xf>
    <xf numFmtId="0" fontId="27" fillId="6" borderId="13" xfId="0" applyFont="1" applyFill="1" applyBorder="1" applyAlignment="1">
      <alignment horizontal="center"/>
    </xf>
    <xf numFmtId="0" fontId="27" fillId="12" borderId="13" xfId="0" applyFont="1" applyFill="1" applyBorder="1" applyAlignment="1">
      <alignment horizontal="center"/>
    </xf>
    <xf numFmtId="0" fontId="27" fillId="0" borderId="0" xfId="0" applyFont="1"/>
    <xf numFmtId="0" fontId="27" fillId="7" borderId="1" xfId="0" applyFont="1" applyFill="1" applyBorder="1" applyAlignment="1">
      <alignment horizontal="center" wrapText="1"/>
    </xf>
    <xf numFmtId="0" fontId="2" fillId="0" borderId="3" xfId="0" applyFont="1" applyBorder="1" applyAlignment="1">
      <alignment horizontal="center" wrapText="1"/>
    </xf>
    <xf numFmtId="0" fontId="19"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amazon.com/Violence-Project-Stop-Shooting-Epidemic/dp/1419752952" TargetMode="External"/><Relationship Id="rId1" Type="http://schemas.openxmlformats.org/officeDocument/2006/relationships/hyperlink" Target="https://www.theviolenceprojec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outlinePr summaryBelow="0" summaryRight="0"/>
  </sheetPr>
  <dimension ref="A1:Z1000"/>
  <sheetViews>
    <sheetView workbookViewId="0"/>
  </sheetViews>
  <sheetFormatPr defaultColWidth="14.47265625" defaultRowHeight="15" customHeight="1" x14ac:dyDescent="0.55000000000000004"/>
  <cols>
    <col min="1" max="1" width="20" customWidth="1"/>
    <col min="2" max="2" width="46.3125" customWidth="1"/>
    <col min="3" max="3" width="81.15625" customWidth="1"/>
  </cols>
  <sheetData>
    <row r="1" spans="1:26" ht="15.75" customHeight="1" x14ac:dyDescent="0.6">
      <c r="A1" s="1" t="s">
        <v>0</v>
      </c>
      <c r="B1" s="2"/>
      <c r="C1" s="2"/>
      <c r="D1" s="3"/>
      <c r="E1" s="3"/>
      <c r="F1" s="3"/>
      <c r="G1" s="3"/>
      <c r="H1" s="3"/>
      <c r="I1" s="3"/>
      <c r="J1" s="3"/>
      <c r="K1" s="3"/>
      <c r="L1" s="3"/>
      <c r="M1" s="3"/>
      <c r="N1" s="3"/>
      <c r="O1" s="3"/>
      <c r="P1" s="3"/>
      <c r="Q1" s="3"/>
      <c r="R1" s="3"/>
      <c r="S1" s="3"/>
      <c r="T1" s="3"/>
      <c r="U1" s="3"/>
      <c r="V1" s="3"/>
      <c r="W1" s="3"/>
      <c r="X1" s="4"/>
      <c r="Y1" s="4"/>
      <c r="Z1" s="4"/>
    </row>
    <row r="2" spans="1:26" ht="15.75" customHeight="1" x14ac:dyDescent="0.6">
      <c r="A2" s="1" t="s">
        <v>1</v>
      </c>
      <c r="B2" s="2"/>
      <c r="C2" s="2"/>
      <c r="D2" s="3"/>
      <c r="E2" s="3"/>
      <c r="F2" s="3"/>
      <c r="G2" s="3"/>
      <c r="H2" s="3"/>
      <c r="I2" s="3"/>
      <c r="J2" s="3"/>
      <c r="K2" s="3"/>
      <c r="L2" s="3"/>
      <c r="M2" s="3"/>
      <c r="N2" s="3"/>
      <c r="O2" s="3"/>
      <c r="P2" s="3"/>
      <c r="Q2" s="3"/>
      <c r="R2" s="3"/>
      <c r="S2" s="3"/>
      <c r="T2" s="3"/>
      <c r="U2" s="3"/>
      <c r="V2" s="3"/>
      <c r="W2" s="3"/>
      <c r="X2" s="4"/>
      <c r="Y2" s="4"/>
      <c r="Z2" s="4"/>
    </row>
    <row r="3" spans="1:26" ht="15.75" customHeight="1" x14ac:dyDescent="0.6">
      <c r="A3" s="2" t="s">
        <v>2</v>
      </c>
      <c r="B3" s="2"/>
      <c r="C3" s="2"/>
      <c r="D3" s="3"/>
      <c r="E3" s="3"/>
      <c r="F3" s="3"/>
      <c r="G3" s="3"/>
      <c r="H3" s="3"/>
      <c r="I3" s="3"/>
      <c r="J3" s="3"/>
      <c r="K3" s="3"/>
      <c r="L3" s="3"/>
      <c r="M3" s="3"/>
      <c r="N3" s="3"/>
      <c r="O3" s="3"/>
      <c r="P3" s="3"/>
      <c r="Q3" s="3"/>
      <c r="R3" s="3"/>
      <c r="S3" s="3"/>
      <c r="T3" s="3"/>
      <c r="U3" s="3"/>
      <c r="V3" s="3"/>
      <c r="W3" s="3"/>
      <c r="X3" s="4"/>
      <c r="Y3" s="4"/>
      <c r="Z3" s="4"/>
    </row>
    <row r="4" spans="1:26" ht="15.75" customHeight="1" x14ac:dyDescent="0.6">
      <c r="A4" s="3"/>
      <c r="B4" s="3"/>
      <c r="C4" s="3"/>
      <c r="D4" s="3"/>
      <c r="E4" s="3"/>
      <c r="F4" s="3"/>
      <c r="G4" s="3"/>
      <c r="H4" s="3"/>
      <c r="I4" s="3"/>
      <c r="J4" s="3"/>
      <c r="K4" s="3"/>
      <c r="L4" s="3"/>
      <c r="M4" s="3"/>
      <c r="N4" s="3"/>
      <c r="O4" s="3"/>
      <c r="P4" s="3"/>
      <c r="Q4" s="3"/>
      <c r="R4" s="3"/>
      <c r="S4" s="3"/>
      <c r="T4" s="3"/>
      <c r="U4" s="3"/>
      <c r="V4" s="3"/>
      <c r="W4" s="3"/>
      <c r="X4" s="4"/>
      <c r="Y4" s="4"/>
      <c r="Z4" s="4"/>
    </row>
    <row r="5" spans="1:26" ht="15.75" customHeight="1" x14ac:dyDescent="0.6">
      <c r="A5" s="3"/>
      <c r="B5" s="3"/>
      <c r="C5" s="3"/>
      <c r="D5" s="3"/>
      <c r="E5" s="3"/>
      <c r="F5" s="3"/>
      <c r="G5" s="3"/>
      <c r="H5" s="3"/>
      <c r="I5" s="3"/>
      <c r="J5" s="3"/>
      <c r="K5" s="3"/>
      <c r="L5" s="3"/>
      <c r="M5" s="3"/>
      <c r="N5" s="3"/>
      <c r="O5" s="3"/>
      <c r="P5" s="3"/>
      <c r="Q5" s="3"/>
      <c r="R5" s="3"/>
      <c r="S5" s="3"/>
      <c r="T5" s="3"/>
      <c r="U5" s="3"/>
      <c r="V5" s="3"/>
      <c r="W5" s="3"/>
      <c r="X5" s="4"/>
      <c r="Y5" s="4"/>
      <c r="Z5" s="4"/>
    </row>
    <row r="6" spans="1:26" ht="15.75" customHeight="1" x14ac:dyDescent="0.6">
      <c r="A6" s="5" t="s">
        <v>3</v>
      </c>
      <c r="B6" s="5" t="s">
        <v>4</v>
      </c>
      <c r="C6" s="5" t="s">
        <v>5</v>
      </c>
      <c r="D6" s="3"/>
      <c r="E6" s="3"/>
      <c r="F6" s="3"/>
      <c r="G6" s="3"/>
      <c r="H6" s="3"/>
      <c r="I6" s="3"/>
      <c r="J6" s="3"/>
      <c r="K6" s="3"/>
      <c r="L6" s="3"/>
      <c r="M6" s="3"/>
      <c r="N6" s="3"/>
      <c r="O6" s="3"/>
      <c r="P6" s="3"/>
      <c r="Q6" s="3"/>
      <c r="R6" s="3"/>
      <c r="S6" s="3"/>
      <c r="T6" s="3"/>
      <c r="U6" s="3"/>
      <c r="V6" s="3"/>
      <c r="W6" s="3"/>
      <c r="X6" s="4"/>
      <c r="Y6" s="4"/>
      <c r="Z6" s="4"/>
    </row>
    <row r="7" spans="1:26" ht="15.75" customHeight="1" x14ac:dyDescent="0.6">
      <c r="A7" s="6" t="s">
        <v>6</v>
      </c>
      <c r="B7" s="7" t="s">
        <v>7</v>
      </c>
      <c r="C7" s="7"/>
      <c r="D7" s="3"/>
      <c r="E7" s="3"/>
      <c r="F7" s="3"/>
      <c r="G7" s="3"/>
      <c r="H7" s="3"/>
      <c r="I7" s="3"/>
      <c r="J7" s="3"/>
      <c r="K7" s="3"/>
      <c r="L7" s="3"/>
      <c r="M7" s="3"/>
      <c r="N7" s="3"/>
      <c r="O7" s="3"/>
      <c r="P7" s="3"/>
      <c r="Q7" s="3"/>
      <c r="R7" s="3"/>
      <c r="S7" s="3"/>
      <c r="T7" s="3"/>
      <c r="U7" s="3"/>
      <c r="V7" s="3"/>
      <c r="W7" s="3"/>
      <c r="X7" s="4"/>
      <c r="Y7" s="4"/>
      <c r="Z7" s="4"/>
    </row>
    <row r="8" spans="1:26" ht="15.75" customHeight="1" x14ac:dyDescent="0.6">
      <c r="A8" s="8" t="s">
        <v>8</v>
      </c>
      <c r="B8" s="7" t="s">
        <v>9</v>
      </c>
      <c r="C8" s="7" t="s">
        <v>10</v>
      </c>
      <c r="D8" s="3"/>
      <c r="E8" s="3"/>
      <c r="F8" s="3"/>
      <c r="G8" s="3"/>
      <c r="H8" s="3"/>
      <c r="I8" s="3"/>
      <c r="J8" s="3"/>
      <c r="K8" s="3"/>
      <c r="L8" s="3"/>
      <c r="M8" s="3"/>
      <c r="N8" s="3"/>
      <c r="O8" s="3"/>
      <c r="P8" s="3"/>
      <c r="Q8" s="3"/>
      <c r="R8" s="3"/>
      <c r="S8" s="3"/>
      <c r="T8" s="3"/>
      <c r="U8" s="3"/>
      <c r="V8" s="3"/>
      <c r="W8" s="3"/>
      <c r="X8" s="4"/>
      <c r="Y8" s="4"/>
      <c r="Z8" s="4"/>
    </row>
    <row r="9" spans="1:26" ht="15.75" customHeight="1" x14ac:dyDescent="0.6">
      <c r="A9" s="9" t="s">
        <v>11</v>
      </c>
      <c r="B9" s="7" t="s">
        <v>12</v>
      </c>
      <c r="C9" s="7" t="s">
        <v>13</v>
      </c>
      <c r="D9" s="3"/>
      <c r="E9" s="3"/>
      <c r="F9" s="3"/>
      <c r="G9" s="3"/>
      <c r="H9" s="3"/>
      <c r="I9" s="3"/>
      <c r="J9" s="3"/>
      <c r="K9" s="3"/>
      <c r="L9" s="3"/>
      <c r="M9" s="3"/>
      <c r="N9" s="3"/>
      <c r="O9" s="3"/>
      <c r="P9" s="3"/>
      <c r="Q9" s="3"/>
      <c r="R9" s="3"/>
      <c r="S9" s="3"/>
      <c r="T9" s="3"/>
      <c r="U9" s="3"/>
      <c r="V9" s="3"/>
      <c r="W9" s="3"/>
      <c r="X9" s="4"/>
      <c r="Y9" s="4"/>
      <c r="Z9" s="4"/>
    </row>
    <row r="10" spans="1:26" ht="15.75" customHeight="1" x14ac:dyDescent="0.6">
      <c r="A10" s="10" t="s">
        <v>14</v>
      </c>
      <c r="B10" s="7" t="s">
        <v>15</v>
      </c>
      <c r="C10" s="7" t="s">
        <v>16</v>
      </c>
      <c r="D10" s="3"/>
      <c r="E10" s="3"/>
      <c r="F10" s="3"/>
      <c r="G10" s="3"/>
      <c r="H10" s="3"/>
      <c r="I10" s="3"/>
      <c r="J10" s="3"/>
      <c r="K10" s="3"/>
      <c r="L10" s="3"/>
      <c r="M10" s="3"/>
      <c r="N10" s="3"/>
      <c r="O10" s="3"/>
      <c r="P10" s="3"/>
      <c r="Q10" s="3"/>
      <c r="R10" s="3"/>
      <c r="S10" s="3"/>
      <c r="T10" s="3"/>
      <c r="U10" s="3"/>
      <c r="V10" s="3"/>
      <c r="W10" s="3"/>
      <c r="X10" s="4"/>
      <c r="Y10" s="4"/>
      <c r="Z10" s="4"/>
    </row>
    <row r="11" spans="1:26" ht="15.75" customHeight="1" x14ac:dyDescent="0.6">
      <c r="A11" s="11" t="s">
        <v>17</v>
      </c>
      <c r="B11" s="7" t="s">
        <v>18</v>
      </c>
      <c r="C11" s="7" t="s">
        <v>19</v>
      </c>
      <c r="D11" s="3"/>
      <c r="E11" s="3"/>
      <c r="F11" s="3"/>
      <c r="G11" s="3"/>
      <c r="H11" s="3"/>
      <c r="I11" s="3"/>
      <c r="J11" s="3"/>
      <c r="K11" s="3"/>
      <c r="L11" s="3"/>
      <c r="M11" s="3"/>
      <c r="N11" s="3"/>
      <c r="O11" s="3"/>
      <c r="P11" s="3"/>
      <c r="Q11" s="3"/>
      <c r="R11" s="3"/>
      <c r="S11" s="3"/>
      <c r="T11" s="3"/>
      <c r="U11" s="3"/>
      <c r="V11" s="3"/>
      <c r="W11" s="3"/>
      <c r="X11" s="4"/>
      <c r="Y11" s="4"/>
      <c r="Z11" s="4"/>
    </row>
    <row r="12" spans="1:26" ht="15.75" customHeight="1" x14ac:dyDescent="0.6">
      <c r="A12" s="12" t="s">
        <v>20</v>
      </c>
      <c r="B12" s="7" t="s">
        <v>21</v>
      </c>
      <c r="C12" s="7" t="s">
        <v>22</v>
      </c>
      <c r="D12" s="3"/>
      <c r="E12" s="3"/>
      <c r="F12" s="3"/>
      <c r="G12" s="3"/>
      <c r="H12" s="3"/>
      <c r="I12" s="3"/>
      <c r="J12" s="3"/>
      <c r="K12" s="3"/>
      <c r="L12" s="3"/>
      <c r="M12" s="3"/>
      <c r="N12" s="3"/>
      <c r="O12" s="3"/>
      <c r="P12" s="3"/>
      <c r="Q12" s="3"/>
      <c r="R12" s="3"/>
      <c r="S12" s="3"/>
      <c r="T12" s="3"/>
      <c r="U12" s="3"/>
      <c r="V12" s="3"/>
      <c r="W12" s="3"/>
      <c r="X12" s="4"/>
      <c r="Y12" s="4"/>
      <c r="Z12" s="4"/>
    </row>
    <row r="13" spans="1:26" ht="15.75" customHeight="1" x14ac:dyDescent="0.6">
      <c r="A13" s="13" t="s">
        <v>23</v>
      </c>
      <c r="B13" s="7" t="s">
        <v>24</v>
      </c>
      <c r="C13" s="7" t="s">
        <v>25</v>
      </c>
      <c r="D13" s="3"/>
      <c r="E13" s="3"/>
      <c r="F13" s="3"/>
      <c r="G13" s="3"/>
      <c r="H13" s="3"/>
      <c r="I13" s="3"/>
      <c r="J13" s="3"/>
      <c r="K13" s="3"/>
      <c r="L13" s="3"/>
      <c r="M13" s="3"/>
      <c r="N13" s="3"/>
      <c r="O13" s="3"/>
      <c r="P13" s="3"/>
      <c r="Q13" s="3"/>
      <c r="R13" s="3"/>
      <c r="S13" s="3"/>
      <c r="T13" s="3"/>
      <c r="U13" s="3"/>
      <c r="V13" s="3"/>
      <c r="W13" s="3"/>
      <c r="X13" s="4"/>
      <c r="Y13" s="4"/>
      <c r="Z13" s="4"/>
    </row>
    <row r="14" spans="1:26" ht="15.75" customHeight="1" x14ac:dyDescent="0.6">
      <c r="A14" s="14" t="s">
        <v>26</v>
      </c>
      <c r="B14" s="7" t="s">
        <v>27</v>
      </c>
      <c r="C14" s="7" t="s">
        <v>28</v>
      </c>
      <c r="D14" s="3"/>
      <c r="E14" s="3"/>
      <c r="F14" s="3"/>
      <c r="G14" s="3"/>
      <c r="H14" s="3"/>
      <c r="I14" s="3"/>
      <c r="J14" s="3"/>
      <c r="K14" s="3"/>
      <c r="L14" s="3"/>
      <c r="M14" s="3"/>
      <c r="N14" s="3"/>
      <c r="O14" s="3"/>
      <c r="P14" s="3"/>
      <c r="Q14" s="3"/>
      <c r="R14" s="3"/>
      <c r="S14" s="3"/>
      <c r="T14" s="3"/>
      <c r="U14" s="3"/>
      <c r="V14" s="3"/>
      <c r="W14" s="3"/>
      <c r="X14" s="4"/>
      <c r="Y14" s="4"/>
      <c r="Z14" s="4"/>
    </row>
    <row r="15" spans="1:26" ht="15.75" customHeight="1" x14ac:dyDescent="0.6">
      <c r="A15" s="15" t="s">
        <v>29</v>
      </c>
      <c r="B15" s="7" t="s">
        <v>30</v>
      </c>
      <c r="C15" s="7" t="s">
        <v>31</v>
      </c>
      <c r="D15" s="3"/>
      <c r="E15" s="3"/>
      <c r="F15" s="3"/>
      <c r="G15" s="3"/>
      <c r="H15" s="3"/>
      <c r="I15" s="3"/>
      <c r="J15" s="3"/>
      <c r="K15" s="3"/>
      <c r="L15" s="3"/>
      <c r="M15" s="3"/>
      <c r="N15" s="3"/>
      <c r="O15" s="3"/>
      <c r="P15" s="3"/>
      <c r="Q15" s="3"/>
      <c r="R15" s="3"/>
      <c r="S15" s="3"/>
      <c r="T15" s="3"/>
      <c r="U15" s="3"/>
      <c r="V15" s="3"/>
      <c r="W15" s="3"/>
      <c r="X15" s="4"/>
      <c r="Y15" s="4"/>
      <c r="Z15" s="4"/>
    </row>
    <row r="16" spans="1:26" ht="15.75" customHeight="1" x14ac:dyDescent="0.6">
      <c r="A16" s="3"/>
      <c r="B16" s="3"/>
      <c r="C16" s="3"/>
      <c r="D16" s="3"/>
      <c r="E16" s="3"/>
      <c r="F16" s="3"/>
      <c r="G16" s="3"/>
      <c r="H16" s="3"/>
      <c r="I16" s="3"/>
      <c r="J16" s="3"/>
      <c r="K16" s="3"/>
      <c r="L16" s="3"/>
      <c r="M16" s="3"/>
      <c r="N16" s="3"/>
      <c r="O16" s="3"/>
      <c r="P16" s="3"/>
      <c r="Q16" s="3"/>
      <c r="R16" s="3"/>
      <c r="S16" s="3"/>
      <c r="T16" s="3"/>
      <c r="U16" s="3"/>
      <c r="V16" s="3"/>
      <c r="W16" s="3"/>
      <c r="X16" s="4"/>
      <c r="Y16" s="4"/>
      <c r="Z16" s="4"/>
    </row>
    <row r="17" spans="1:26" ht="15.75" customHeight="1" x14ac:dyDescent="0.6">
      <c r="A17" s="3"/>
      <c r="B17" s="3"/>
      <c r="C17" s="3"/>
      <c r="D17" s="3"/>
      <c r="E17" s="3"/>
      <c r="F17" s="3"/>
      <c r="G17" s="3"/>
      <c r="H17" s="3"/>
      <c r="I17" s="3"/>
      <c r="J17" s="3"/>
      <c r="K17" s="3"/>
      <c r="L17" s="3"/>
      <c r="M17" s="3"/>
      <c r="N17" s="3"/>
      <c r="O17" s="3"/>
      <c r="P17" s="3"/>
      <c r="Q17" s="3"/>
      <c r="R17" s="3"/>
      <c r="S17" s="3"/>
      <c r="T17" s="3"/>
      <c r="U17" s="3"/>
      <c r="V17" s="3"/>
      <c r="W17" s="3"/>
      <c r="X17" s="4"/>
      <c r="Y17" s="4"/>
      <c r="Z17" s="4"/>
    </row>
    <row r="18" spans="1:26" ht="15.75" customHeight="1" x14ac:dyDescent="0.6">
      <c r="A18" s="3"/>
      <c r="B18" s="3"/>
      <c r="C18" s="3"/>
      <c r="D18" s="3"/>
      <c r="E18" s="3"/>
      <c r="F18" s="3"/>
      <c r="G18" s="3"/>
      <c r="H18" s="3"/>
      <c r="I18" s="3"/>
      <c r="J18" s="3"/>
      <c r="K18" s="3"/>
      <c r="L18" s="3"/>
      <c r="M18" s="3"/>
      <c r="N18" s="3"/>
      <c r="O18" s="3"/>
      <c r="P18" s="3"/>
      <c r="Q18" s="3"/>
      <c r="R18" s="3"/>
      <c r="S18" s="3"/>
      <c r="T18" s="3"/>
      <c r="U18" s="3"/>
      <c r="V18" s="3"/>
      <c r="W18" s="3"/>
      <c r="X18" s="4"/>
      <c r="Y18" s="4"/>
      <c r="Z18" s="4"/>
    </row>
    <row r="19" spans="1:26" ht="15.75" customHeight="1" x14ac:dyDescent="0.6">
      <c r="A19" s="3"/>
      <c r="B19" s="3"/>
      <c r="C19" s="3"/>
      <c r="D19" s="3"/>
      <c r="E19" s="3"/>
      <c r="F19" s="3"/>
      <c r="G19" s="3"/>
      <c r="H19" s="3"/>
      <c r="I19" s="3"/>
      <c r="J19" s="3"/>
      <c r="K19" s="3"/>
      <c r="L19" s="3"/>
      <c r="M19" s="3"/>
      <c r="N19" s="3"/>
      <c r="O19" s="3"/>
      <c r="P19" s="3"/>
      <c r="Q19" s="3"/>
      <c r="R19" s="3"/>
      <c r="S19" s="3"/>
      <c r="T19" s="3"/>
      <c r="U19" s="3"/>
      <c r="V19" s="3"/>
      <c r="W19" s="3"/>
      <c r="X19" s="4"/>
      <c r="Y19" s="4"/>
      <c r="Z19" s="4"/>
    </row>
    <row r="20" spans="1:26" ht="15.75" customHeight="1" x14ac:dyDescent="0.6">
      <c r="A20" s="3"/>
      <c r="B20" s="3"/>
      <c r="C20" s="3"/>
      <c r="D20" s="3"/>
      <c r="E20" s="3"/>
      <c r="F20" s="3"/>
      <c r="G20" s="3"/>
      <c r="H20" s="3"/>
      <c r="I20" s="3"/>
      <c r="J20" s="3"/>
      <c r="K20" s="3"/>
      <c r="L20" s="3"/>
      <c r="M20" s="3"/>
      <c r="N20" s="3"/>
      <c r="O20" s="3"/>
      <c r="P20" s="3"/>
      <c r="Q20" s="3"/>
      <c r="R20" s="3"/>
      <c r="S20" s="3"/>
      <c r="T20" s="3"/>
      <c r="U20" s="3"/>
      <c r="V20" s="3"/>
      <c r="W20" s="3"/>
      <c r="X20" s="4"/>
      <c r="Y20" s="4"/>
      <c r="Z20" s="4"/>
    </row>
    <row r="21" spans="1:26" ht="15.75" customHeight="1" x14ac:dyDescent="0.6">
      <c r="A21" s="3"/>
      <c r="B21" s="3"/>
      <c r="C21" s="3"/>
      <c r="D21" s="3"/>
      <c r="E21" s="3"/>
      <c r="F21" s="3"/>
      <c r="G21" s="3"/>
      <c r="H21" s="3"/>
      <c r="I21" s="3"/>
      <c r="J21" s="3"/>
      <c r="K21" s="3"/>
      <c r="L21" s="3"/>
      <c r="M21" s="3"/>
      <c r="N21" s="3"/>
      <c r="O21" s="3"/>
      <c r="P21" s="3"/>
      <c r="Q21" s="3"/>
      <c r="R21" s="3"/>
      <c r="S21" s="3"/>
      <c r="T21" s="3"/>
      <c r="U21" s="3"/>
      <c r="V21" s="3"/>
      <c r="W21" s="3"/>
      <c r="X21" s="4"/>
      <c r="Y21" s="4"/>
      <c r="Z21" s="4"/>
    </row>
    <row r="22" spans="1:26" ht="15.75" customHeight="1" x14ac:dyDescent="0.6">
      <c r="A22" s="3"/>
      <c r="B22" s="3"/>
      <c r="C22" s="3"/>
      <c r="D22" s="3"/>
      <c r="E22" s="3"/>
      <c r="F22" s="3"/>
      <c r="G22" s="3"/>
      <c r="H22" s="3"/>
      <c r="I22" s="3"/>
      <c r="J22" s="3"/>
      <c r="K22" s="3"/>
      <c r="L22" s="3"/>
      <c r="M22" s="3"/>
      <c r="N22" s="3"/>
      <c r="O22" s="3"/>
      <c r="P22" s="3"/>
      <c r="Q22" s="3"/>
      <c r="R22" s="3"/>
      <c r="S22" s="3"/>
      <c r="T22" s="3"/>
      <c r="U22" s="3"/>
      <c r="V22" s="3"/>
      <c r="W22" s="3"/>
      <c r="X22" s="4"/>
      <c r="Y22" s="4"/>
      <c r="Z22" s="4"/>
    </row>
    <row r="23" spans="1:26" ht="15.75" customHeight="1" x14ac:dyDescent="0.6">
      <c r="A23" s="3"/>
      <c r="B23" s="3"/>
      <c r="C23" s="3"/>
      <c r="D23" s="3"/>
      <c r="E23" s="3"/>
      <c r="F23" s="3"/>
      <c r="G23" s="3"/>
      <c r="H23" s="3"/>
      <c r="I23" s="3"/>
      <c r="J23" s="3"/>
      <c r="K23" s="3"/>
      <c r="L23" s="3"/>
      <c r="M23" s="3"/>
      <c r="N23" s="3"/>
      <c r="O23" s="3"/>
      <c r="P23" s="3"/>
      <c r="Q23" s="3"/>
      <c r="R23" s="3"/>
      <c r="S23" s="3"/>
      <c r="T23" s="3"/>
      <c r="U23" s="3"/>
      <c r="V23" s="3"/>
      <c r="W23" s="3"/>
      <c r="X23" s="4"/>
      <c r="Y23" s="4"/>
      <c r="Z23" s="4"/>
    </row>
    <row r="24" spans="1:26" ht="15.75" customHeight="1" x14ac:dyDescent="0.6">
      <c r="A24" s="3"/>
      <c r="B24" s="3"/>
      <c r="C24" s="3"/>
      <c r="D24" s="3"/>
      <c r="E24" s="3"/>
      <c r="F24" s="3"/>
      <c r="G24" s="3"/>
      <c r="H24" s="3"/>
      <c r="I24" s="3"/>
      <c r="J24" s="3"/>
      <c r="K24" s="3"/>
      <c r="L24" s="3"/>
      <c r="M24" s="3"/>
      <c r="N24" s="3"/>
      <c r="O24" s="3"/>
      <c r="P24" s="3"/>
      <c r="Q24" s="3"/>
      <c r="R24" s="3"/>
      <c r="S24" s="3"/>
      <c r="T24" s="3"/>
      <c r="U24" s="3"/>
      <c r="V24" s="3"/>
      <c r="W24" s="3"/>
      <c r="X24" s="4"/>
      <c r="Y24" s="4"/>
      <c r="Z24" s="4"/>
    </row>
    <row r="25" spans="1:26" ht="15.75" customHeight="1" x14ac:dyDescent="0.6">
      <c r="A25" s="3"/>
      <c r="B25" s="3"/>
      <c r="C25" s="3"/>
      <c r="D25" s="3"/>
      <c r="E25" s="3"/>
      <c r="F25" s="3"/>
      <c r="G25" s="3"/>
      <c r="H25" s="3"/>
      <c r="I25" s="3"/>
      <c r="J25" s="3"/>
      <c r="K25" s="3"/>
      <c r="L25" s="3"/>
      <c r="M25" s="3"/>
      <c r="N25" s="3"/>
      <c r="O25" s="3"/>
      <c r="P25" s="3"/>
      <c r="Q25" s="3"/>
      <c r="R25" s="3"/>
      <c r="S25" s="3"/>
      <c r="T25" s="3"/>
      <c r="U25" s="3"/>
      <c r="V25" s="3"/>
      <c r="W25" s="3"/>
      <c r="X25" s="4"/>
      <c r="Y25" s="4"/>
      <c r="Z25" s="4"/>
    </row>
    <row r="26" spans="1:26" ht="15.75" customHeight="1" x14ac:dyDescent="0.6">
      <c r="A26" s="3"/>
      <c r="B26" s="3"/>
      <c r="C26" s="3"/>
      <c r="D26" s="3"/>
      <c r="E26" s="3"/>
      <c r="F26" s="3"/>
      <c r="G26" s="3"/>
      <c r="H26" s="3"/>
      <c r="I26" s="3"/>
      <c r="J26" s="3"/>
      <c r="K26" s="3"/>
      <c r="L26" s="3"/>
      <c r="M26" s="3"/>
      <c r="N26" s="3"/>
      <c r="O26" s="3"/>
      <c r="P26" s="3"/>
      <c r="Q26" s="3"/>
      <c r="R26" s="3"/>
      <c r="S26" s="3"/>
      <c r="T26" s="3"/>
      <c r="U26" s="3"/>
      <c r="V26" s="3"/>
      <c r="W26" s="3"/>
      <c r="X26" s="4"/>
      <c r="Y26" s="4"/>
      <c r="Z26" s="4"/>
    </row>
    <row r="27" spans="1:26" ht="15.75" customHeight="1" x14ac:dyDescent="0.6">
      <c r="A27" s="3"/>
      <c r="B27" s="3"/>
      <c r="C27" s="3"/>
      <c r="D27" s="3"/>
      <c r="E27" s="3"/>
      <c r="F27" s="3"/>
      <c r="G27" s="3"/>
      <c r="H27" s="3"/>
      <c r="I27" s="3"/>
      <c r="J27" s="3"/>
      <c r="K27" s="3"/>
      <c r="L27" s="3"/>
      <c r="M27" s="3"/>
      <c r="N27" s="3"/>
      <c r="O27" s="3"/>
      <c r="P27" s="3"/>
      <c r="Q27" s="3"/>
      <c r="R27" s="3"/>
      <c r="S27" s="3"/>
      <c r="T27" s="3"/>
      <c r="U27" s="3"/>
      <c r="V27" s="3"/>
      <c r="W27" s="3"/>
      <c r="X27" s="4"/>
      <c r="Y27" s="4"/>
      <c r="Z27" s="4"/>
    </row>
    <row r="28" spans="1:26" ht="15.75" customHeight="1" x14ac:dyDescent="0.6">
      <c r="A28" s="3"/>
      <c r="B28" s="3"/>
      <c r="C28" s="3"/>
      <c r="D28" s="3"/>
      <c r="E28" s="3"/>
      <c r="F28" s="3"/>
      <c r="G28" s="3"/>
      <c r="H28" s="3"/>
      <c r="I28" s="3"/>
      <c r="J28" s="3"/>
      <c r="K28" s="3"/>
      <c r="L28" s="3"/>
      <c r="M28" s="3"/>
      <c r="N28" s="3"/>
      <c r="O28" s="3"/>
      <c r="P28" s="3"/>
      <c r="Q28" s="3"/>
      <c r="R28" s="3"/>
      <c r="S28" s="3"/>
      <c r="T28" s="3"/>
      <c r="U28" s="3"/>
      <c r="V28" s="3"/>
      <c r="W28" s="3"/>
      <c r="X28" s="4"/>
      <c r="Y28" s="4"/>
      <c r="Z28" s="4"/>
    </row>
    <row r="29" spans="1:26" ht="15.75" customHeight="1" x14ac:dyDescent="0.6">
      <c r="A29" s="3"/>
      <c r="B29" s="3"/>
      <c r="C29" s="3"/>
      <c r="D29" s="3"/>
      <c r="E29" s="3"/>
      <c r="F29" s="3"/>
      <c r="G29" s="3"/>
      <c r="H29" s="3"/>
      <c r="I29" s="3"/>
      <c r="J29" s="3"/>
      <c r="K29" s="3"/>
      <c r="L29" s="3"/>
      <c r="M29" s="3"/>
      <c r="N29" s="3"/>
      <c r="O29" s="3"/>
      <c r="P29" s="3"/>
      <c r="Q29" s="3"/>
      <c r="R29" s="3"/>
      <c r="S29" s="3"/>
      <c r="T29" s="3"/>
      <c r="U29" s="3"/>
      <c r="V29" s="3"/>
      <c r="W29" s="3"/>
      <c r="X29" s="4"/>
      <c r="Y29" s="4"/>
      <c r="Z29" s="4"/>
    </row>
    <row r="30" spans="1:26" ht="15.75" customHeight="1" x14ac:dyDescent="0.6">
      <c r="A30" s="3"/>
      <c r="B30" s="3"/>
      <c r="C30" s="3"/>
      <c r="D30" s="3"/>
      <c r="E30" s="3"/>
      <c r="F30" s="3"/>
      <c r="G30" s="3"/>
      <c r="H30" s="3"/>
      <c r="I30" s="3"/>
      <c r="J30" s="3"/>
      <c r="K30" s="3"/>
      <c r="L30" s="3"/>
      <c r="M30" s="3"/>
      <c r="N30" s="3"/>
      <c r="O30" s="3"/>
      <c r="P30" s="3"/>
      <c r="Q30" s="3"/>
      <c r="R30" s="3"/>
      <c r="S30" s="3"/>
      <c r="T30" s="3"/>
      <c r="U30" s="3"/>
      <c r="V30" s="3"/>
      <c r="W30" s="3"/>
      <c r="X30" s="4"/>
      <c r="Y30" s="4"/>
      <c r="Z30" s="4"/>
    </row>
    <row r="31" spans="1:26" ht="15.75" customHeight="1" x14ac:dyDescent="0.6">
      <c r="A31" s="3"/>
      <c r="B31" s="3"/>
      <c r="C31" s="3"/>
      <c r="D31" s="3"/>
      <c r="E31" s="3"/>
      <c r="F31" s="3"/>
      <c r="G31" s="3"/>
      <c r="H31" s="3"/>
      <c r="I31" s="3"/>
      <c r="J31" s="3"/>
      <c r="K31" s="3"/>
      <c r="L31" s="3"/>
      <c r="M31" s="3"/>
      <c r="N31" s="3"/>
      <c r="O31" s="3"/>
      <c r="P31" s="3"/>
      <c r="Q31" s="3"/>
      <c r="R31" s="3"/>
      <c r="S31" s="3"/>
      <c r="T31" s="3"/>
      <c r="U31" s="3"/>
      <c r="V31" s="3"/>
      <c r="W31" s="3"/>
      <c r="X31" s="4"/>
      <c r="Y31" s="4"/>
      <c r="Z31" s="4"/>
    </row>
    <row r="32" spans="1:26" ht="15.75" customHeight="1" x14ac:dyDescent="0.6">
      <c r="A32" s="3"/>
      <c r="B32" s="3"/>
      <c r="C32" s="3"/>
      <c r="D32" s="3"/>
      <c r="E32" s="3"/>
      <c r="F32" s="3"/>
      <c r="G32" s="3"/>
      <c r="H32" s="3"/>
      <c r="I32" s="3"/>
      <c r="J32" s="3"/>
      <c r="K32" s="3"/>
      <c r="L32" s="3"/>
      <c r="M32" s="3"/>
      <c r="N32" s="3"/>
      <c r="O32" s="3"/>
      <c r="P32" s="3"/>
      <c r="Q32" s="3"/>
      <c r="R32" s="3"/>
      <c r="S32" s="3"/>
      <c r="T32" s="3"/>
      <c r="U32" s="3"/>
      <c r="V32" s="3"/>
      <c r="W32" s="3"/>
      <c r="X32" s="4"/>
      <c r="Y32" s="4"/>
      <c r="Z32" s="4"/>
    </row>
    <row r="33" spans="1:26" ht="15.75" customHeight="1" x14ac:dyDescent="0.6">
      <c r="A33" s="3"/>
      <c r="B33" s="3"/>
      <c r="C33" s="3"/>
      <c r="D33" s="3"/>
      <c r="E33" s="3"/>
      <c r="F33" s="3"/>
      <c r="G33" s="3"/>
      <c r="H33" s="3"/>
      <c r="I33" s="3"/>
      <c r="J33" s="3"/>
      <c r="K33" s="3"/>
      <c r="L33" s="3"/>
      <c r="M33" s="3"/>
      <c r="N33" s="3"/>
      <c r="O33" s="3"/>
      <c r="P33" s="3"/>
      <c r="Q33" s="3"/>
      <c r="R33" s="3"/>
      <c r="S33" s="3"/>
      <c r="T33" s="3"/>
      <c r="U33" s="3"/>
      <c r="V33" s="3"/>
      <c r="W33" s="3"/>
      <c r="X33" s="4"/>
      <c r="Y33" s="4"/>
      <c r="Z33" s="4"/>
    </row>
    <row r="34" spans="1:26" ht="15.75" customHeight="1" x14ac:dyDescent="0.6">
      <c r="A34" s="3"/>
      <c r="B34" s="3"/>
      <c r="C34" s="3"/>
      <c r="D34" s="3"/>
      <c r="E34" s="3"/>
      <c r="F34" s="3"/>
      <c r="G34" s="3"/>
      <c r="H34" s="3"/>
      <c r="I34" s="3"/>
      <c r="J34" s="3"/>
      <c r="K34" s="3"/>
      <c r="L34" s="3"/>
      <c r="M34" s="3"/>
      <c r="N34" s="3"/>
      <c r="O34" s="3"/>
      <c r="P34" s="3"/>
      <c r="Q34" s="3"/>
      <c r="R34" s="3"/>
      <c r="S34" s="3"/>
      <c r="T34" s="3"/>
      <c r="U34" s="3"/>
      <c r="V34" s="3"/>
      <c r="W34" s="3"/>
      <c r="X34" s="4"/>
      <c r="Y34" s="4"/>
      <c r="Z34" s="4"/>
    </row>
    <row r="35" spans="1:26" ht="15.75" customHeight="1" x14ac:dyDescent="0.6">
      <c r="A35" s="3"/>
      <c r="B35" s="3"/>
      <c r="C35" s="3"/>
      <c r="D35" s="3"/>
      <c r="E35" s="3"/>
      <c r="F35" s="3"/>
      <c r="G35" s="3"/>
      <c r="H35" s="3"/>
      <c r="I35" s="3"/>
      <c r="J35" s="3"/>
      <c r="K35" s="3"/>
      <c r="L35" s="3"/>
      <c r="M35" s="3"/>
      <c r="N35" s="3"/>
      <c r="O35" s="3"/>
      <c r="P35" s="3"/>
      <c r="Q35" s="3"/>
      <c r="R35" s="3"/>
      <c r="S35" s="3"/>
      <c r="T35" s="3"/>
      <c r="U35" s="3"/>
      <c r="V35" s="3"/>
      <c r="W35" s="3"/>
      <c r="X35" s="4"/>
      <c r="Y35" s="4"/>
      <c r="Z35" s="4"/>
    </row>
    <row r="36" spans="1:26" ht="15.75" customHeight="1" x14ac:dyDescent="0.6">
      <c r="A36" s="3"/>
      <c r="B36" s="3"/>
      <c r="C36" s="3"/>
      <c r="D36" s="3"/>
      <c r="E36" s="3"/>
      <c r="F36" s="3"/>
      <c r="G36" s="3"/>
      <c r="H36" s="3"/>
      <c r="I36" s="3"/>
      <c r="J36" s="3"/>
      <c r="K36" s="3"/>
      <c r="L36" s="3"/>
      <c r="M36" s="3"/>
      <c r="N36" s="3"/>
      <c r="O36" s="3"/>
      <c r="P36" s="3"/>
      <c r="Q36" s="3"/>
      <c r="R36" s="3"/>
      <c r="S36" s="3"/>
      <c r="T36" s="3"/>
      <c r="U36" s="3"/>
      <c r="V36" s="3"/>
      <c r="W36" s="3"/>
      <c r="X36" s="4"/>
      <c r="Y36" s="4"/>
      <c r="Z36" s="4"/>
    </row>
    <row r="37" spans="1:26" ht="15.75" customHeight="1" x14ac:dyDescent="0.6">
      <c r="A37" s="3"/>
      <c r="B37" s="3"/>
      <c r="C37" s="3"/>
      <c r="D37" s="3"/>
      <c r="E37" s="3"/>
      <c r="F37" s="3"/>
      <c r="G37" s="3"/>
      <c r="H37" s="3"/>
      <c r="I37" s="3"/>
      <c r="J37" s="3"/>
      <c r="K37" s="3"/>
      <c r="L37" s="3"/>
      <c r="M37" s="3"/>
      <c r="N37" s="3"/>
      <c r="O37" s="3"/>
      <c r="P37" s="3"/>
      <c r="Q37" s="3"/>
      <c r="R37" s="3"/>
      <c r="S37" s="3"/>
      <c r="T37" s="3"/>
      <c r="U37" s="3"/>
      <c r="V37" s="3"/>
      <c r="W37" s="3"/>
      <c r="X37" s="4"/>
      <c r="Y37" s="4"/>
      <c r="Z37" s="4"/>
    </row>
    <row r="38" spans="1:26" ht="15.75" customHeight="1" x14ac:dyDescent="0.6">
      <c r="A38" s="3"/>
      <c r="B38" s="3"/>
      <c r="C38" s="3"/>
      <c r="D38" s="3"/>
      <c r="E38" s="3"/>
      <c r="F38" s="3"/>
      <c r="G38" s="3"/>
      <c r="H38" s="3"/>
      <c r="I38" s="3"/>
      <c r="J38" s="3"/>
      <c r="K38" s="3"/>
      <c r="L38" s="3"/>
      <c r="M38" s="3"/>
      <c r="N38" s="3"/>
      <c r="O38" s="3"/>
      <c r="P38" s="3"/>
      <c r="Q38" s="3"/>
      <c r="R38" s="3"/>
      <c r="S38" s="3"/>
      <c r="T38" s="3"/>
      <c r="U38" s="3"/>
      <c r="V38" s="3"/>
      <c r="W38" s="3"/>
      <c r="X38" s="4"/>
      <c r="Y38" s="4"/>
      <c r="Z38" s="4"/>
    </row>
    <row r="39" spans="1:26" ht="15.75" customHeight="1" x14ac:dyDescent="0.6">
      <c r="A39" s="3"/>
      <c r="B39" s="3"/>
      <c r="C39" s="3"/>
      <c r="D39" s="3"/>
      <c r="E39" s="3"/>
      <c r="F39" s="3"/>
      <c r="G39" s="3"/>
      <c r="H39" s="3"/>
      <c r="I39" s="3"/>
      <c r="J39" s="3"/>
      <c r="K39" s="3"/>
      <c r="L39" s="3"/>
      <c r="M39" s="3"/>
      <c r="N39" s="3"/>
      <c r="O39" s="3"/>
      <c r="P39" s="3"/>
      <c r="Q39" s="3"/>
      <c r="R39" s="3"/>
      <c r="S39" s="3"/>
      <c r="T39" s="3"/>
      <c r="U39" s="3"/>
      <c r="V39" s="3"/>
      <c r="W39" s="3"/>
      <c r="X39" s="4"/>
      <c r="Y39" s="4"/>
      <c r="Z39" s="4"/>
    </row>
    <row r="40" spans="1:26" ht="15.75" customHeight="1" x14ac:dyDescent="0.6">
      <c r="A40" s="3"/>
      <c r="B40" s="3"/>
      <c r="C40" s="3"/>
      <c r="D40" s="3"/>
      <c r="E40" s="3"/>
      <c r="F40" s="3"/>
      <c r="G40" s="3"/>
      <c r="H40" s="3"/>
      <c r="I40" s="3"/>
      <c r="J40" s="3"/>
      <c r="K40" s="3"/>
      <c r="L40" s="3"/>
      <c r="M40" s="3"/>
      <c r="N40" s="3"/>
      <c r="O40" s="3"/>
      <c r="P40" s="3"/>
      <c r="Q40" s="3"/>
      <c r="R40" s="3"/>
      <c r="S40" s="3"/>
      <c r="T40" s="3"/>
      <c r="U40" s="3"/>
      <c r="V40" s="3"/>
      <c r="W40" s="3"/>
      <c r="X40" s="4"/>
      <c r="Y40" s="4"/>
      <c r="Z40" s="4"/>
    </row>
    <row r="41" spans="1:26" ht="15.75" customHeight="1" x14ac:dyDescent="0.6">
      <c r="A41" s="3"/>
      <c r="B41" s="3"/>
      <c r="C41" s="3"/>
      <c r="D41" s="3"/>
      <c r="E41" s="3"/>
      <c r="F41" s="3"/>
      <c r="G41" s="3"/>
      <c r="H41" s="3"/>
      <c r="I41" s="3"/>
      <c r="J41" s="3"/>
      <c r="K41" s="3"/>
      <c r="L41" s="3"/>
      <c r="M41" s="3"/>
      <c r="N41" s="3"/>
      <c r="O41" s="3"/>
      <c r="P41" s="3"/>
      <c r="Q41" s="3"/>
      <c r="R41" s="3"/>
      <c r="S41" s="3"/>
      <c r="T41" s="3"/>
      <c r="U41" s="3"/>
      <c r="V41" s="3"/>
      <c r="W41" s="3"/>
      <c r="X41" s="4"/>
      <c r="Y41" s="4"/>
      <c r="Z41" s="4"/>
    </row>
    <row r="42" spans="1:26" ht="15.75" customHeight="1" x14ac:dyDescent="0.6">
      <c r="A42" s="3"/>
      <c r="B42" s="3"/>
      <c r="C42" s="3"/>
      <c r="D42" s="3"/>
      <c r="E42" s="3"/>
      <c r="F42" s="3"/>
      <c r="G42" s="3"/>
      <c r="H42" s="3"/>
      <c r="I42" s="3"/>
      <c r="J42" s="3"/>
      <c r="K42" s="3"/>
      <c r="L42" s="3"/>
      <c r="M42" s="3"/>
      <c r="N42" s="3"/>
      <c r="O42" s="3"/>
      <c r="P42" s="3"/>
      <c r="Q42" s="3"/>
      <c r="R42" s="3"/>
      <c r="S42" s="3"/>
      <c r="T42" s="3"/>
      <c r="U42" s="3"/>
      <c r="V42" s="3"/>
      <c r="W42" s="3"/>
      <c r="X42" s="4"/>
      <c r="Y42" s="4"/>
      <c r="Z42" s="4"/>
    </row>
    <row r="43" spans="1:26" ht="15.75" customHeight="1" x14ac:dyDescent="0.6">
      <c r="A43" s="3"/>
      <c r="B43" s="3"/>
      <c r="C43" s="3"/>
      <c r="D43" s="3"/>
      <c r="E43" s="3"/>
      <c r="F43" s="3"/>
      <c r="G43" s="3"/>
      <c r="H43" s="3"/>
      <c r="I43" s="3"/>
      <c r="J43" s="3"/>
      <c r="K43" s="3"/>
      <c r="L43" s="3"/>
      <c r="M43" s="3"/>
      <c r="N43" s="3"/>
      <c r="O43" s="3"/>
      <c r="P43" s="3"/>
      <c r="Q43" s="3"/>
      <c r="R43" s="3"/>
      <c r="S43" s="3"/>
      <c r="T43" s="3"/>
      <c r="U43" s="3"/>
      <c r="V43" s="3"/>
      <c r="W43" s="3"/>
      <c r="X43" s="4"/>
      <c r="Y43" s="4"/>
      <c r="Z43" s="4"/>
    </row>
    <row r="44" spans="1:26" ht="15.75" customHeight="1" x14ac:dyDescent="0.6">
      <c r="A44" s="3"/>
      <c r="B44" s="3"/>
      <c r="C44" s="3"/>
      <c r="D44" s="3"/>
      <c r="E44" s="3"/>
      <c r="F44" s="3"/>
      <c r="G44" s="3"/>
      <c r="H44" s="3"/>
      <c r="I44" s="3"/>
      <c r="J44" s="3"/>
      <c r="K44" s="3"/>
      <c r="L44" s="3"/>
      <c r="M44" s="3"/>
      <c r="N44" s="3"/>
      <c r="O44" s="3"/>
      <c r="P44" s="3"/>
      <c r="Q44" s="3"/>
      <c r="R44" s="3"/>
      <c r="S44" s="3"/>
      <c r="T44" s="3"/>
      <c r="U44" s="3"/>
      <c r="V44" s="3"/>
      <c r="W44" s="3"/>
      <c r="X44" s="4"/>
      <c r="Y44" s="4"/>
      <c r="Z44" s="4"/>
    </row>
    <row r="45" spans="1:26" ht="15.75" customHeight="1" x14ac:dyDescent="0.6">
      <c r="A45" s="3"/>
      <c r="B45" s="3"/>
      <c r="C45" s="3"/>
      <c r="D45" s="3"/>
      <c r="E45" s="3"/>
      <c r="F45" s="3"/>
      <c r="G45" s="3"/>
      <c r="H45" s="3"/>
      <c r="I45" s="3"/>
      <c r="J45" s="3"/>
      <c r="K45" s="3"/>
      <c r="L45" s="3"/>
      <c r="M45" s="3"/>
      <c r="N45" s="3"/>
      <c r="O45" s="3"/>
      <c r="P45" s="3"/>
      <c r="Q45" s="3"/>
      <c r="R45" s="3"/>
      <c r="S45" s="3"/>
      <c r="T45" s="3"/>
      <c r="U45" s="3"/>
      <c r="V45" s="3"/>
      <c r="W45" s="3"/>
      <c r="X45" s="4"/>
      <c r="Y45" s="4"/>
      <c r="Z45" s="4"/>
    </row>
    <row r="46" spans="1:26" ht="15.75" customHeight="1" x14ac:dyDescent="0.6">
      <c r="A46" s="3"/>
      <c r="B46" s="3"/>
      <c r="C46" s="3"/>
      <c r="D46" s="3"/>
      <c r="E46" s="3"/>
      <c r="F46" s="3"/>
      <c r="G46" s="3"/>
      <c r="H46" s="3"/>
      <c r="I46" s="3"/>
      <c r="J46" s="3"/>
      <c r="K46" s="3"/>
      <c r="L46" s="3"/>
      <c r="M46" s="3"/>
      <c r="N46" s="3"/>
      <c r="O46" s="3"/>
      <c r="P46" s="3"/>
      <c r="Q46" s="3"/>
      <c r="R46" s="3"/>
      <c r="S46" s="3"/>
      <c r="T46" s="3"/>
      <c r="U46" s="3"/>
      <c r="V46" s="3"/>
      <c r="W46" s="3"/>
      <c r="X46" s="4"/>
      <c r="Y46" s="4"/>
      <c r="Z46" s="4"/>
    </row>
    <row r="47" spans="1:26" ht="15.75" customHeight="1" x14ac:dyDescent="0.6">
      <c r="A47" s="3"/>
      <c r="B47" s="3"/>
      <c r="C47" s="3"/>
      <c r="D47" s="3"/>
      <c r="E47" s="3"/>
      <c r="F47" s="3"/>
      <c r="G47" s="3"/>
      <c r="H47" s="3"/>
      <c r="I47" s="3"/>
      <c r="J47" s="3"/>
      <c r="K47" s="3"/>
      <c r="L47" s="3"/>
      <c r="M47" s="3"/>
      <c r="N47" s="3"/>
      <c r="O47" s="3"/>
      <c r="P47" s="3"/>
      <c r="Q47" s="3"/>
      <c r="R47" s="3"/>
      <c r="S47" s="3"/>
      <c r="T47" s="3"/>
      <c r="U47" s="3"/>
      <c r="V47" s="3"/>
      <c r="W47" s="3"/>
      <c r="X47" s="4"/>
      <c r="Y47" s="4"/>
      <c r="Z47" s="4"/>
    </row>
    <row r="48" spans="1:26" ht="15.75" customHeight="1" x14ac:dyDescent="0.6">
      <c r="A48" s="3"/>
      <c r="B48" s="3"/>
      <c r="C48" s="3"/>
      <c r="D48" s="3"/>
      <c r="E48" s="3"/>
      <c r="F48" s="3"/>
      <c r="G48" s="3"/>
      <c r="H48" s="3"/>
      <c r="I48" s="3"/>
      <c r="J48" s="3"/>
      <c r="K48" s="3"/>
      <c r="L48" s="3"/>
      <c r="M48" s="3"/>
      <c r="N48" s="3"/>
      <c r="O48" s="3"/>
      <c r="P48" s="3"/>
      <c r="Q48" s="3"/>
      <c r="R48" s="3"/>
      <c r="S48" s="3"/>
      <c r="T48" s="3"/>
      <c r="U48" s="3"/>
      <c r="V48" s="3"/>
      <c r="W48" s="3"/>
      <c r="X48" s="4"/>
      <c r="Y48" s="4"/>
      <c r="Z48" s="4"/>
    </row>
    <row r="49" spans="1:26" ht="15.75" customHeight="1" x14ac:dyDescent="0.6">
      <c r="A49" s="3"/>
      <c r="B49" s="3"/>
      <c r="C49" s="3"/>
      <c r="D49" s="3"/>
      <c r="E49" s="3"/>
      <c r="F49" s="3"/>
      <c r="G49" s="3"/>
      <c r="H49" s="3"/>
      <c r="I49" s="3"/>
      <c r="J49" s="3"/>
      <c r="K49" s="3"/>
      <c r="L49" s="3"/>
      <c r="M49" s="3"/>
      <c r="N49" s="3"/>
      <c r="O49" s="3"/>
      <c r="P49" s="3"/>
      <c r="Q49" s="3"/>
      <c r="R49" s="3"/>
      <c r="S49" s="3"/>
      <c r="T49" s="3"/>
      <c r="U49" s="3"/>
      <c r="V49" s="3"/>
      <c r="W49" s="3"/>
      <c r="X49" s="4"/>
      <c r="Y49" s="4"/>
      <c r="Z49" s="4"/>
    </row>
    <row r="50" spans="1:26" ht="15.75" customHeight="1" x14ac:dyDescent="0.6">
      <c r="A50" s="3"/>
      <c r="B50" s="3"/>
      <c r="C50" s="3"/>
      <c r="D50" s="3"/>
      <c r="E50" s="3"/>
      <c r="F50" s="3"/>
      <c r="G50" s="3"/>
      <c r="H50" s="3"/>
      <c r="I50" s="3"/>
      <c r="J50" s="3"/>
      <c r="K50" s="3"/>
      <c r="L50" s="3"/>
      <c r="M50" s="3"/>
      <c r="N50" s="3"/>
      <c r="O50" s="3"/>
      <c r="P50" s="3"/>
      <c r="Q50" s="3"/>
      <c r="R50" s="3"/>
      <c r="S50" s="3"/>
      <c r="T50" s="3"/>
      <c r="U50" s="3"/>
      <c r="V50" s="3"/>
      <c r="W50" s="3"/>
      <c r="X50" s="4"/>
      <c r="Y50" s="4"/>
      <c r="Z50" s="4"/>
    </row>
    <row r="51" spans="1:26" ht="15.75" customHeight="1" x14ac:dyDescent="0.6">
      <c r="A51" s="3"/>
      <c r="B51" s="3"/>
      <c r="C51" s="3"/>
      <c r="D51" s="3"/>
      <c r="E51" s="3"/>
      <c r="F51" s="3"/>
      <c r="G51" s="3"/>
      <c r="H51" s="3"/>
      <c r="I51" s="3"/>
      <c r="J51" s="3"/>
      <c r="K51" s="3"/>
      <c r="L51" s="3"/>
      <c r="M51" s="3"/>
      <c r="N51" s="3"/>
      <c r="O51" s="3"/>
      <c r="P51" s="3"/>
      <c r="Q51" s="3"/>
      <c r="R51" s="3"/>
      <c r="S51" s="3"/>
      <c r="T51" s="3"/>
      <c r="U51" s="3"/>
      <c r="V51" s="3"/>
      <c r="W51" s="3"/>
      <c r="X51" s="4"/>
      <c r="Y51" s="4"/>
      <c r="Z51" s="4"/>
    </row>
    <row r="52" spans="1:26" ht="15.75" customHeight="1" x14ac:dyDescent="0.6">
      <c r="A52" s="3"/>
      <c r="B52" s="3"/>
      <c r="C52" s="3"/>
      <c r="D52" s="3"/>
      <c r="E52" s="3"/>
      <c r="F52" s="3"/>
      <c r="G52" s="3"/>
      <c r="H52" s="3"/>
      <c r="I52" s="3"/>
      <c r="J52" s="3"/>
      <c r="K52" s="3"/>
      <c r="L52" s="3"/>
      <c r="M52" s="3"/>
      <c r="N52" s="3"/>
      <c r="O52" s="3"/>
      <c r="P52" s="3"/>
      <c r="Q52" s="3"/>
      <c r="R52" s="3"/>
      <c r="S52" s="3"/>
      <c r="T52" s="3"/>
      <c r="U52" s="3"/>
      <c r="V52" s="3"/>
      <c r="W52" s="3"/>
      <c r="X52" s="4"/>
      <c r="Y52" s="4"/>
      <c r="Z52" s="4"/>
    </row>
    <row r="53" spans="1:26" ht="15.75" customHeight="1" x14ac:dyDescent="0.6">
      <c r="A53" s="3"/>
      <c r="B53" s="3"/>
      <c r="C53" s="3"/>
      <c r="D53" s="3"/>
      <c r="E53" s="3"/>
      <c r="F53" s="3"/>
      <c r="G53" s="3"/>
      <c r="H53" s="3"/>
      <c r="I53" s="3"/>
      <c r="J53" s="3"/>
      <c r="K53" s="3"/>
      <c r="L53" s="3"/>
      <c r="M53" s="3"/>
      <c r="N53" s="3"/>
      <c r="O53" s="3"/>
      <c r="P53" s="3"/>
      <c r="Q53" s="3"/>
      <c r="R53" s="3"/>
      <c r="S53" s="3"/>
      <c r="T53" s="3"/>
      <c r="U53" s="3"/>
      <c r="V53" s="3"/>
      <c r="W53" s="3"/>
      <c r="X53" s="4"/>
      <c r="Y53" s="4"/>
      <c r="Z53" s="4"/>
    </row>
    <row r="54" spans="1:26" ht="15.75" customHeight="1" x14ac:dyDescent="0.6">
      <c r="A54" s="3"/>
      <c r="B54" s="3"/>
      <c r="C54" s="3"/>
      <c r="D54" s="3"/>
      <c r="E54" s="3"/>
      <c r="F54" s="3"/>
      <c r="G54" s="3"/>
      <c r="H54" s="3"/>
      <c r="I54" s="3"/>
      <c r="J54" s="3"/>
      <c r="K54" s="3"/>
      <c r="L54" s="3"/>
      <c r="M54" s="3"/>
      <c r="N54" s="3"/>
      <c r="O54" s="3"/>
      <c r="P54" s="3"/>
      <c r="Q54" s="3"/>
      <c r="R54" s="3"/>
      <c r="S54" s="3"/>
      <c r="T54" s="3"/>
      <c r="U54" s="3"/>
      <c r="V54" s="3"/>
      <c r="W54" s="3"/>
      <c r="X54" s="4"/>
      <c r="Y54" s="4"/>
      <c r="Z54" s="4"/>
    </row>
    <row r="55" spans="1:26" ht="15.75" customHeight="1" x14ac:dyDescent="0.6">
      <c r="A55" s="3"/>
      <c r="B55" s="3"/>
      <c r="C55" s="3"/>
      <c r="D55" s="3"/>
      <c r="E55" s="3"/>
      <c r="F55" s="3"/>
      <c r="G55" s="3"/>
      <c r="H55" s="3"/>
      <c r="I55" s="3"/>
      <c r="J55" s="3"/>
      <c r="K55" s="3"/>
      <c r="L55" s="3"/>
      <c r="M55" s="3"/>
      <c r="N55" s="3"/>
      <c r="O55" s="3"/>
      <c r="P55" s="3"/>
      <c r="Q55" s="3"/>
      <c r="R55" s="3"/>
      <c r="S55" s="3"/>
      <c r="T55" s="3"/>
      <c r="U55" s="3"/>
      <c r="V55" s="3"/>
      <c r="W55" s="3"/>
      <c r="X55" s="4"/>
      <c r="Y55" s="4"/>
      <c r="Z55" s="4"/>
    </row>
    <row r="56" spans="1:26" ht="15.75" customHeight="1" x14ac:dyDescent="0.6">
      <c r="A56" s="3"/>
      <c r="B56" s="3"/>
      <c r="C56" s="3"/>
      <c r="D56" s="3"/>
      <c r="E56" s="3"/>
      <c r="F56" s="3"/>
      <c r="G56" s="3"/>
      <c r="H56" s="3"/>
      <c r="I56" s="3"/>
      <c r="J56" s="3"/>
      <c r="K56" s="3"/>
      <c r="L56" s="3"/>
      <c r="M56" s="3"/>
      <c r="N56" s="3"/>
      <c r="O56" s="3"/>
      <c r="P56" s="3"/>
      <c r="Q56" s="3"/>
      <c r="R56" s="3"/>
      <c r="S56" s="3"/>
      <c r="T56" s="3"/>
      <c r="U56" s="3"/>
      <c r="V56" s="3"/>
      <c r="W56" s="3"/>
      <c r="X56" s="4"/>
      <c r="Y56" s="4"/>
      <c r="Z56" s="4"/>
    </row>
    <row r="57" spans="1:26" ht="15.75" customHeight="1" x14ac:dyDescent="0.6">
      <c r="A57" s="3"/>
      <c r="B57" s="3"/>
      <c r="C57" s="3"/>
      <c r="D57" s="3"/>
      <c r="E57" s="3"/>
      <c r="F57" s="3"/>
      <c r="G57" s="3"/>
      <c r="H57" s="3"/>
      <c r="I57" s="3"/>
      <c r="J57" s="3"/>
      <c r="K57" s="3"/>
      <c r="L57" s="3"/>
      <c r="M57" s="3"/>
      <c r="N57" s="3"/>
      <c r="O57" s="3"/>
      <c r="P57" s="3"/>
      <c r="Q57" s="3"/>
      <c r="R57" s="3"/>
      <c r="S57" s="3"/>
      <c r="T57" s="3"/>
      <c r="U57" s="3"/>
      <c r="V57" s="3"/>
      <c r="W57" s="3"/>
      <c r="X57" s="4"/>
      <c r="Y57" s="4"/>
      <c r="Z57" s="4"/>
    </row>
    <row r="58" spans="1:26" ht="15.75" customHeight="1" x14ac:dyDescent="0.6">
      <c r="A58" s="3"/>
      <c r="B58" s="3"/>
      <c r="C58" s="3"/>
      <c r="D58" s="3"/>
      <c r="E58" s="3"/>
      <c r="F58" s="3"/>
      <c r="G58" s="3"/>
      <c r="H58" s="3"/>
      <c r="I58" s="3"/>
      <c r="J58" s="3"/>
      <c r="K58" s="3"/>
      <c r="L58" s="3"/>
      <c r="M58" s="3"/>
      <c r="N58" s="3"/>
      <c r="O58" s="3"/>
      <c r="P58" s="3"/>
      <c r="Q58" s="3"/>
      <c r="R58" s="3"/>
      <c r="S58" s="3"/>
      <c r="T58" s="3"/>
      <c r="U58" s="3"/>
      <c r="V58" s="3"/>
      <c r="W58" s="3"/>
      <c r="X58" s="4"/>
      <c r="Y58" s="4"/>
      <c r="Z58" s="4"/>
    </row>
    <row r="59" spans="1:26" ht="15.75" customHeight="1" x14ac:dyDescent="0.6">
      <c r="A59" s="3"/>
      <c r="B59" s="3"/>
      <c r="C59" s="3"/>
      <c r="D59" s="3"/>
      <c r="E59" s="3"/>
      <c r="F59" s="3"/>
      <c r="G59" s="3"/>
      <c r="H59" s="3"/>
      <c r="I59" s="3"/>
      <c r="J59" s="3"/>
      <c r="K59" s="3"/>
      <c r="L59" s="3"/>
      <c r="M59" s="3"/>
      <c r="N59" s="3"/>
      <c r="O59" s="3"/>
      <c r="P59" s="3"/>
      <c r="Q59" s="3"/>
      <c r="R59" s="3"/>
      <c r="S59" s="3"/>
      <c r="T59" s="3"/>
      <c r="U59" s="3"/>
      <c r="V59" s="3"/>
      <c r="W59" s="3"/>
      <c r="X59" s="4"/>
      <c r="Y59" s="4"/>
      <c r="Z59" s="4"/>
    </row>
    <row r="60" spans="1:26" ht="15.75" customHeight="1" x14ac:dyDescent="0.6">
      <c r="A60" s="3"/>
      <c r="B60" s="3"/>
      <c r="C60" s="3"/>
      <c r="D60" s="3"/>
      <c r="E60" s="3"/>
      <c r="F60" s="3"/>
      <c r="G60" s="3"/>
      <c r="H60" s="3"/>
      <c r="I60" s="3"/>
      <c r="J60" s="3"/>
      <c r="K60" s="3"/>
      <c r="L60" s="3"/>
      <c r="M60" s="3"/>
      <c r="N60" s="3"/>
      <c r="O60" s="3"/>
      <c r="P60" s="3"/>
      <c r="Q60" s="3"/>
      <c r="R60" s="3"/>
      <c r="S60" s="3"/>
      <c r="T60" s="3"/>
      <c r="U60" s="3"/>
      <c r="V60" s="3"/>
      <c r="W60" s="3"/>
      <c r="X60" s="4"/>
      <c r="Y60" s="4"/>
      <c r="Z60" s="4"/>
    </row>
    <row r="61" spans="1:26" ht="15.75" customHeight="1" x14ac:dyDescent="0.6">
      <c r="A61" s="3"/>
      <c r="B61" s="3"/>
      <c r="C61" s="3"/>
      <c r="D61" s="3"/>
      <c r="E61" s="3"/>
      <c r="F61" s="3"/>
      <c r="G61" s="3"/>
      <c r="H61" s="3"/>
      <c r="I61" s="3"/>
      <c r="J61" s="3"/>
      <c r="K61" s="3"/>
      <c r="L61" s="3"/>
      <c r="M61" s="3"/>
      <c r="N61" s="3"/>
      <c r="O61" s="3"/>
      <c r="P61" s="3"/>
      <c r="Q61" s="3"/>
      <c r="R61" s="3"/>
      <c r="S61" s="3"/>
      <c r="T61" s="3"/>
      <c r="U61" s="3"/>
      <c r="V61" s="3"/>
      <c r="W61" s="3"/>
      <c r="X61" s="4"/>
      <c r="Y61" s="4"/>
      <c r="Z61" s="4"/>
    </row>
    <row r="62" spans="1:26" ht="15.75" customHeight="1" x14ac:dyDescent="0.6">
      <c r="A62" s="3"/>
      <c r="B62" s="3"/>
      <c r="C62" s="3"/>
      <c r="D62" s="3"/>
      <c r="E62" s="3"/>
      <c r="F62" s="3"/>
      <c r="G62" s="3"/>
      <c r="H62" s="3"/>
      <c r="I62" s="3"/>
      <c r="J62" s="3"/>
      <c r="K62" s="3"/>
      <c r="L62" s="3"/>
      <c r="M62" s="3"/>
      <c r="N62" s="3"/>
      <c r="O62" s="3"/>
      <c r="P62" s="3"/>
      <c r="Q62" s="3"/>
      <c r="R62" s="3"/>
      <c r="S62" s="3"/>
      <c r="T62" s="3"/>
      <c r="U62" s="3"/>
      <c r="V62" s="3"/>
      <c r="W62" s="3"/>
      <c r="X62" s="4"/>
      <c r="Y62" s="4"/>
      <c r="Z62" s="4"/>
    </row>
    <row r="63" spans="1:26" ht="15.75" customHeight="1" x14ac:dyDescent="0.6">
      <c r="A63" s="3"/>
      <c r="B63" s="3"/>
      <c r="C63" s="3"/>
      <c r="D63" s="3"/>
      <c r="E63" s="3"/>
      <c r="F63" s="3"/>
      <c r="G63" s="3"/>
      <c r="H63" s="3"/>
      <c r="I63" s="3"/>
      <c r="J63" s="3"/>
      <c r="K63" s="3"/>
      <c r="L63" s="3"/>
      <c r="M63" s="3"/>
      <c r="N63" s="3"/>
      <c r="O63" s="3"/>
      <c r="P63" s="3"/>
      <c r="Q63" s="3"/>
      <c r="R63" s="3"/>
      <c r="S63" s="3"/>
      <c r="T63" s="3"/>
      <c r="U63" s="3"/>
      <c r="V63" s="3"/>
      <c r="W63" s="3"/>
      <c r="X63" s="4"/>
      <c r="Y63" s="4"/>
      <c r="Z63" s="4"/>
    </row>
    <row r="64" spans="1:26" ht="15.75" customHeight="1" x14ac:dyDescent="0.6">
      <c r="A64" s="3"/>
      <c r="B64" s="3"/>
      <c r="C64" s="3"/>
      <c r="D64" s="3"/>
      <c r="E64" s="3"/>
      <c r="F64" s="3"/>
      <c r="G64" s="3"/>
      <c r="H64" s="3"/>
      <c r="I64" s="3"/>
      <c r="J64" s="3"/>
      <c r="K64" s="3"/>
      <c r="L64" s="3"/>
      <c r="M64" s="3"/>
      <c r="N64" s="3"/>
      <c r="O64" s="3"/>
      <c r="P64" s="3"/>
      <c r="Q64" s="3"/>
      <c r="R64" s="3"/>
      <c r="S64" s="3"/>
      <c r="T64" s="3"/>
      <c r="U64" s="3"/>
      <c r="V64" s="3"/>
      <c r="W64" s="3"/>
      <c r="X64" s="4"/>
      <c r="Y64" s="4"/>
      <c r="Z64" s="4"/>
    </row>
    <row r="65" spans="1:26" ht="15.75" customHeight="1" x14ac:dyDescent="0.6">
      <c r="A65" s="3"/>
      <c r="B65" s="3"/>
      <c r="C65" s="3"/>
      <c r="D65" s="3"/>
      <c r="E65" s="3"/>
      <c r="F65" s="3"/>
      <c r="G65" s="3"/>
      <c r="H65" s="3"/>
      <c r="I65" s="3"/>
      <c r="J65" s="3"/>
      <c r="K65" s="3"/>
      <c r="L65" s="3"/>
      <c r="M65" s="3"/>
      <c r="N65" s="3"/>
      <c r="O65" s="3"/>
      <c r="P65" s="3"/>
      <c r="Q65" s="3"/>
      <c r="R65" s="3"/>
      <c r="S65" s="3"/>
      <c r="T65" s="3"/>
      <c r="U65" s="3"/>
      <c r="V65" s="3"/>
      <c r="W65" s="3"/>
      <c r="X65" s="4"/>
      <c r="Y65" s="4"/>
      <c r="Z65" s="4"/>
    </row>
    <row r="66" spans="1:26" ht="15.75" customHeight="1" x14ac:dyDescent="0.6">
      <c r="A66" s="3"/>
      <c r="B66" s="3"/>
      <c r="C66" s="3"/>
      <c r="D66" s="3"/>
      <c r="E66" s="3"/>
      <c r="F66" s="3"/>
      <c r="G66" s="3"/>
      <c r="H66" s="3"/>
      <c r="I66" s="3"/>
      <c r="J66" s="3"/>
      <c r="K66" s="3"/>
      <c r="L66" s="3"/>
      <c r="M66" s="3"/>
      <c r="N66" s="3"/>
      <c r="O66" s="3"/>
      <c r="P66" s="3"/>
      <c r="Q66" s="3"/>
      <c r="R66" s="3"/>
      <c r="S66" s="3"/>
      <c r="T66" s="3"/>
      <c r="U66" s="3"/>
      <c r="V66" s="3"/>
      <c r="W66" s="3"/>
      <c r="X66" s="4"/>
      <c r="Y66" s="4"/>
      <c r="Z66" s="4"/>
    </row>
    <row r="67" spans="1:26" ht="15.75" customHeight="1" x14ac:dyDescent="0.6">
      <c r="A67" s="3"/>
      <c r="B67" s="3"/>
      <c r="C67" s="3"/>
      <c r="D67" s="3"/>
      <c r="E67" s="3"/>
      <c r="F67" s="3"/>
      <c r="G67" s="3"/>
      <c r="H67" s="3"/>
      <c r="I67" s="3"/>
      <c r="J67" s="3"/>
      <c r="K67" s="3"/>
      <c r="L67" s="3"/>
      <c r="M67" s="3"/>
      <c r="N67" s="3"/>
      <c r="O67" s="3"/>
      <c r="P67" s="3"/>
      <c r="Q67" s="3"/>
      <c r="R67" s="3"/>
      <c r="S67" s="3"/>
      <c r="T67" s="3"/>
      <c r="U67" s="3"/>
      <c r="V67" s="3"/>
      <c r="W67" s="3"/>
      <c r="X67" s="4"/>
      <c r="Y67" s="4"/>
      <c r="Z67" s="4"/>
    </row>
    <row r="68" spans="1:26" ht="15.75" customHeight="1" x14ac:dyDescent="0.6">
      <c r="A68" s="3"/>
      <c r="B68" s="3"/>
      <c r="C68" s="3"/>
      <c r="D68" s="3"/>
      <c r="E68" s="3"/>
      <c r="F68" s="3"/>
      <c r="G68" s="3"/>
      <c r="H68" s="3"/>
      <c r="I68" s="3"/>
      <c r="J68" s="3"/>
      <c r="K68" s="3"/>
      <c r="L68" s="3"/>
      <c r="M68" s="3"/>
      <c r="N68" s="3"/>
      <c r="O68" s="3"/>
      <c r="P68" s="3"/>
      <c r="Q68" s="3"/>
      <c r="R68" s="3"/>
      <c r="S68" s="3"/>
      <c r="T68" s="3"/>
      <c r="U68" s="3"/>
      <c r="V68" s="3"/>
      <c r="W68" s="3"/>
      <c r="X68" s="4"/>
      <c r="Y68" s="4"/>
      <c r="Z68" s="4"/>
    </row>
    <row r="69" spans="1:26" ht="15.75" customHeight="1" x14ac:dyDescent="0.6">
      <c r="A69" s="3"/>
      <c r="B69" s="3"/>
      <c r="C69" s="3"/>
      <c r="D69" s="3"/>
      <c r="E69" s="3"/>
      <c r="F69" s="3"/>
      <c r="G69" s="3"/>
      <c r="H69" s="3"/>
      <c r="I69" s="3"/>
      <c r="J69" s="3"/>
      <c r="K69" s="3"/>
      <c r="L69" s="3"/>
      <c r="M69" s="3"/>
      <c r="N69" s="3"/>
      <c r="O69" s="3"/>
      <c r="P69" s="3"/>
      <c r="Q69" s="3"/>
      <c r="R69" s="3"/>
      <c r="S69" s="3"/>
      <c r="T69" s="3"/>
      <c r="U69" s="3"/>
      <c r="V69" s="3"/>
      <c r="W69" s="3"/>
      <c r="X69" s="4"/>
      <c r="Y69" s="4"/>
      <c r="Z69" s="4"/>
    </row>
    <row r="70" spans="1:26" ht="15.75" customHeight="1" x14ac:dyDescent="0.6">
      <c r="A70" s="3"/>
      <c r="B70" s="3"/>
      <c r="C70" s="3"/>
      <c r="D70" s="3"/>
      <c r="E70" s="3"/>
      <c r="F70" s="3"/>
      <c r="G70" s="3"/>
      <c r="H70" s="3"/>
      <c r="I70" s="3"/>
      <c r="J70" s="3"/>
      <c r="K70" s="3"/>
      <c r="L70" s="3"/>
      <c r="M70" s="3"/>
      <c r="N70" s="3"/>
      <c r="O70" s="3"/>
      <c r="P70" s="3"/>
      <c r="Q70" s="3"/>
      <c r="R70" s="3"/>
      <c r="S70" s="3"/>
      <c r="T70" s="3"/>
      <c r="U70" s="3"/>
      <c r="V70" s="3"/>
      <c r="W70" s="3"/>
      <c r="X70" s="4"/>
      <c r="Y70" s="4"/>
      <c r="Z70" s="4"/>
    </row>
    <row r="71" spans="1:26" ht="15.75" customHeight="1" x14ac:dyDescent="0.6">
      <c r="A71" s="3"/>
      <c r="B71" s="3"/>
      <c r="C71" s="3"/>
      <c r="D71" s="3"/>
      <c r="E71" s="3"/>
      <c r="F71" s="3"/>
      <c r="G71" s="3"/>
      <c r="H71" s="3"/>
      <c r="I71" s="3"/>
      <c r="J71" s="3"/>
      <c r="K71" s="3"/>
      <c r="L71" s="3"/>
      <c r="M71" s="3"/>
      <c r="N71" s="3"/>
      <c r="O71" s="3"/>
      <c r="P71" s="3"/>
      <c r="Q71" s="3"/>
      <c r="R71" s="3"/>
      <c r="S71" s="3"/>
      <c r="T71" s="3"/>
      <c r="U71" s="3"/>
      <c r="V71" s="3"/>
      <c r="W71" s="3"/>
      <c r="X71" s="4"/>
      <c r="Y71" s="4"/>
      <c r="Z71" s="4"/>
    </row>
    <row r="72" spans="1:26" ht="15.75" customHeight="1" x14ac:dyDescent="0.6">
      <c r="A72" s="3"/>
      <c r="B72" s="3"/>
      <c r="C72" s="3"/>
      <c r="D72" s="3"/>
      <c r="E72" s="3"/>
      <c r="F72" s="3"/>
      <c r="G72" s="3"/>
      <c r="H72" s="3"/>
      <c r="I72" s="3"/>
      <c r="J72" s="3"/>
      <c r="K72" s="3"/>
      <c r="L72" s="3"/>
      <c r="M72" s="3"/>
      <c r="N72" s="3"/>
      <c r="O72" s="3"/>
      <c r="P72" s="3"/>
      <c r="Q72" s="3"/>
      <c r="R72" s="3"/>
      <c r="S72" s="3"/>
      <c r="T72" s="3"/>
      <c r="U72" s="3"/>
      <c r="V72" s="3"/>
      <c r="W72" s="3"/>
      <c r="X72" s="4"/>
      <c r="Y72" s="4"/>
      <c r="Z72" s="4"/>
    </row>
    <row r="73" spans="1:26" ht="15.75" customHeight="1" x14ac:dyDescent="0.6">
      <c r="A73" s="3"/>
      <c r="B73" s="3"/>
      <c r="C73" s="3"/>
      <c r="D73" s="3"/>
      <c r="E73" s="3"/>
      <c r="F73" s="3"/>
      <c r="G73" s="3"/>
      <c r="H73" s="3"/>
      <c r="I73" s="3"/>
      <c r="J73" s="3"/>
      <c r="K73" s="3"/>
      <c r="L73" s="3"/>
      <c r="M73" s="3"/>
      <c r="N73" s="3"/>
      <c r="O73" s="3"/>
      <c r="P73" s="3"/>
      <c r="Q73" s="3"/>
      <c r="R73" s="3"/>
      <c r="S73" s="3"/>
      <c r="T73" s="3"/>
      <c r="U73" s="3"/>
      <c r="V73" s="3"/>
      <c r="W73" s="3"/>
      <c r="X73" s="4"/>
      <c r="Y73" s="4"/>
      <c r="Z73" s="4"/>
    </row>
    <row r="74" spans="1:26" ht="15.75" customHeight="1" x14ac:dyDescent="0.6">
      <c r="A74" s="3"/>
      <c r="B74" s="3"/>
      <c r="C74" s="3"/>
      <c r="D74" s="3"/>
      <c r="E74" s="3"/>
      <c r="F74" s="3"/>
      <c r="G74" s="3"/>
      <c r="H74" s="3"/>
      <c r="I74" s="3"/>
      <c r="J74" s="3"/>
      <c r="K74" s="3"/>
      <c r="L74" s="3"/>
      <c r="M74" s="3"/>
      <c r="N74" s="3"/>
      <c r="O74" s="3"/>
      <c r="P74" s="3"/>
      <c r="Q74" s="3"/>
      <c r="R74" s="3"/>
      <c r="S74" s="3"/>
      <c r="T74" s="3"/>
      <c r="U74" s="3"/>
      <c r="V74" s="3"/>
      <c r="W74" s="3"/>
      <c r="X74" s="4"/>
      <c r="Y74" s="4"/>
      <c r="Z74" s="4"/>
    </row>
    <row r="75" spans="1:26" ht="15.75" customHeight="1" x14ac:dyDescent="0.6">
      <c r="A75" s="3"/>
      <c r="B75" s="3"/>
      <c r="C75" s="3"/>
      <c r="D75" s="3"/>
      <c r="E75" s="3"/>
      <c r="F75" s="3"/>
      <c r="G75" s="3"/>
      <c r="H75" s="3"/>
      <c r="I75" s="3"/>
      <c r="J75" s="3"/>
      <c r="K75" s="3"/>
      <c r="L75" s="3"/>
      <c r="M75" s="3"/>
      <c r="N75" s="3"/>
      <c r="O75" s="3"/>
      <c r="P75" s="3"/>
      <c r="Q75" s="3"/>
      <c r="R75" s="3"/>
      <c r="S75" s="3"/>
      <c r="T75" s="3"/>
      <c r="U75" s="3"/>
      <c r="V75" s="3"/>
      <c r="W75" s="3"/>
      <c r="X75" s="4"/>
      <c r="Y75" s="4"/>
      <c r="Z75" s="4"/>
    </row>
    <row r="76" spans="1:26" ht="15.75" customHeight="1" x14ac:dyDescent="0.6">
      <c r="A76" s="3"/>
      <c r="B76" s="3"/>
      <c r="C76" s="3"/>
      <c r="D76" s="3"/>
      <c r="E76" s="3"/>
      <c r="F76" s="3"/>
      <c r="G76" s="3"/>
      <c r="H76" s="3"/>
      <c r="I76" s="3"/>
      <c r="J76" s="3"/>
      <c r="K76" s="3"/>
      <c r="L76" s="3"/>
      <c r="M76" s="3"/>
      <c r="N76" s="3"/>
      <c r="O76" s="3"/>
      <c r="P76" s="3"/>
      <c r="Q76" s="3"/>
      <c r="R76" s="3"/>
      <c r="S76" s="3"/>
      <c r="T76" s="3"/>
      <c r="U76" s="3"/>
      <c r="V76" s="3"/>
      <c r="W76" s="3"/>
      <c r="X76" s="4"/>
      <c r="Y76" s="4"/>
      <c r="Z76" s="4"/>
    </row>
    <row r="77" spans="1:26" ht="15.75" customHeight="1" x14ac:dyDescent="0.6">
      <c r="A77" s="3"/>
      <c r="B77" s="3"/>
      <c r="C77" s="3"/>
      <c r="D77" s="3"/>
      <c r="E77" s="3"/>
      <c r="F77" s="3"/>
      <c r="G77" s="3"/>
      <c r="H77" s="3"/>
      <c r="I77" s="3"/>
      <c r="J77" s="3"/>
      <c r="K77" s="3"/>
      <c r="L77" s="3"/>
      <c r="M77" s="3"/>
      <c r="N77" s="3"/>
      <c r="O77" s="3"/>
      <c r="P77" s="3"/>
      <c r="Q77" s="3"/>
      <c r="R77" s="3"/>
      <c r="S77" s="3"/>
      <c r="T77" s="3"/>
      <c r="U77" s="3"/>
      <c r="V77" s="3"/>
      <c r="W77" s="3"/>
      <c r="X77" s="4"/>
      <c r="Y77" s="4"/>
      <c r="Z77" s="4"/>
    </row>
    <row r="78" spans="1:26" ht="15.75" customHeight="1" x14ac:dyDescent="0.6">
      <c r="A78" s="3"/>
      <c r="B78" s="3"/>
      <c r="C78" s="3"/>
      <c r="D78" s="3"/>
      <c r="E78" s="3"/>
      <c r="F78" s="3"/>
      <c r="G78" s="3"/>
      <c r="H78" s="3"/>
      <c r="I78" s="3"/>
      <c r="J78" s="3"/>
      <c r="K78" s="3"/>
      <c r="L78" s="3"/>
      <c r="M78" s="3"/>
      <c r="N78" s="3"/>
      <c r="O78" s="3"/>
      <c r="P78" s="3"/>
      <c r="Q78" s="3"/>
      <c r="R78" s="3"/>
      <c r="S78" s="3"/>
      <c r="T78" s="3"/>
      <c r="U78" s="3"/>
      <c r="V78" s="3"/>
      <c r="W78" s="3"/>
      <c r="X78" s="4"/>
      <c r="Y78" s="4"/>
      <c r="Z78" s="4"/>
    </row>
    <row r="79" spans="1:26" ht="15.75" customHeight="1" x14ac:dyDescent="0.6">
      <c r="A79" s="3"/>
      <c r="B79" s="3"/>
      <c r="C79" s="3"/>
      <c r="D79" s="3"/>
      <c r="E79" s="3"/>
      <c r="F79" s="3"/>
      <c r="G79" s="3"/>
      <c r="H79" s="3"/>
      <c r="I79" s="3"/>
      <c r="J79" s="3"/>
      <c r="K79" s="3"/>
      <c r="L79" s="3"/>
      <c r="M79" s="3"/>
      <c r="N79" s="3"/>
      <c r="O79" s="3"/>
      <c r="P79" s="3"/>
      <c r="Q79" s="3"/>
      <c r="R79" s="3"/>
      <c r="S79" s="3"/>
      <c r="T79" s="3"/>
      <c r="U79" s="3"/>
      <c r="V79" s="3"/>
      <c r="W79" s="3"/>
      <c r="X79" s="4"/>
      <c r="Y79" s="4"/>
      <c r="Z79" s="4"/>
    </row>
    <row r="80" spans="1:26" ht="15.75" customHeight="1" x14ac:dyDescent="0.6">
      <c r="A80" s="3"/>
      <c r="B80" s="3"/>
      <c r="C80" s="3"/>
      <c r="D80" s="3"/>
      <c r="E80" s="3"/>
      <c r="F80" s="3"/>
      <c r="G80" s="3"/>
      <c r="H80" s="3"/>
      <c r="I80" s="3"/>
      <c r="J80" s="3"/>
      <c r="K80" s="3"/>
      <c r="L80" s="3"/>
      <c r="M80" s="3"/>
      <c r="N80" s="3"/>
      <c r="O80" s="3"/>
      <c r="P80" s="3"/>
      <c r="Q80" s="3"/>
      <c r="R80" s="3"/>
      <c r="S80" s="3"/>
      <c r="T80" s="3"/>
      <c r="U80" s="3"/>
      <c r="V80" s="3"/>
      <c r="W80" s="3"/>
      <c r="X80" s="4"/>
      <c r="Y80" s="4"/>
      <c r="Z80" s="4"/>
    </row>
    <row r="81" spans="1:26" ht="15.75" customHeight="1" x14ac:dyDescent="0.6">
      <c r="A81" s="3"/>
      <c r="B81" s="3"/>
      <c r="C81" s="3"/>
      <c r="D81" s="3"/>
      <c r="E81" s="3"/>
      <c r="F81" s="3"/>
      <c r="G81" s="3"/>
      <c r="H81" s="3"/>
      <c r="I81" s="3"/>
      <c r="J81" s="3"/>
      <c r="K81" s="3"/>
      <c r="L81" s="3"/>
      <c r="M81" s="3"/>
      <c r="N81" s="3"/>
      <c r="O81" s="3"/>
      <c r="P81" s="3"/>
      <c r="Q81" s="3"/>
      <c r="R81" s="3"/>
      <c r="S81" s="3"/>
      <c r="T81" s="3"/>
      <c r="U81" s="3"/>
      <c r="V81" s="3"/>
      <c r="W81" s="3"/>
      <c r="X81" s="4"/>
      <c r="Y81" s="4"/>
      <c r="Z81" s="4"/>
    </row>
    <row r="82" spans="1:26" ht="15.75" customHeight="1" x14ac:dyDescent="0.6">
      <c r="A82" s="3"/>
      <c r="B82" s="3"/>
      <c r="C82" s="3"/>
      <c r="D82" s="3"/>
      <c r="E82" s="3"/>
      <c r="F82" s="3"/>
      <c r="G82" s="3"/>
      <c r="H82" s="3"/>
      <c r="I82" s="3"/>
      <c r="J82" s="3"/>
      <c r="K82" s="3"/>
      <c r="L82" s="3"/>
      <c r="M82" s="3"/>
      <c r="N82" s="3"/>
      <c r="O82" s="3"/>
      <c r="P82" s="3"/>
      <c r="Q82" s="3"/>
      <c r="R82" s="3"/>
      <c r="S82" s="3"/>
      <c r="T82" s="3"/>
      <c r="U82" s="3"/>
      <c r="V82" s="3"/>
      <c r="W82" s="3"/>
      <c r="X82" s="4"/>
      <c r="Y82" s="4"/>
      <c r="Z82" s="4"/>
    </row>
    <row r="83" spans="1:26" ht="15.75" customHeight="1" x14ac:dyDescent="0.6">
      <c r="A83" s="3"/>
      <c r="B83" s="3"/>
      <c r="C83" s="3"/>
      <c r="D83" s="3"/>
      <c r="E83" s="3"/>
      <c r="F83" s="3"/>
      <c r="G83" s="3"/>
      <c r="H83" s="3"/>
      <c r="I83" s="3"/>
      <c r="J83" s="3"/>
      <c r="K83" s="3"/>
      <c r="L83" s="3"/>
      <c r="M83" s="3"/>
      <c r="N83" s="3"/>
      <c r="O83" s="3"/>
      <c r="P83" s="3"/>
      <c r="Q83" s="3"/>
      <c r="R83" s="3"/>
      <c r="S83" s="3"/>
      <c r="T83" s="3"/>
      <c r="U83" s="3"/>
      <c r="V83" s="3"/>
      <c r="W83" s="3"/>
      <c r="X83" s="4"/>
      <c r="Y83" s="4"/>
      <c r="Z83" s="4"/>
    </row>
    <row r="84" spans="1:26" ht="15.75" customHeight="1" x14ac:dyDescent="0.6">
      <c r="A84" s="3"/>
      <c r="B84" s="3"/>
      <c r="C84" s="3"/>
      <c r="D84" s="3"/>
      <c r="E84" s="3"/>
      <c r="F84" s="3"/>
      <c r="G84" s="3"/>
      <c r="H84" s="3"/>
      <c r="I84" s="3"/>
      <c r="J84" s="3"/>
      <c r="K84" s="3"/>
      <c r="L84" s="3"/>
      <c r="M84" s="3"/>
      <c r="N84" s="3"/>
      <c r="O84" s="3"/>
      <c r="P84" s="3"/>
      <c r="Q84" s="3"/>
      <c r="R84" s="3"/>
      <c r="S84" s="3"/>
      <c r="T84" s="3"/>
      <c r="U84" s="3"/>
      <c r="V84" s="3"/>
      <c r="W84" s="3"/>
      <c r="X84" s="4"/>
      <c r="Y84" s="4"/>
      <c r="Z84" s="4"/>
    </row>
    <row r="85" spans="1:26" ht="15.75" customHeight="1" x14ac:dyDescent="0.6">
      <c r="A85" s="3"/>
      <c r="B85" s="3"/>
      <c r="C85" s="3"/>
      <c r="D85" s="3"/>
      <c r="E85" s="3"/>
      <c r="F85" s="3"/>
      <c r="G85" s="3"/>
      <c r="H85" s="3"/>
      <c r="I85" s="3"/>
      <c r="J85" s="3"/>
      <c r="K85" s="3"/>
      <c r="L85" s="3"/>
      <c r="M85" s="3"/>
      <c r="N85" s="3"/>
      <c r="O85" s="3"/>
      <c r="P85" s="3"/>
      <c r="Q85" s="3"/>
      <c r="R85" s="3"/>
      <c r="S85" s="3"/>
      <c r="T85" s="3"/>
      <c r="U85" s="3"/>
      <c r="V85" s="3"/>
      <c r="W85" s="3"/>
      <c r="X85" s="4"/>
      <c r="Y85" s="4"/>
      <c r="Z85" s="4"/>
    </row>
    <row r="86" spans="1:26" ht="15.75" customHeight="1" x14ac:dyDescent="0.6">
      <c r="A86" s="3"/>
      <c r="B86" s="3"/>
      <c r="C86" s="3"/>
      <c r="D86" s="3"/>
      <c r="E86" s="3"/>
      <c r="F86" s="3"/>
      <c r="G86" s="3"/>
      <c r="H86" s="3"/>
      <c r="I86" s="3"/>
      <c r="J86" s="3"/>
      <c r="K86" s="3"/>
      <c r="L86" s="3"/>
      <c r="M86" s="3"/>
      <c r="N86" s="3"/>
      <c r="O86" s="3"/>
      <c r="P86" s="3"/>
      <c r="Q86" s="3"/>
      <c r="R86" s="3"/>
      <c r="S86" s="3"/>
      <c r="T86" s="3"/>
      <c r="U86" s="3"/>
      <c r="V86" s="3"/>
      <c r="W86" s="3"/>
      <c r="X86" s="4"/>
      <c r="Y86" s="4"/>
      <c r="Z86" s="4"/>
    </row>
    <row r="87" spans="1:26" ht="15.75" customHeight="1" x14ac:dyDescent="0.6">
      <c r="A87" s="3"/>
      <c r="B87" s="3"/>
      <c r="C87" s="3"/>
      <c r="D87" s="3"/>
      <c r="E87" s="3"/>
      <c r="F87" s="3"/>
      <c r="G87" s="3"/>
      <c r="H87" s="3"/>
      <c r="I87" s="3"/>
      <c r="J87" s="3"/>
      <c r="K87" s="3"/>
      <c r="L87" s="3"/>
      <c r="M87" s="3"/>
      <c r="N87" s="3"/>
      <c r="O87" s="3"/>
      <c r="P87" s="3"/>
      <c r="Q87" s="3"/>
      <c r="R87" s="3"/>
      <c r="S87" s="3"/>
      <c r="T87" s="3"/>
      <c r="U87" s="3"/>
      <c r="V87" s="3"/>
      <c r="W87" s="3"/>
      <c r="X87" s="4"/>
      <c r="Y87" s="4"/>
      <c r="Z87" s="4"/>
    </row>
    <row r="88" spans="1:26" ht="15.75" customHeight="1" x14ac:dyDescent="0.6">
      <c r="A88" s="3"/>
      <c r="B88" s="3"/>
      <c r="C88" s="3"/>
      <c r="D88" s="3"/>
      <c r="E88" s="3"/>
      <c r="F88" s="3"/>
      <c r="G88" s="3"/>
      <c r="H88" s="3"/>
      <c r="I88" s="3"/>
      <c r="J88" s="3"/>
      <c r="K88" s="3"/>
      <c r="L88" s="3"/>
      <c r="M88" s="3"/>
      <c r="N88" s="3"/>
      <c r="O88" s="3"/>
      <c r="P88" s="3"/>
      <c r="Q88" s="3"/>
      <c r="R88" s="3"/>
      <c r="S88" s="3"/>
      <c r="T88" s="3"/>
      <c r="U88" s="3"/>
      <c r="V88" s="3"/>
      <c r="W88" s="3"/>
      <c r="X88" s="4"/>
      <c r="Y88" s="4"/>
      <c r="Z88" s="4"/>
    </row>
    <row r="89" spans="1:26" ht="15.75" customHeight="1" x14ac:dyDescent="0.6">
      <c r="A89" s="3"/>
      <c r="B89" s="3"/>
      <c r="C89" s="3"/>
      <c r="D89" s="3"/>
      <c r="E89" s="3"/>
      <c r="F89" s="3"/>
      <c r="G89" s="3"/>
      <c r="H89" s="3"/>
      <c r="I89" s="3"/>
      <c r="J89" s="3"/>
      <c r="K89" s="3"/>
      <c r="L89" s="3"/>
      <c r="M89" s="3"/>
      <c r="N89" s="3"/>
      <c r="O89" s="3"/>
      <c r="P89" s="3"/>
      <c r="Q89" s="3"/>
      <c r="R89" s="3"/>
      <c r="S89" s="3"/>
      <c r="T89" s="3"/>
      <c r="U89" s="3"/>
      <c r="V89" s="3"/>
      <c r="W89" s="3"/>
      <c r="X89" s="4"/>
      <c r="Y89" s="4"/>
      <c r="Z89" s="4"/>
    </row>
    <row r="90" spans="1:26" ht="15.75" customHeight="1" x14ac:dyDescent="0.6">
      <c r="A90" s="3"/>
      <c r="B90" s="3"/>
      <c r="C90" s="3"/>
      <c r="D90" s="3"/>
      <c r="E90" s="3"/>
      <c r="F90" s="3"/>
      <c r="G90" s="3"/>
      <c r="H90" s="3"/>
      <c r="I90" s="3"/>
      <c r="J90" s="3"/>
      <c r="K90" s="3"/>
      <c r="L90" s="3"/>
      <c r="M90" s="3"/>
      <c r="N90" s="3"/>
      <c r="O90" s="3"/>
      <c r="P90" s="3"/>
      <c r="Q90" s="3"/>
      <c r="R90" s="3"/>
      <c r="S90" s="3"/>
      <c r="T90" s="3"/>
      <c r="U90" s="3"/>
      <c r="V90" s="3"/>
      <c r="W90" s="3"/>
      <c r="X90" s="4"/>
      <c r="Y90" s="4"/>
      <c r="Z90" s="4"/>
    </row>
    <row r="91" spans="1:26" ht="15.75" customHeight="1" x14ac:dyDescent="0.6">
      <c r="A91" s="3"/>
      <c r="B91" s="3"/>
      <c r="C91" s="3"/>
      <c r="D91" s="3"/>
      <c r="E91" s="3"/>
      <c r="F91" s="3"/>
      <c r="G91" s="3"/>
      <c r="H91" s="3"/>
      <c r="I91" s="3"/>
      <c r="J91" s="3"/>
      <c r="K91" s="3"/>
      <c r="L91" s="3"/>
      <c r="M91" s="3"/>
      <c r="N91" s="3"/>
      <c r="O91" s="3"/>
      <c r="P91" s="3"/>
      <c r="Q91" s="3"/>
      <c r="R91" s="3"/>
      <c r="S91" s="3"/>
      <c r="T91" s="3"/>
      <c r="U91" s="3"/>
      <c r="V91" s="3"/>
      <c r="W91" s="3"/>
      <c r="X91" s="4"/>
      <c r="Y91" s="4"/>
      <c r="Z91" s="4"/>
    </row>
    <row r="92" spans="1:26" ht="15.75" customHeight="1" x14ac:dyDescent="0.6">
      <c r="A92" s="3"/>
      <c r="B92" s="3"/>
      <c r="C92" s="3"/>
      <c r="D92" s="3"/>
      <c r="E92" s="3"/>
      <c r="F92" s="3"/>
      <c r="G92" s="3"/>
      <c r="H92" s="3"/>
      <c r="I92" s="3"/>
      <c r="J92" s="3"/>
      <c r="K92" s="3"/>
      <c r="L92" s="3"/>
      <c r="M92" s="3"/>
      <c r="N92" s="3"/>
      <c r="O92" s="3"/>
      <c r="P92" s="3"/>
      <c r="Q92" s="3"/>
      <c r="R92" s="3"/>
      <c r="S92" s="3"/>
      <c r="T92" s="3"/>
      <c r="U92" s="3"/>
      <c r="V92" s="3"/>
      <c r="W92" s="3"/>
      <c r="X92" s="4"/>
      <c r="Y92" s="4"/>
      <c r="Z92" s="4"/>
    </row>
    <row r="93" spans="1:26" ht="15.75" customHeight="1" x14ac:dyDescent="0.6">
      <c r="A93" s="3"/>
      <c r="B93" s="3"/>
      <c r="C93" s="3"/>
      <c r="D93" s="3"/>
      <c r="E93" s="3"/>
      <c r="F93" s="3"/>
      <c r="G93" s="3"/>
      <c r="H93" s="3"/>
      <c r="I93" s="3"/>
      <c r="J93" s="3"/>
      <c r="K93" s="3"/>
      <c r="L93" s="3"/>
      <c r="M93" s="3"/>
      <c r="N93" s="3"/>
      <c r="O93" s="3"/>
      <c r="P93" s="3"/>
      <c r="Q93" s="3"/>
      <c r="R93" s="3"/>
      <c r="S93" s="3"/>
      <c r="T93" s="3"/>
      <c r="U93" s="3"/>
      <c r="V93" s="3"/>
      <c r="W93" s="3"/>
      <c r="X93" s="4"/>
      <c r="Y93" s="4"/>
      <c r="Z93" s="4"/>
    </row>
    <row r="94" spans="1:26" ht="15.75" customHeight="1" x14ac:dyDescent="0.6">
      <c r="A94" s="3"/>
      <c r="B94" s="3"/>
      <c r="C94" s="3"/>
      <c r="D94" s="3"/>
      <c r="E94" s="3"/>
      <c r="F94" s="3"/>
      <c r="G94" s="3"/>
      <c r="H94" s="3"/>
      <c r="I94" s="3"/>
      <c r="J94" s="3"/>
      <c r="K94" s="3"/>
      <c r="L94" s="3"/>
      <c r="M94" s="3"/>
      <c r="N94" s="3"/>
      <c r="O94" s="3"/>
      <c r="P94" s="3"/>
      <c r="Q94" s="3"/>
      <c r="R94" s="3"/>
      <c r="S94" s="3"/>
      <c r="T94" s="3"/>
      <c r="U94" s="3"/>
      <c r="V94" s="3"/>
      <c r="W94" s="3"/>
      <c r="X94" s="4"/>
      <c r="Y94" s="4"/>
      <c r="Z94" s="4"/>
    </row>
    <row r="95" spans="1:26" ht="15.75" customHeight="1" x14ac:dyDescent="0.6">
      <c r="A95" s="3"/>
      <c r="B95" s="3"/>
      <c r="C95" s="3"/>
      <c r="D95" s="3"/>
      <c r="E95" s="3"/>
      <c r="F95" s="3"/>
      <c r="G95" s="3"/>
      <c r="H95" s="3"/>
      <c r="I95" s="3"/>
      <c r="J95" s="3"/>
      <c r="K95" s="3"/>
      <c r="L95" s="3"/>
      <c r="M95" s="3"/>
      <c r="N95" s="3"/>
      <c r="O95" s="3"/>
      <c r="P95" s="3"/>
      <c r="Q95" s="3"/>
      <c r="R95" s="3"/>
      <c r="S95" s="3"/>
      <c r="T95" s="3"/>
      <c r="U95" s="3"/>
      <c r="V95" s="3"/>
      <c r="W95" s="3"/>
      <c r="X95" s="4"/>
      <c r="Y95" s="4"/>
      <c r="Z95" s="4"/>
    </row>
    <row r="96" spans="1:26" ht="15.75" customHeight="1" x14ac:dyDescent="0.6">
      <c r="A96" s="3"/>
      <c r="B96" s="3"/>
      <c r="C96" s="3"/>
      <c r="D96" s="3"/>
      <c r="E96" s="3"/>
      <c r="F96" s="3"/>
      <c r="G96" s="3"/>
      <c r="H96" s="3"/>
      <c r="I96" s="3"/>
      <c r="J96" s="3"/>
      <c r="K96" s="3"/>
      <c r="L96" s="3"/>
      <c r="M96" s="3"/>
      <c r="N96" s="3"/>
      <c r="O96" s="3"/>
      <c r="P96" s="3"/>
      <c r="Q96" s="3"/>
      <c r="R96" s="3"/>
      <c r="S96" s="3"/>
      <c r="T96" s="3"/>
      <c r="U96" s="3"/>
      <c r="V96" s="3"/>
      <c r="W96" s="3"/>
      <c r="X96" s="4"/>
      <c r="Y96" s="4"/>
      <c r="Z96" s="4"/>
    </row>
    <row r="97" spans="1:26" ht="15.75" customHeight="1" x14ac:dyDescent="0.6">
      <c r="A97" s="3"/>
      <c r="B97" s="3"/>
      <c r="C97" s="3"/>
      <c r="D97" s="3"/>
      <c r="E97" s="3"/>
      <c r="F97" s="3"/>
      <c r="G97" s="3"/>
      <c r="H97" s="3"/>
      <c r="I97" s="3"/>
      <c r="J97" s="3"/>
      <c r="K97" s="3"/>
      <c r="L97" s="3"/>
      <c r="M97" s="3"/>
      <c r="N97" s="3"/>
      <c r="O97" s="3"/>
      <c r="P97" s="3"/>
      <c r="Q97" s="3"/>
      <c r="R97" s="3"/>
      <c r="S97" s="3"/>
      <c r="T97" s="3"/>
      <c r="U97" s="3"/>
      <c r="V97" s="3"/>
      <c r="W97" s="3"/>
      <c r="X97" s="4"/>
      <c r="Y97" s="4"/>
      <c r="Z97" s="4"/>
    </row>
    <row r="98" spans="1:26" ht="15.75" customHeight="1" x14ac:dyDescent="0.6">
      <c r="A98" s="3"/>
      <c r="B98" s="3"/>
      <c r="C98" s="3"/>
      <c r="D98" s="3"/>
      <c r="E98" s="3"/>
      <c r="F98" s="3"/>
      <c r="G98" s="3"/>
      <c r="H98" s="3"/>
      <c r="I98" s="3"/>
      <c r="J98" s="3"/>
      <c r="K98" s="3"/>
      <c r="L98" s="3"/>
      <c r="M98" s="3"/>
      <c r="N98" s="3"/>
      <c r="O98" s="3"/>
      <c r="P98" s="3"/>
      <c r="Q98" s="3"/>
      <c r="R98" s="3"/>
      <c r="S98" s="3"/>
      <c r="T98" s="3"/>
      <c r="U98" s="3"/>
      <c r="V98" s="3"/>
      <c r="W98" s="3"/>
      <c r="X98" s="4"/>
      <c r="Y98" s="4"/>
      <c r="Z98" s="4"/>
    </row>
    <row r="99" spans="1:26" ht="15.75" customHeight="1" x14ac:dyDescent="0.6">
      <c r="A99" s="3"/>
      <c r="B99" s="3"/>
      <c r="C99" s="3"/>
      <c r="D99" s="3"/>
      <c r="E99" s="3"/>
      <c r="F99" s="3"/>
      <c r="G99" s="3"/>
      <c r="H99" s="3"/>
      <c r="I99" s="3"/>
      <c r="J99" s="3"/>
      <c r="K99" s="3"/>
      <c r="L99" s="3"/>
      <c r="M99" s="3"/>
      <c r="N99" s="3"/>
      <c r="O99" s="3"/>
      <c r="P99" s="3"/>
      <c r="Q99" s="3"/>
      <c r="R99" s="3"/>
      <c r="S99" s="3"/>
      <c r="T99" s="3"/>
      <c r="U99" s="3"/>
      <c r="V99" s="3"/>
      <c r="W99" s="3"/>
      <c r="X99" s="4"/>
      <c r="Y99" s="4"/>
      <c r="Z99" s="4"/>
    </row>
    <row r="100" spans="1:26" ht="15.75" customHeight="1" x14ac:dyDescent="0.6">
      <c r="A100" s="3"/>
      <c r="B100" s="3"/>
      <c r="C100" s="3"/>
      <c r="D100" s="3"/>
      <c r="E100" s="3"/>
      <c r="F100" s="3"/>
      <c r="G100" s="3"/>
      <c r="H100" s="3"/>
      <c r="I100" s="3"/>
      <c r="J100" s="3"/>
      <c r="K100" s="3"/>
      <c r="L100" s="3"/>
      <c r="M100" s="3"/>
      <c r="N100" s="3"/>
      <c r="O100" s="3"/>
      <c r="P100" s="3"/>
      <c r="Q100" s="3"/>
      <c r="R100" s="3"/>
      <c r="S100" s="3"/>
      <c r="T100" s="3"/>
      <c r="U100" s="3"/>
      <c r="V100" s="3"/>
      <c r="W100" s="3"/>
      <c r="X100" s="4"/>
      <c r="Y100" s="4"/>
      <c r="Z100" s="4"/>
    </row>
    <row r="101" spans="1:26" ht="15.75" customHeight="1" x14ac:dyDescent="0.6">
      <c r="A101" s="3"/>
      <c r="B101" s="3"/>
      <c r="C101" s="3"/>
      <c r="D101" s="3"/>
      <c r="E101" s="3"/>
      <c r="F101" s="3"/>
      <c r="G101" s="3"/>
      <c r="H101" s="3"/>
      <c r="I101" s="3"/>
      <c r="J101" s="3"/>
      <c r="K101" s="3"/>
      <c r="L101" s="3"/>
      <c r="M101" s="3"/>
      <c r="N101" s="3"/>
      <c r="O101" s="3"/>
      <c r="P101" s="3"/>
      <c r="Q101" s="3"/>
      <c r="R101" s="3"/>
      <c r="S101" s="3"/>
      <c r="T101" s="3"/>
      <c r="U101" s="3"/>
      <c r="V101" s="3"/>
      <c r="W101" s="3"/>
      <c r="X101" s="4"/>
      <c r="Y101" s="4"/>
      <c r="Z101" s="4"/>
    </row>
    <row r="102" spans="1:26" ht="15.75" customHeight="1" x14ac:dyDescent="0.6">
      <c r="A102" s="3"/>
      <c r="B102" s="3"/>
      <c r="C102" s="3"/>
      <c r="D102" s="3"/>
      <c r="E102" s="3"/>
      <c r="F102" s="3"/>
      <c r="G102" s="3"/>
      <c r="H102" s="3"/>
      <c r="I102" s="3"/>
      <c r="J102" s="3"/>
      <c r="K102" s="3"/>
      <c r="L102" s="3"/>
      <c r="M102" s="3"/>
      <c r="N102" s="3"/>
      <c r="O102" s="3"/>
      <c r="P102" s="3"/>
      <c r="Q102" s="3"/>
      <c r="R102" s="3"/>
      <c r="S102" s="3"/>
      <c r="T102" s="3"/>
      <c r="U102" s="3"/>
      <c r="V102" s="3"/>
      <c r="W102" s="3"/>
      <c r="X102" s="4"/>
      <c r="Y102" s="4"/>
      <c r="Z102" s="4"/>
    </row>
    <row r="103" spans="1:26" ht="15.75" customHeight="1" x14ac:dyDescent="0.6">
      <c r="A103" s="3"/>
      <c r="B103" s="3"/>
      <c r="C103" s="3"/>
      <c r="D103" s="3"/>
      <c r="E103" s="3"/>
      <c r="F103" s="3"/>
      <c r="G103" s="3"/>
      <c r="H103" s="3"/>
      <c r="I103" s="3"/>
      <c r="J103" s="3"/>
      <c r="K103" s="3"/>
      <c r="L103" s="3"/>
      <c r="M103" s="3"/>
      <c r="N103" s="3"/>
      <c r="O103" s="3"/>
      <c r="P103" s="3"/>
      <c r="Q103" s="3"/>
      <c r="R103" s="3"/>
      <c r="S103" s="3"/>
      <c r="T103" s="3"/>
      <c r="U103" s="3"/>
      <c r="V103" s="3"/>
      <c r="W103" s="3"/>
      <c r="X103" s="4"/>
      <c r="Y103" s="4"/>
      <c r="Z103" s="4"/>
    </row>
    <row r="104" spans="1:26" ht="15.75" customHeight="1" x14ac:dyDescent="0.6">
      <c r="A104" s="3"/>
      <c r="B104" s="3"/>
      <c r="C104" s="3"/>
      <c r="D104" s="3"/>
      <c r="E104" s="3"/>
      <c r="F104" s="3"/>
      <c r="G104" s="3"/>
      <c r="H104" s="3"/>
      <c r="I104" s="3"/>
      <c r="J104" s="3"/>
      <c r="K104" s="3"/>
      <c r="L104" s="3"/>
      <c r="M104" s="3"/>
      <c r="N104" s="3"/>
      <c r="O104" s="3"/>
      <c r="P104" s="3"/>
      <c r="Q104" s="3"/>
      <c r="R104" s="3"/>
      <c r="S104" s="3"/>
      <c r="T104" s="3"/>
      <c r="U104" s="3"/>
      <c r="V104" s="3"/>
      <c r="W104" s="3"/>
      <c r="X104" s="4"/>
      <c r="Y104" s="4"/>
      <c r="Z104" s="4"/>
    </row>
    <row r="105" spans="1:26" ht="15.75" customHeight="1" x14ac:dyDescent="0.6">
      <c r="A105" s="3"/>
      <c r="B105" s="3"/>
      <c r="C105" s="3"/>
      <c r="D105" s="3"/>
      <c r="E105" s="3"/>
      <c r="F105" s="3"/>
      <c r="G105" s="3"/>
      <c r="H105" s="3"/>
      <c r="I105" s="3"/>
      <c r="J105" s="3"/>
      <c r="K105" s="3"/>
      <c r="L105" s="3"/>
      <c r="M105" s="3"/>
      <c r="N105" s="3"/>
      <c r="O105" s="3"/>
      <c r="P105" s="3"/>
      <c r="Q105" s="3"/>
      <c r="R105" s="3"/>
      <c r="S105" s="3"/>
      <c r="T105" s="3"/>
      <c r="U105" s="3"/>
      <c r="V105" s="3"/>
      <c r="W105" s="3"/>
      <c r="X105" s="4"/>
      <c r="Y105" s="4"/>
      <c r="Z105" s="4"/>
    </row>
    <row r="106" spans="1:26" ht="15.75" customHeight="1" x14ac:dyDescent="0.6">
      <c r="A106" s="3"/>
      <c r="B106" s="3"/>
      <c r="C106" s="3"/>
      <c r="D106" s="3"/>
      <c r="E106" s="3"/>
      <c r="F106" s="3"/>
      <c r="G106" s="3"/>
      <c r="H106" s="3"/>
      <c r="I106" s="3"/>
      <c r="J106" s="3"/>
      <c r="K106" s="3"/>
      <c r="L106" s="3"/>
      <c r="M106" s="3"/>
      <c r="N106" s="3"/>
      <c r="O106" s="3"/>
      <c r="P106" s="3"/>
      <c r="Q106" s="3"/>
      <c r="R106" s="3"/>
      <c r="S106" s="3"/>
      <c r="T106" s="3"/>
      <c r="U106" s="3"/>
      <c r="V106" s="3"/>
      <c r="W106" s="3"/>
      <c r="X106" s="4"/>
      <c r="Y106" s="4"/>
      <c r="Z106" s="4"/>
    </row>
    <row r="107" spans="1:26" ht="15.75" customHeight="1" x14ac:dyDescent="0.6">
      <c r="A107" s="3"/>
      <c r="B107" s="3"/>
      <c r="C107" s="3"/>
      <c r="D107" s="3"/>
      <c r="E107" s="3"/>
      <c r="F107" s="3"/>
      <c r="G107" s="3"/>
      <c r="H107" s="3"/>
      <c r="I107" s="3"/>
      <c r="J107" s="3"/>
      <c r="K107" s="3"/>
      <c r="L107" s="3"/>
      <c r="M107" s="3"/>
      <c r="N107" s="3"/>
      <c r="O107" s="3"/>
      <c r="P107" s="3"/>
      <c r="Q107" s="3"/>
      <c r="R107" s="3"/>
      <c r="S107" s="3"/>
      <c r="T107" s="3"/>
      <c r="U107" s="3"/>
      <c r="V107" s="3"/>
      <c r="W107" s="3"/>
      <c r="X107" s="4"/>
      <c r="Y107" s="4"/>
      <c r="Z107" s="4"/>
    </row>
    <row r="108" spans="1:26" ht="15.75" customHeight="1" x14ac:dyDescent="0.6">
      <c r="A108" s="3"/>
      <c r="B108" s="3"/>
      <c r="C108" s="3"/>
      <c r="D108" s="3"/>
      <c r="E108" s="3"/>
      <c r="F108" s="3"/>
      <c r="G108" s="3"/>
      <c r="H108" s="3"/>
      <c r="I108" s="3"/>
      <c r="J108" s="3"/>
      <c r="K108" s="3"/>
      <c r="L108" s="3"/>
      <c r="M108" s="3"/>
      <c r="N108" s="3"/>
      <c r="O108" s="3"/>
      <c r="P108" s="3"/>
      <c r="Q108" s="3"/>
      <c r="R108" s="3"/>
      <c r="S108" s="3"/>
      <c r="T108" s="3"/>
      <c r="U108" s="3"/>
      <c r="V108" s="3"/>
      <c r="W108" s="3"/>
      <c r="X108" s="4"/>
      <c r="Y108" s="4"/>
      <c r="Z108" s="4"/>
    </row>
    <row r="109" spans="1:26" ht="15.75" customHeight="1" x14ac:dyDescent="0.6">
      <c r="A109" s="3"/>
      <c r="B109" s="3"/>
      <c r="C109" s="3"/>
      <c r="D109" s="3"/>
      <c r="E109" s="3"/>
      <c r="F109" s="3"/>
      <c r="G109" s="3"/>
      <c r="H109" s="3"/>
      <c r="I109" s="3"/>
      <c r="J109" s="3"/>
      <c r="K109" s="3"/>
      <c r="L109" s="3"/>
      <c r="M109" s="3"/>
      <c r="N109" s="3"/>
      <c r="O109" s="3"/>
      <c r="P109" s="3"/>
      <c r="Q109" s="3"/>
      <c r="R109" s="3"/>
      <c r="S109" s="3"/>
      <c r="T109" s="3"/>
      <c r="U109" s="3"/>
      <c r="V109" s="3"/>
      <c r="W109" s="3"/>
      <c r="X109" s="4"/>
      <c r="Y109" s="4"/>
      <c r="Z109" s="4"/>
    </row>
    <row r="110" spans="1:26" ht="15.75" customHeight="1" x14ac:dyDescent="0.6">
      <c r="A110" s="3"/>
      <c r="B110" s="3"/>
      <c r="C110" s="3"/>
      <c r="D110" s="3"/>
      <c r="E110" s="3"/>
      <c r="F110" s="3"/>
      <c r="G110" s="3"/>
      <c r="H110" s="3"/>
      <c r="I110" s="3"/>
      <c r="J110" s="3"/>
      <c r="K110" s="3"/>
      <c r="L110" s="3"/>
      <c r="M110" s="3"/>
      <c r="N110" s="3"/>
      <c r="O110" s="3"/>
      <c r="P110" s="3"/>
      <c r="Q110" s="3"/>
      <c r="R110" s="3"/>
      <c r="S110" s="3"/>
      <c r="T110" s="3"/>
      <c r="U110" s="3"/>
      <c r="V110" s="3"/>
      <c r="W110" s="3"/>
      <c r="X110" s="4"/>
      <c r="Y110" s="4"/>
      <c r="Z110" s="4"/>
    </row>
    <row r="111" spans="1:26" ht="15.75" customHeight="1" x14ac:dyDescent="0.6">
      <c r="A111" s="3"/>
      <c r="B111" s="3"/>
      <c r="C111" s="3"/>
      <c r="D111" s="3"/>
      <c r="E111" s="3"/>
      <c r="F111" s="3"/>
      <c r="G111" s="3"/>
      <c r="H111" s="3"/>
      <c r="I111" s="3"/>
      <c r="J111" s="3"/>
      <c r="K111" s="3"/>
      <c r="L111" s="3"/>
      <c r="M111" s="3"/>
      <c r="N111" s="3"/>
      <c r="O111" s="3"/>
      <c r="P111" s="3"/>
      <c r="Q111" s="3"/>
      <c r="R111" s="3"/>
      <c r="S111" s="3"/>
      <c r="T111" s="3"/>
      <c r="U111" s="3"/>
      <c r="V111" s="3"/>
      <c r="W111" s="3"/>
      <c r="X111" s="4"/>
      <c r="Y111" s="4"/>
      <c r="Z111" s="4"/>
    </row>
    <row r="112" spans="1:26" ht="15.75" customHeight="1" x14ac:dyDescent="0.6">
      <c r="A112" s="3"/>
      <c r="B112" s="3"/>
      <c r="C112" s="3"/>
      <c r="D112" s="3"/>
      <c r="E112" s="3"/>
      <c r="F112" s="3"/>
      <c r="G112" s="3"/>
      <c r="H112" s="3"/>
      <c r="I112" s="3"/>
      <c r="J112" s="3"/>
      <c r="K112" s="3"/>
      <c r="L112" s="3"/>
      <c r="M112" s="3"/>
      <c r="N112" s="3"/>
      <c r="O112" s="3"/>
      <c r="P112" s="3"/>
      <c r="Q112" s="3"/>
      <c r="R112" s="3"/>
      <c r="S112" s="3"/>
      <c r="T112" s="3"/>
      <c r="U112" s="3"/>
      <c r="V112" s="3"/>
      <c r="W112" s="3"/>
      <c r="X112" s="4"/>
      <c r="Y112" s="4"/>
      <c r="Z112" s="4"/>
    </row>
    <row r="113" spans="1:26" ht="15.75" customHeight="1" x14ac:dyDescent="0.6">
      <c r="A113" s="3"/>
      <c r="B113" s="3"/>
      <c r="C113" s="3"/>
      <c r="D113" s="3"/>
      <c r="E113" s="3"/>
      <c r="F113" s="3"/>
      <c r="G113" s="3"/>
      <c r="H113" s="3"/>
      <c r="I113" s="3"/>
      <c r="J113" s="3"/>
      <c r="K113" s="3"/>
      <c r="L113" s="3"/>
      <c r="M113" s="3"/>
      <c r="N113" s="3"/>
      <c r="O113" s="3"/>
      <c r="P113" s="3"/>
      <c r="Q113" s="3"/>
      <c r="R113" s="3"/>
      <c r="S113" s="3"/>
      <c r="T113" s="3"/>
      <c r="U113" s="3"/>
      <c r="V113" s="3"/>
      <c r="W113" s="3"/>
      <c r="X113" s="4"/>
      <c r="Y113" s="4"/>
      <c r="Z113" s="4"/>
    </row>
    <row r="114" spans="1:26" ht="15.75" customHeight="1" x14ac:dyDescent="0.6">
      <c r="A114" s="3"/>
      <c r="B114" s="3"/>
      <c r="C114" s="3"/>
      <c r="D114" s="3"/>
      <c r="E114" s="3"/>
      <c r="F114" s="3"/>
      <c r="G114" s="3"/>
      <c r="H114" s="3"/>
      <c r="I114" s="3"/>
      <c r="J114" s="3"/>
      <c r="K114" s="3"/>
      <c r="L114" s="3"/>
      <c r="M114" s="3"/>
      <c r="N114" s="3"/>
      <c r="O114" s="3"/>
      <c r="P114" s="3"/>
      <c r="Q114" s="3"/>
      <c r="R114" s="3"/>
      <c r="S114" s="3"/>
      <c r="T114" s="3"/>
      <c r="U114" s="3"/>
      <c r="V114" s="3"/>
      <c r="W114" s="3"/>
      <c r="X114" s="4"/>
      <c r="Y114" s="4"/>
      <c r="Z114" s="4"/>
    </row>
    <row r="115" spans="1:26" ht="15.75" customHeight="1" x14ac:dyDescent="0.6">
      <c r="A115" s="3"/>
      <c r="B115" s="3"/>
      <c r="C115" s="3"/>
      <c r="D115" s="3"/>
      <c r="E115" s="3"/>
      <c r="F115" s="3"/>
      <c r="G115" s="3"/>
      <c r="H115" s="3"/>
      <c r="I115" s="3"/>
      <c r="J115" s="3"/>
      <c r="K115" s="3"/>
      <c r="L115" s="3"/>
      <c r="M115" s="3"/>
      <c r="N115" s="3"/>
      <c r="O115" s="3"/>
      <c r="P115" s="3"/>
      <c r="Q115" s="3"/>
      <c r="R115" s="3"/>
      <c r="S115" s="3"/>
      <c r="T115" s="3"/>
      <c r="U115" s="3"/>
      <c r="V115" s="3"/>
      <c r="W115" s="3"/>
      <c r="X115" s="4"/>
      <c r="Y115" s="4"/>
      <c r="Z115" s="4"/>
    </row>
    <row r="116" spans="1:26" ht="15.75" customHeight="1" x14ac:dyDescent="0.6">
      <c r="A116" s="3"/>
      <c r="B116" s="3"/>
      <c r="C116" s="3"/>
      <c r="D116" s="3"/>
      <c r="E116" s="3"/>
      <c r="F116" s="3"/>
      <c r="G116" s="3"/>
      <c r="H116" s="3"/>
      <c r="I116" s="3"/>
      <c r="J116" s="3"/>
      <c r="K116" s="3"/>
      <c r="L116" s="3"/>
      <c r="M116" s="3"/>
      <c r="N116" s="3"/>
      <c r="O116" s="3"/>
      <c r="P116" s="3"/>
      <c r="Q116" s="3"/>
      <c r="R116" s="3"/>
      <c r="S116" s="3"/>
      <c r="T116" s="3"/>
      <c r="U116" s="3"/>
      <c r="V116" s="3"/>
      <c r="W116" s="3"/>
      <c r="X116" s="4"/>
      <c r="Y116" s="4"/>
      <c r="Z116" s="4"/>
    </row>
    <row r="117" spans="1:26" ht="15.75" customHeight="1" x14ac:dyDescent="0.6">
      <c r="A117" s="3"/>
      <c r="B117" s="3"/>
      <c r="C117" s="3"/>
      <c r="D117" s="3"/>
      <c r="E117" s="3"/>
      <c r="F117" s="3"/>
      <c r="G117" s="3"/>
      <c r="H117" s="3"/>
      <c r="I117" s="3"/>
      <c r="J117" s="3"/>
      <c r="K117" s="3"/>
      <c r="L117" s="3"/>
      <c r="M117" s="3"/>
      <c r="N117" s="3"/>
      <c r="O117" s="3"/>
      <c r="P117" s="3"/>
      <c r="Q117" s="3"/>
      <c r="R117" s="3"/>
      <c r="S117" s="3"/>
      <c r="T117" s="3"/>
      <c r="U117" s="3"/>
      <c r="V117" s="3"/>
      <c r="W117" s="3"/>
      <c r="X117" s="4"/>
      <c r="Y117" s="4"/>
      <c r="Z117" s="4"/>
    </row>
    <row r="118" spans="1:26" ht="15.75" customHeight="1" x14ac:dyDescent="0.6">
      <c r="A118" s="3"/>
      <c r="B118" s="3"/>
      <c r="C118" s="3"/>
      <c r="D118" s="3"/>
      <c r="E118" s="3"/>
      <c r="F118" s="3"/>
      <c r="G118" s="3"/>
      <c r="H118" s="3"/>
      <c r="I118" s="3"/>
      <c r="J118" s="3"/>
      <c r="K118" s="3"/>
      <c r="L118" s="3"/>
      <c r="M118" s="3"/>
      <c r="N118" s="3"/>
      <c r="O118" s="3"/>
      <c r="P118" s="3"/>
      <c r="Q118" s="3"/>
      <c r="R118" s="3"/>
      <c r="S118" s="3"/>
      <c r="T118" s="3"/>
      <c r="U118" s="3"/>
      <c r="V118" s="3"/>
      <c r="W118" s="3"/>
      <c r="X118" s="4"/>
      <c r="Y118" s="4"/>
      <c r="Z118" s="4"/>
    </row>
    <row r="119" spans="1:26" ht="15.75" customHeight="1" x14ac:dyDescent="0.6">
      <c r="A119" s="3"/>
      <c r="B119" s="3"/>
      <c r="C119" s="3"/>
      <c r="D119" s="3"/>
      <c r="E119" s="3"/>
      <c r="F119" s="3"/>
      <c r="G119" s="3"/>
      <c r="H119" s="3"/>
      <c r="I119" s="3"/>
      <c r="J119" s="3"/>
      <c r="K119" s="3"/>
      <c r="L119" s="3"/>
      <c r="M119" s="3"/>
      <c r="N119" s="3"/>
      <c r="O119" s="3"/>
      <c r="P119" s="3"/>
      <c r="Q119" s="3"/>
      <c r="R119" s="3"/>
      <c r="S119" s="3"/>
      <c r="T119" s="3"/>
      <c r="U119" s="3"/>
      <c r="V119" s="3"/>
      <c r="W119" s="3"/>
      <c r="X119" s="4"/>
      <c r="Y119" s="4"/>
      <c r="Z119" s="4"/>
    </row>
    <row r="120" spans="1:26" ht="15.75" customHeight="1" x14ac:dyDescent="0.6">
      <c r="A120" s="3"/>
      <c r="B120" s="3"/>
      <c r="C120" s="3"/>
      <c r="D120" s="3"/>
      <c r="E120" s="3"/>
      <c r="F120" s="3"/>
      <c r="G120" s="3"/>
      <c r="H120" s="3"/>
      <c r="I120" s="3"/>
      <c r="J120" s="3"/>
      <c r="K120" s="3"/>
      <c r="L120" s="3"/>
      <c r="M120" s="3"/>
      <c r="N120" s="3"/>
      <c r="O120" s="3"/>
      <c r="P120" s="3"/>
      <c r="Q120" s="3"/>
      <c r="R120" s="3"/>
      <c r="S120" s="3"/>
      <c r="T120" s="3"/>
      <c r="U120" s="3"/>
      <c r="V120" s="3"/>
      <c r="W120" s="3"/>
      <c r="X120" s="4"/>
      <c r="Y120" s="4"/>
      <c r="Z120" s="4"/>
    </row>
    <row r="121" spans="1:26" ht="15.75" customHeight="1" x14ac:dyDescent="0.6">
      <c r="A121" s="3"/>
      <c r="B121" s="3"/>
      <c r="C121" s="3"/>
      <c r="D121" s="3"/>
      <c r="E121" s="3"/>
      <c r="F121" s="3"/>
      <c r="G121" s="3"/>
      <c r="H121" s="3"/>
      <c r="I121" s="3"/>
      <c r="J121" s="3"/>
      <c r="K121" s="3"/>
      <c r="L121" s="3"/>
      <c r="M121" s="3"/>
      <c r="N121" s="3"/>
      <c r="O121" s="3"/>
      <c r="P121" s="3"/>
      <c r="Q121" s="3"/>
      <c r="R121" s="3"/>
      <c r="S121" s="3"/>
      <c r="T121" s="3"/>
      <c r="U121" s="3"/>
      <c r="V121" s="3"/>
      <c r="W121" s="3"/>
      <c r="X121" s="4"/>
      <c r="Y121" s="4"/>
      <c r="Z121" s="4"/>
    </row>
    <row r="122" spans="1:26" ht="15.75" customHeight="1" x14ac:dyDescent="0.6">
      <c r="A122" s="3"/>
      <c r="B122" s="3"/>
      <c r="C122" s="3"/>
      <c r="D122" s="3"/>
      <c r="E122" s="3"/>
      <c r="F122" s="3"/>
      <c r="G122" s="3"/>
      <c r="H122" s="3"/>
      <c r="I122" s="3"/>
      <c r="J122" s="3"/>
      <c r="K122" s="3"/>
      <c r="L122" s="3"/>
      <c r="M122" s="3"/>
      <c r="N122" s="3"/>
      <c r="O122" s="3"/>
      <c r="P122" s="3"/>
      <c r="Q122" s="3"/>
      <c r="R122" s="3"/>
      <c r="S122" s="3"/>
      <c r="T122" s="3"/>
      <c r="U122" s="3"/>
      <c r="V122" s="3"/>
      <c r="W122" s="3"/>
      <c r="X122" s="4"/>
      <c r="Y122" s="4"/>
      <c r="Z122" s="4"/>
    </row>
    <row r="123" spans="1:26" ht="15.75" customHeight="1" x14ac:dyDescent="0.6">
      <c r="A123" s="3"/>
      <c r="B123" s="3"/>
      <c r="C123" s="3"/>
      <c r="D123" s="3"/>
      <c r="E123" s="3"/>
      <c r="F123" s="3"/>
      <c r="G123" s="3"/>
      <c r="H123" s="3"/>
      <c r="I123" s="3"/>
      <c r="J123" s="3"/>
      <c r="K123" s="3"/>
      <c r="L123" s="3"/>
      <c r="M123" s="3"/>
      <c r="N123" s="3"/>
      <c r="O123" s="3"/>
      <c r="P123" s="3"/>
      <c r="Q123" s="3"/>
      <c r="R123" s="3"/>
      <c r="S123" s="3"/>
      <c r="T123" s="3"/>
      <c r="U123" s="3"/>
      <c r="V123" s="3"/>
      <c r="W123" s="3"/>
      <c r="X123" s="4"/>
      <c r="Y123" s="4"/>
      <c r="Z123" s="4"/>
    </row>
    <row r="124" spans="1:26" ht="15.75" customHeight="1" x14ac:dyDescent="0.6">
      <c r="A124" s="3"/>
      <c r="B124" s="3"/>
      <c r="C124" s="3"/>
      <c r="D124" s="3"/>
      <c r="E124" s="3"/>
      <c r="F124" s="3"/>
      <c r="G124" s="3"/>
      <c r="H124" s="3"/>
      <c r="I124" s="3"/>
      <c r="J124" s="3"/>
      <c r="K124" s="3"/>
      <c r="L124" s="3"/>
      <c r="M124" s="3"/>
      <c r="N124" s="3"/>
      <c r="O124" s="3"/>
      <c r="P124" s="3"/>
      <c r="Q124" s="3"/>
      <c r="R124" s="3"/>
      <c r="S124" s="3"/>
      <c r="T124" s="3"/>
      <c r="U124" s="3"/>
      <c r="V124" s="3"/>
      <c r="W124" s="3"/>
      <c r="X124" s="4"/>
      <c r="Y124" s="4"/>
      <c r="Z124" s="4"/>
    </row>
    <row r="125" spans="1:26" ht="15.75" customHeight="1" x14ac:dyDescent="0.6">
      <c r="A125" s="3"/>
      <c r="B125" s="3"/>
      <c r="C125" s="3"/>
      <c r="D125" s="3"/>
      <c r="E125" s="3"/>
      <c r="F125" s="3"/>
      <c r="G125" s="3"/>
      <c r="H125" s="3"/>
      <c r="I125" s="3"/>
      <c r="J125" s="3"/>
      <c r="K125" s="3"/>
      <c r="L125" s="3"/>
      <c r="M125" s="3"/>
      <c r="N125" s="3"/>
      <c r="O125" s="3"/>
      <c r="P125" s="3"/>
      <c r="Q125" s="3"/>
      <c r="R125" s="3"/>
      <c r="S125" s="3"/>
      <c r="T125" s="3"/>
      <c r="U125" s="3"/>
      <c r="V125" s="3"/>
      <c r="W125" s="3"/>
      <c r="X125" s="4"/>
      <c r="Y125" s="4"/>
      <c r="Z125" s="4"/>
    </row>
    <row r="126" spans="1:26" ht="15.75" customHeight="1" x14ac:dyDescent="0.6">
      <c r="A126" s="3"/>
      <c r="B126" s="3"/>
      <c r="C126" s="3"/>
      <c r="D126" s="3"/>
      <c r="E126" s="3"/>
      <c r="F126" s="3"/>
      <c r="G126" s="3"/>
      <c r="H126" s="3"/>
      <c r="I126" s="3"/>
      <c r="J126" s="3"/>
      <c r="K126" s="3"/>
      <c r="L126" s="3"/>
      <c r="M126" s="3"/>
      <c r="N126" s="3"/>
      <c r="O126" s="3"/>
      <c r="P126" s="3"/>
      <c r="Q126" s="3"/>
      <c r="R126" s="3"/>
      <c r="S126" s="3"/>
      <c r="T126" s="3"/>
      <c r="U126" s="3"/>
      <c r="V126" s="3"/>
      <c r="W126" s="3"/>
      <c r="X126" s="4"/>
      <c r="Y126" s="4"/>
      <c r="Z126" s="4"/>
    </row>
    <row r="127" spans="1:26" ht="15.75" customHeight="1" x14ac:dyDescent="0.6">
      <c r="A127" s="3"/>
      <c r="B127" s="3"/>
      <c r="C127" s="3"/>
      <c r="D127" s="3"/>
      <c r="E127" s="3"/>
      <c r="F127" s="3"/>
      <c r="G127" s="3"/>
      <c r="H127" s="3"/>
      <c r="I127" s="3"/>
      <c r="J127" s="3"/>
      <c r="K127" s="3"/>
      <c r="L127" s="3"/>
      <c r="M127" s="3"/>
      <c r="N127" s="3"/>
      <c r="O127" s="3"/>
      <c r="P127" s="3"/>
      <c r="Q127" s="3"/>
      <c r="R127" s="3"/>
      <c r="S127" s="3"/>
      <c r="T127" s="3"/>
      <c r="U127" s="3"/>
      <c r="V127" s="3"/>
      <c r="W127" s="3"/>
      <c r="X127" s="4"/>
      <c r="Y127" s="4"/>
      <c r="Z127" s="4"/>
    </row>
    <row r="128" spans="1:26" ht="15.75" customHeight="1" x14ac:dyDescent="0.6">
      <c r="A128" s="3"/>
      <c r="B128" s="3"/>
      <c r="C128" s="3"/>
      <c r="D128" s="3"/>
      <c r="E128" s="3"/>
      <c r="F128" s="3"/>
      <c r="G128" s="3"/>
      <c r="H128" s="3"/>
      <c r="I128" s="3"/>
      <c r="J128" s="3"/>
      <c r="K128" s="3"/>
      <c r="L128" s="3"/>
      <c r="M128" s="3"/>
      <c r="N128" s="3"/>
      <c r="O128" s="3"/>
      <c r="P128" s="3"/>
      <c r="Q128" s="3"/>
      <c r="R128" s="3"/>
      <c r="S128" s="3"/>
      <c r="T128" s="3"/>
      <c r="U128" s="3"/>
      <c r="V128" s="3"/>
      <c r="W128" s="3"/>
      <c r="X128" s="4"/>
      <c r="Y128" s="4"/>
      <c r="Z128" s="4"/>
    </row>
    <row r="129" spans="1:26" ht="15.75" customHeight="1" x14ac:dyDescent="0.6">
      <c r="A129" s="3"/>
      <c r="B129" s="3"/>
      <c r="C129" s="3"/>
      <c r="D129" s="3"/>
      <c r="E129" s="3"/>
      <c r="F129" s="3"/>
      <c r="G129" s="3"/>
      <c r="H129" s="3"/>
      <c r="I129" s="3"/>
      <c r="J129" s="3"/>
      <c r="K129" s="3"/>
      <c r="L129" s="3"/>
      <c r="M129" s="3"/>
      <c r="N129" s="3"/>
      <c r="O129" s="3"/>
      <c r="P129" s="3"/>
      <c r="Q129" s="3"/>
      <c r="R129" s="3"/>
      <c r="S129" s="3"/>
      <c r="T129" s="3"/>
      <c r="U129" s="3"/>
      <c r="V129" s="3"/>
      <c r="W129" s="3"/>
      <c r="X129" s="4"/>
      <c r="Y129" s="4"/>
      <c r="Z129" s="4"/>
    </row>
    <row r="130" spans="1:26" ht="15.75" customHeight="1" x14ac:dyDescent="0.6">
      <c r="A130" s="3"/>
      <c r="B130" s="3"/>
      <c r="C130" s="3"/>
      <c r="D130" s="3"/>
      <c r="E130" s="3"/>
      <c r="F130" s="3"/>
      <c r="G130" s="3"/>
      <c r="H130" s="3"/>
      <c r="I130" s="3"/>
      <c r="J130" s="3"/>
      <c r="K130" s="3"/>
      <c r="L130" s="3"/>
      <c r="M130" s="3"/>
      <c r="N130" s="3"/>
      <c r="O130" s="3"/>
      <c r="P130" s="3"/>
      <c r="Q130" s="3"/>
      <c r="R130" s="3"/>
      <c r="S130" s="3"/>
      <c r="T130" s="3"/>
      <c r="U130" s="3"/>
      <c r="V130" s="3"/>
      <c r="W130" s="3"/>
      <c r="X130" s="4"/>
      <c r="Y130" s="4"/>
      <c r="Z130" s="4"/>
    </row>
    <row r="131" spans="1:26" ht="15.75" customHeight="1" x14ac:dyDescent="0.6">
      <c r="A131" s="3"/>
      <c r="B131" s="3"/>
      <c r="C131" s="3"/>
      <c r="D131" s="3"/>
      <c r="E131" s="3"/>
      <c r="F131" s="3"/>
      <c r="G131" s="3"/>
      <c r="H131" s="3"/>
      <c r="I131" s="3"/>
      <c r="J131" s="3"/>
      <c r="K131" s="3"/>
      <c r="L131" s="3"/>
      <c r="M131" s="3"/>
      <c r="N131" s="3"/>
      <c r="O131" s="3"/>
      <c r="P131" s="3"/>
      <c r="Q131" s="3"/>
      <c r="R131" s="3"/>
      <c r="S131" s="3"/>
      <c r="T131" s="3"/>
      <c r="U131" s="3"/>
      <c r="V131" s="3"/>
      <c r="W131" s="3"/>
      <c r="X131" s="4"/>
      <c r="Y131" s="4"/>
      <c r="Z131" s="4"/>
    </row>
    <row r="132" spans="1:26" ht="15.75" customHeight="1" x14ac:dyDescent="0.6">
      <c r="A132" s="3"/>
      <c r="B132" s="3"/>
      <c r="C132" s="3"/>
      <c r="D132" s="3"/>
      <c r="E132" s="3"/>
      <c r="F132" s="3"/>
      <c r="G132" s="3"/>
      <c r="H132" s="3"/>
      <c r="I132" s="3"/>
      <c r="J132" s="3"/>
      <c r="K132" s="3"/>
      <c r="L132" s="3"/>
      <c r="M132" s="3"/>
      <c r="N132" s="3"/>
      <c r="O132" s="3"/>
      <c r="P132" s="3"/>
      <c r="Q132" s="3"/>
      <c r="R132" s="3"/>
      <c r="S132" s="3"/>
      <c r="T132" s="3"/>
      <c r="U132" s="3"/>
      <c r="V132" s="3"/>
      <c r="W132" s="3"/>
      <c r="X132" s="4"/>
      <c r="Y132" s="4"/>
      <c r="Z132" s="4"/>
    </row>
    <row r="133" spans="1:26" ht="15.75" customHeight="1" x14ac:dyDescent="0.6">
      <c r="A133" s="3"/>
      <c r="B133" s="3"/>
      <c r="C133" s="3"/>
      <c r="D133" s="3"/>
      <c r="E133" s="3"/>
      <c r="F133" s="3"/>
      <c r="G133" s="3"/>
      <c r="H133" s="3"/>
      <c r="I133" s="3"/>
      <c r="J133" s="3"/>
      <c r="K133" s="3"/>
      <c r="L133" s="3"/>
      <c r="M133" s="3"/>
      <c r="N133" s="3"/>
      <c r="O133" s="3"/>
      <c r="P133" s="3"/>
      <c r="Q133" s="3"/>
      <c r="R133" s="3"/>
      <c r="S133" s="3"/>
      <c r="T133" s="3"/>
      <c r="U133" s="3"/>
      <c r="V133" s="3"/>
      <c r="W133" s="3"/>
      <c r="X133" s="4"/>
      <c r="Y133" s="4"/>
      <c r="Z133" s="4"/>
    </row>
    <row r="134" spans="1:26" ht="15.75" customHeight="1" x14ac:dyDescent="0.6">
      <c r="A134" s="3"/>
      <c r="B134" s="3"/>
      <c r="C134" s="3"/>
      <c r="D134" s="3"/>
      <c r="E134" s="3"/>
      <c r="F134" s="3"/>
      <c r="G134" s="3"/>
      <c r="H134" s="3"/>
      <c r="I134" s="3"/>
      <c r="J134" s="3"/>
      <c r="K134" s="3"/>
      <c r="L134" s="3"/>
      <c r="M134" s="3"/>
      <c r="N134" s="3"/>
      <c r="O134" s="3"/>
      <c r="P134" s="3"/>
      <c r="Q134" s="3"/>
      <c r="R134" s="3"/>
      <c r="S134" s="3"/>
      <c r="T134" s="3"/>
      <c r="U134" s="3"/>
      <c r="V134" s="3"/>
      <c r="W134" s="3"/>
      <c r="X134" s="4"/>
      <c r="Y134" s="4"/>
      <c r="Z134" s="4"/>
    </row>
    <row r="135" spans="1:26" ht="15.75" customHeight="1" x14ac:dyDescent="0.6">
      <c r="A135" s="3"/>
      <c r="B135" s="3"/>
      <c r="C135" s="3"/>
      <c r="D135" s="3"/>
      <c r="E135" s="3"/>
      <c r="F135" s="3"/>
      <c r="G135" s="3"/>
      <c r="H135" s="3"/>
      <c r="I135" s="3"/>
      <c r="J135" s="3"/>
      <c r="K135" s="3"/>
      <c r="L135" s="3"/>
      <c r="M135" s="3"/>
      <c r="N135" s="3"/>
      <c r="O135" s="3"/>
      <c r="P135" s="3"/>
      <c r="Q135" s="3"/>
      <c r="R135" s="3"/>
      <c r="S135" s="3"/>
      <c r="T135" s="3"/>
      <c r="U135" s="3"/>
      <c r="V135" s="3"/>
      <c r="W135" s="3"/>
      <c r="X135" s="4"/>
      <c r="Y135" s="4"/>
      <c r="Z135" s="4"/>
    </row>
    <row r="136" spans="1:26" ht="15.75" customHeight="1" x14ac:dyDescent="0.6">
      <c r="A136" s="3"/>
      <c r="B136" s="3"/>
      <c r="C136" s="3"/>
      <c r="D136" s="3"/>
      <c r="E136" s="3"/>
      <c r="F136" s="3"/>
      <c r="G136" s="3"/>
      <c r="H136" s="3"/>
      <c r="I136" s="3"/>
      <c r="J136" s="3"/>
      <c r="K136" s="3"/>
      <c r="L136" s="3"/>
      <c r="M136" s="3"/>
      <c r="N136" s="3"/>
      <c r="O136" s="3"/>
      <c r="P136" s="3"/>
      <c r="Q136" s="3"/>
      <c r="R136" s="3"/>
      <c r="S136" s="3"/>
      <c r="T136" s="3"/>
      <c r="U136" s="3"/>
      <c r="V136" s="3"/>
      <c r="W136" s="3"/>
      <c r="X136" s="4"/>
      <c r="Y136" s="4"/>
      <c r="Z136" s="4"/>
    </row>
    <row r="137" spans="1:26" ht="15.75" customHeight="1" x14ac:dyDescent="0.6">
      <c r="A137" s="3"/>
      <c r="B137" s="3"/>
      <c r="C137" s="3"/>
      <c r="D137" s="3"/>
      <c r="E137" s="3"/>
      <c r="F137" s="3"/>
      <c r="G137" s="3"/>
      <c r="H137" s="3"/>
      <c r="I137" s="3"/>
      <c r="J137" s="3"/>
      <c r="K137" s="3"/>
      <c r="L137" s="3"/>
      <c r="M137" s="3"/>
      <c r="N137" s="3"/>
      <c r="O137" s="3"/>
      <c r="P137" s="3"/>
      <c r="Q137" s="3"/>
      <c r="R137" s="3"/>
      <c r="S137" s="3"/>
      <c r="T137" s="3"/>
      <c r="U137" s="3"/>
      <c r="V137" s="3"/>
      <c r="W137" s="3"/>
      <c r="X137" s="4"/>
      <c r="Y137" s="4"/>
      <c r="Z137" s="4"/>
    </row>
    <row r="138" spans="1:26" ht="15.75" customHeight="1" x14ac:dyDescent="0.6">
      <c r="A138" s="3"/>
      <c r="B138" s="3"/>
      <c r="C138" s="3"/>
      <c r="D138" s="3"/>
      <c r="E138" s="3"/>
      <c r="F138" s="3"/>
      <c r="G138" s="3"/>
      <c r="H138" s="3"/>
      <c r="I138" s="3"/>
      <c r="J138" s="3"/>
      <c r="K138" s="3"/>
      <c r="L138" s="3"/>
      <c r="M138" s="3"/>
      <c r="N138" s="3"/>
      <c r="O138" s="3"/>
      <c r="P138" s="3"/>
      <c r="Q138" s="3"/>
      <c r="R138" s="3"/>
      <c r="S138" s="3"/>
      <c r="T138" s="3"/>
      <c r="U138" s="3"/>
      <c r="V138" s="3"/>
      <c r="W138" s="3"/>
      <c r="X138" s="4"/>
      <c r="Y138" s="4"/>
      <c r="Z138" s="4"/>
    </row>
    <row r="139" spans="1:26" ht="15.75" customHeight="1" x14ac:dyDescent="0.6">
      <c r="A139" s="3"/>
      <c r="B139" s="3"/>
      <c r="C139" s="3"/>
      <c r="D139" s="3"/>
      <c r="E139" s="3"/>
      <c r="F139" s="3"/>
      <c r="G139" s="3"/>
      <c r="H139" s="3"/>
      <c r="I139" s="3"/>
      <c r="J139" s="3"/>
      <c r="K139" s="3"/>
      <c r="L139" s="3"/>
      <c r="M139" s="3"/>
      <c r="N139" s="3"/>
      <c r="O139" s="3"/>
      <c r="P139" s="3"/>
      <c r="Q139" s="3"/>
      <c r="R139" s="3"/>
      <c r="S139" s="3"/>
      <c r="T139" s="3"/>
      <c r="U139" s="3"/>
      <c r="V139" s="3"/>
      <c r="W139" s="3"/>
      <c r="X139" s="4"/>
      <c r="Y139" s="4"/>
      <c r="Z139" s="4"/>
    </row>
    <row r="140" spans="1:26" ht="15.75" customHeight="1" x14ac:dyDescent="0.6">
      <c r="A140" s="3"/>
      <c r="B140" s="3"/>
      <c r="C140" s="3"/>
      <c r="D140" s="3"/>
      <c r="E140" s="3"/>
      <c r="F140" s="3"/>
      <c r="G140" s="3"/>
      <c r="H140" s="3"/>
      <c r="I140" s="3"/>
      <c r="J140" s="3"/>
      <c r="K140" s="3"/>
      <c r="L140" s="3"/>
      <c r="M140" s="3"/>
      <c r="N140" s="3"/>
      <c r="O140" s="3"/>
      <c r="P140" s="3"/>
      <c r="Q140" s="3"/>
      <c r="R140" s="3"/>
      <c r="S140" s="3"/>
      <c r="T140" s="3"/>
      <c r="U140" s="3"/>
      <c r="V140" s="3"/>
      <c r="W140" s="3"/>
      <c r="X140" s="4"/>
      <c r="Y140" s="4"/>
      <c r="Z140" s="4"/>
    </row>
    <row r="141" spans="1:26" ht="15.75" customHeight="1" x14ac:dyDescent="0.6">
      <c r="A141" s="3"/>
      <c r="B141" s="3"/>
      <c r="C141" s="3"/>
      <c r="D141" s="3"/>
      <c r="E141" s="3"/>
      <c r="F141" s="3"/>
      <c r="G141" s="3"/>
      <c r="H141" s="3"/>
      <c r="I141" s="3"/>
      <c r="J141" s="3"/>
      <c r="K141" s="3"/>
      <c r="L141" s="3"/>
      <c r="M141" s="3"/>
      <c r="N141" s="3"/>
      <c r="O141" s="3"/>
      <c r="P141" s="3"/>
      <c r="Q141" s="3"/>
      <c r="R141" s="3"/>
      <c r="S141" s="3"/>
      <c r="T141" s="3"/>
      <c r="U141" s="3"/>
      <c r="V141" s="3"/>
      <c r="W141" s="3"/>
      <c r="X141" s="4"/>
      <c r="Y141" s="4"/>
      <c r="Z141" s="4"/>
    </row>
    <row r="142" spans="1:26" ht="15.75" customHeight="1" x14ac:dyDescent="0.6">
      <c r="A142" s="3"/>
      <c r="B142" s="3"/>
      <c r="C142" s="3"/>
      <c r="D142" s="3"/>
      <c r="E142" s="3"/>
      <c r="F142" s="3"/>
      <c r="G142" s="3"/>
      <c r="H142" s="3"/>
      <c r="I142" s="3"/>
      <c r="J142" s="3"/>
      <c r="K142" s="3"/>
      <c r="L142" s="3"/>
      <c r="M142" s="3"/>
      <c r="N142" s="3"/>
      <c r="O142" s="3"/>
      <c r="P142" s="3"/>
      <c r="Q142" s="3"/>
      <c r="R142" s="3"/>
      <c r="S142" s="3"/>
      <c r="T142" s="3"/>
      <c r="U142" s="3"/>
      <c r="V142" s="3"/>
      <c r="W142" s="3"/>
      <c r="X142" s="4"/>
      <c r="Y142" s="4"/>
      <c r="Z142" s="4"/>
    </row>
    <row r="143" spans="1:26" ht="15.75" customHeight="1" x14ac:dyDescent="0.6">
      <c r="A143" s="3"/>
      <c r="B143" s="3"/>
      <c r="C143" s="3"/>
      <c r="D143" s="3"/>
      <c r="E143" s="3"/>
      <c r="F143" s="3"/>
      <c r="G143" s="3"/>
      <c r="H143" s="3"/>
      <c r="I143" s="3"/>
      <c r="J143" s="3"/>
      <c r="K143" s="3"/>
      <c r="L143" s="3"/>
      <c r="M143" s="3"/>
      <c r="N143" s="3"/>
      <c r="O143" s="3"/>
      <c r="P143" s="3"/>
      <c r="Q143" s="3"/>
      <c r="R143" s="3"/>
      <c r="S143" s="3"/>
      <c r="T143" s="3"/>
      <c r="U143" s="3"/>
      <c r="V143" s="3"/>
      <c r="W143" s="3"/>
      <c r="X143" s="4"/>
      <c r="Y143" s="4"/>
      <c r="Z143" s="4"/>
    </row>
    <row r="144" spans="1:26" ht="15.75" customHeight="1" x14ac:dyDescent="0.6">
      <c r="A144" s="3"/>
      <c r="B144" s="3"/>
      <c r="C144" s="3"/>
      <c r="D144" s="3"/>
      <c r="E144" s="3"/>
      <c r="F144" s="3"/>
      <c r="G144" s="3"/>
      <c r="H144" s="3"/>
      <c r="I144" s="3"/>
      <c r="J144" s="3"/>
      <c r="K144" s="3"/>
      <c r="L144" s="3"/>
      <c r="M144" s="3"/>
      <c r="N144" s="3"/>
      <c r="O144" s="3"/>
      <c r="P144" s="3"/>
      <c r="Q144" s="3"/>
      <c r="R144" s="3"/>
      <c r="S144" s="3"/>
      <c r="T144" s="3"/>
      <c r="U144" s="3"/>
      <c r="V144" s="3"/>
      <c r="W144" s="3"/>
      <c r="X144" s="4"/>
      <c r="Y144" s="4"/>
      <c r="Z144" s="4"/>
    </row>
    <row r="145" spans="1:26" ht="15.75" customHeight="1" x14ac:dyDescent="0.6">
      <c r="A145" s="3"/>
      <c r="B145" s="3"/>
      <c r="C145" s="3"/>
      <c r="D145" s="3"/>
      <c r="E145" s="3"/>
      <c r="F145" s="3"/>
      <c r="G145" s="3"/>
      <c r="H145" s="3"/>
      <c r="I145" s="3"/>
      <c r="J145" s="3"/>
      <c r="K145" s="3"/>
      <c r="L145" s="3"/>
      <c r="M145" s="3"/>
      <c r="N145" s="3"/>
      <c r="O145" s="3"/>
      <c r="P145" s="3"/>
      <c r="Q145" s="3"/>
      <c r="R145" s="3"/>
      <c r="S145" s="3"/>
      <c r="T145" s="3"/>
      <c r="U145" s="3"/>
      <c r="V145" s="3"/>
      <c r="W145" s="3"/>
      <c r="X145" s="4"/>
      <c r="Y145" s="4"/>
      <c r="Z145" s="4"/>
    </row>
    <row r="146" spans="1:26" ht="15.75" customHeight="1" x14ac:dyDescent="0.6">
      <c r="A146" s="3"/>
      <c r="B146" s="3"/>
      <c r="C146" s="3"/>
      <c r="D146" s="3"/>
      <c r="E146" s="3"/>
      <c r="F146" s="3"/>
      <c r="G146" s="3"/>
      <c r="H146" s="3"/>
      <c r="I146" s="3"/>
      <c r="J146" s="3"/>
      <c r="K146" s="3"/>
      <c r="L146" s="3"/>
      <c r="M146" s="3"/>
      <c r="N146" s="3"/>
      <c r="O146" s="3"/>
      <c r="P146" s="3"/>
      <c r="Q146" s="3"/>
      <c r="R146" s="3"/>
      <c r="S146" s="3"/>
      <c r="T146" s="3"/>
      <c r="U146" s="3"/>
      <c r="V146" s="3"/>
      <c r="W146" s="3"/>
      <c r="X146" s="4"/>
      <c r="Y146" s="4"/>
      <c r="Z146" s="4"/>
    </row>
    <row r="147" spans="1:26" ht="15.75" customHeight="1" x14ac:dyDescent="0.6">
      <c r="A147" s="3"/>
      <c r="B147" s="3"/>
      <c r="C147" s="3"/>
      <c r="D147" s="3"/>
      <c r="E147" s="3"/>
      <c r="F147" s="3"/>
      <c r="G147" s="3"/>
      <c r="H147" s="3"/>
      <c r="I147" s="3"/>
      <c r="J147" s="3"/>
      <c r="K147" s="3"/>
      <c r="L147" s="3"/>
      <c r="M147" s="3"/>
      <c r="N147" s="3"/>
      <c r="O147" s="3"/>
      <c r="P147" s="3"/>
      <c r="Q147" s="3"/>
      <c r="R147" s="3"/>
      <c r="S147" s="3"/>
      <c r="T147" s="3"/>
      <c r="U147" s="3"/>
      <c r="V147" s="3"/>
      <c r="W147" s="3"/>
      <c r="X147" s="4"/>
      <c r="Y147" s="4"/>
      <c r="Z147" s="4"/>
    </row>
    <row r="148" spans="1:26" ht="15.75" customHeight="1" x14ac:dyDescent="0.6">
      <c r="A148" s="3"/>
      <c r="B148" s="3"/>
      <c r="C148" s="3"/>
      <c r="D148" s="3"/>
      <c r="E148" s="3"/>
      <c r="F148" s="3"/>
      <c r="G148" s="3"/>
      <c r="H148" s="3"/>
      <c r="I148" s="3"/>
      <c r="J148" s="3"/>
      <c r="K148" s="3"/>
      <c r="L148" s="3"/>
      <c r="M148" s="3"/>
      <c r="N148" s="3"/>
      <c r="O148" s="3"/>
      <c r="P148" s="3"/>
      <c r="Q148" s="3"/>
      <c r="R148" s="3"/>
      <c r="S148" s="3"/>
      <c r="T148" s="3"/>
      <c r="U148" s="3"/>
      <c r="V148" s="3"/>
      <c r="W148" s="3"/>
      <c r="X148" s="4"/>
      <c r="Y148" s="4"/>
      <c r="Z148" s="4"/>
    </row>
    <row r="149" spans="1:26" ht="15.75" customHeight="1" x14ac:dyDescent="0.6">
      <c r="A149" s="3"/>
      <c r="B149" s="3"/>
      <c r="C149" s="3"/>
      <c r="D149" s="3"/>
      <c r="E149" s="3"/>
      <c r="F149" s="3"/>
      <c r="G149" s="3"/>
      <c r="H149" s="3"/>
      <c r="I149" s="3"/>
      <c r="J149" s="3"/>
      <c r="K149" s="3"/>
      <c r="L149" s="3"/>
      <c r="M149" s="3"/>
      <c r="N149" s="3"/>
      <c r="O149" s="3"/>
      <c r="P149" s="3"/>
      <c r="Q149" s="3"/>
      <c r="R149" s="3"/>
      <c r="S149" s="3"/>
      <c r="T149" s="3"/>
      <c r="U149" s="3"/>
      <c r="V149" s="3"/>
      <c r="W149" s="3"/>
      <c r="X149" s="4"/>
      <c r="Y149" s="4"/>
      <c r="Z149" s="4"/>
    </row>
    <row r="150" spans="1:26" ht="15.75" customHeight="1" x14ac:dyDescent="0.6">
      <c r="A150" s="3"/>
      <c r="B150" s="3"/>
      <c r="C150" s="3"/>
      <c r="D150" s="3"/>
      <c r="E150" s="3"/>
      <c r="F150" s="3"/>
      <c r="G150" s="3"/>
      <c r="H150" s="3"/>
      <c r="I150" s="3"/>
      <c r="J150" s="3"/>
      <c r="K150" s="3"/>
      <c r="L150" s="3"/>
      <c r="M150" s="3"/>
      <c r="N150" s="3"/>
      <c r="O150" s="3"/>
      <c r="P150" s="3"/>
      <c r="Q150" s="3"/>
      <c r="R150" s="3"/>
      <c r="S150" s="3"/>
      <c r="T150" s="3"/>
      <c r="U150" s="3"/>
      <c r="V150" s="3"/>
      <c r="W150" s="3"/>
      <c r="X150" s="4"/>
      <c r="Y150" s="4"/>
      <c r="Z150" s="4"/>
    </row>
    <row r="151" spans="1:26" ht="15.75" customHeight="1" x14ac:dyDescent="0.6">
      <c r="A151" s="3"/>
      <c r="B151" s="3"/>
      <c r="C151" s="3"/>
      <c r="D151" s="3"/>
      <c r="E151" s="3"/>
      <c r="F151" s="3"/>
      <c r="G151" s="3"/>
      <c r="H151" s="3"/>
      <c r="I151" s="3"/>
      <c r="J151" s="3"/>
      <c r="K151" s="3"/>
      <c r="L151" s="3"/>
      <c r="M151" s="3"/>
      <c r="N151" s="3"/>
      <c r="O151" s="3"/>
      <c r="P151" s="3"/>
      <c r="Q151" s="3"/>
      <c r="R151" s="3"/>
      <c r="S151" s="3"/>
      <c r="T151" s="3"/>
      <c r="U151" s="3"/>
      <c r="V151" s="3"/>
      <c r="W151" s="3"/>
      <c r="X151" s="4"/>
      <c r="Y151" s="4"/>
      <c r="Z151" s="4"/>
    </row>
    <row r="152" spans="1:26" ht="15.75" customHeight="1" x14ac:dyDescent="0.6">
      <c r="A152" s="3"/>
      <c r="B152" s="3"/>
      <c r="C152" s="3"/>
      <c r="D152" s="3"/>
      <c r="E152" s="3"/>
      <c r="F152" s="3"/>
      <c r="G152" s="3"/>
      <c r="H152" s="3"/>
      <c r="I152" s="3"/>
      <c r="J152" s="3"/>
      <c r="K152" s="3"/>
      <c r="L152" s="3"/>
      <c r="M152" s="3"/>
      <c r="N152" s="3"/>
      <c r="O152" s="3"/>
      <c r="P152" s="3"/>
      <c r="Q152" s="3"/>
      <c r="R152" s="3"/>
      <c r="S152" s="3"/>
      <c r="T152" s="3"/>
      <c r="U152" s="3"/>
      <c r="V152" s="3"/>
      <c r="W152" s="3"/>
      <c r="X152" s="4"/>
      <c r="Y152" s="4"/>
      <c r="Z152" s="4"/>
    </row>
    <row r="153" spans="1:26" ht="15.75" customHeight="1" x14ac:dyDescent="0.6">
      <c r="A153" s="3"/>
      <c r="B153" s="3"/>
      <c r="C153" s="3"/>
      <c r="D153" s="3"/>
      <c r="E153" s="3"/>
      <c r="F153" s="3"/>
      <c r="G153" s="3"/>
      <c r="H153" s="3"/>
      <c r="I153" s="3"/>
      <c r="J153" s="3"/>
      <c r="K153" s="3"/>
      <c r="L153" s="3"/>
      <c r="M153" s="3"/>
      <c r="N153" s="3"/>
      <c r="O153" s="3"/>
      <c r="P153" s="3"/>
      <c r="Q153" s="3"/>
      <c r="R153" s="3"/>
      <c r="S153" s="3"/>
      <c r="T153" s="3"/>
      <c r="U153" s="3"/>
      <c r="V153" s="3"/>
      <c r="W153" s="3"/>
      <c r="X153" s="4"/>
      <c r="Y153" s="4"/>
      <c r="Z153" s="4"/>
    </row>
    <row r="154" spans="1:26" ht="15.75" customHeight="1" x14ac:dyDescent="0.6">
      <c r="A154" s="3"/>
      <c r="B154" s="3"/>
      <c r="C154" s="3"/>
      <c r="D154" s="3"/>
      <c r="E154" s="3"/>
      <c r="F154" s="3"/>
      <c r="G154" s="3"/>
      <c r="H154" s="3"/>
      <c r="I154" s="3"/>
      <c r="J154" s="3"/>
      <c r="K154" s="3"/>
      <c r="L154" s="3"/>
      <c r="M154" s="3"/>
      <c r="N154" s="3"/>
      <c r="O154" s="3"/>
      <c r="P154" s="3"/>
      <c r="Q154" s="3"/>
      <c r="R154" s="3"/>
      <c r="S154" s="3"/>
      <c r="T154" s="3"/>
      <c r="U154" s="3"/>
      <c r="V154" s="3"/>
      <c r="W154" s="3"/>
      <c r="X154" s="4"/>
      <c r="Y154" s="4"/>
      <c r="Z154" s="4"/>
    </row>
    <row r="155" spans="1:26" ht="15.75" customHeight="1" x14ac:dyDescent="0.6">
      <c r="A155" s="3"/>
      <c r="B155" s="3"/>
      <c r="C155" s="3"/>
      <c r="D155" s="3"/>
      <c r="E155" s="3"/>
      <c r="F155" s="3"/>
      <c r="G155" s="3"/>
      <c r="H155" s="3"/>
      <c r="I155" s="3"/>
      <c r="J155" s="3"/>
      <c r="K155" s="3"/>
      <c r="L155" s="3"/>
      <c r="M155" s="3"/>
      <c r="N155" s="3"/>
      <c r="O155" s="3"/>
      <c r="P155" s="3"/>
      <c r="Q155" s="3"/>
      <c r="R155" s="3"/>
      <c r="S155" s="3"/>
      <c r="T155" s="3"/>
      <c r="U155" s="3"/>
      <c r="V155" s="3"/>
      <c r="W155" s="3"/>
      <c r="X155" s="4"/>
      <c r="Y155" s="4"/>
      <c r="Z155" s="4"/>
    </row>
    <row r="156" spans="1:26" ht="15.75" customHeight="1" x14ac:dyDescent="0.6">
      <c r="A156" s="3"/>
      <c r="B156" s="3"/>
      <c r="C156" s="3"/>
      <c r="D156" s="3"/>
      <c r="E156" s="3"/>
      <c r="F156" s="3"/>
      <c r="G156" s="3"/>
      <c r="H156" s="3"/>
      <c r="I156" s="3"/>
      <c r="J156" s="3"/>
      <c r="K156" s="3"/>
      <c r="L156" s="3"/>
      <c r="M156" s="3"/>
      <c r="N156" s="3"/>
      <c r="O156" s="3"/>
      <c r="P156" s="3"/>
      <c r="Q156" s="3"/>
      <c r="R156" s="3"/>
      <c r="S156" s="3"/>
      <c r="T156" s="3"/>
      <c r="U156" s="3"/>
      <c r="V156" s="3"/>
      <c r="W156" s="3"/>
      <c r="X156" s="4"/>
      <c r="Y156" s="4"/>
      <c r="Z156" s="4"/>
    </row>
    <row r="157" spans="1:26" ht="15.75" customHeight="1" x14ac:dyDescent="0.6">
      <c r="A157" s="3"/>
      <c r="B157" s="3"/>
      <c r="C157" s="3"/>
      <c r="D157" s="3"/>
      <c r="E157" s="3"/>
      <c r="F157" s="3"/>
      <c r="G157" s="3"/>
      <c r="H157" s="3"/>
      <c r="I157" s="3"/>
      <c r="J157" s="3"/>
      <c r="K157" s="3"/>
      <c r="L157" s="3"/>
      <c r="M157" s="3"/>
      <c r="N157" s="3"/>
      <c r="O157" s="3"/>
      <c r="P157" s="3"/>
      <c r="Q157" s="3"/>
      <c r="R157" s="3"/>
      <c r="S157" s="3"/>
      <c r="T157" s="3"/>
      <c r="U157" s="3"/>
      <c r="V157" s="3"/>
      <c r="W157" s="3"/>
      <c r="X157" s="4"/>
      <c r="Y157" s="4"/>
      <c r="Z157" s="4"/>
    </row>
    <row r="158" spans="1:26" ht="15.75" customHeight="1" x14ac:dyDescent="0.6">
      <c r="A158" s="3"/>
      <c r="B158" s="3"/>
      <c r="C158" s="3"/>
      <c r="D158" s="3"/>
      <c r="E158" s="3"/>
      <c r="F158" s="3"/>
      <c r="G158" s="3"/>
      <c r="H158" s="3"/>
      <c r="I158" s="3"/>
      <c r="J158" s="3"/>
      <c r="K158" s="3"/>
      <c r="L158" s="3"/>
      <c r="M158" s="3"/>
      <c r="N158" s="3"/>
      <c r="O158" s="3"/>
      <c r="P158" s="3"/>
      <c r="Q158" s="3"/>
      <c r="R158" s="3"/>
      <c r="S158" s="3"/>
      <c r="T158" s="3"/>
      <c r="U158" s="3"/>
      <c r="V158" s="3"/>
      <c r="W158" s="3"/>
      <c r="X158" s="4"/>
      <c r="Y158" s="4"/>
      <c r="Z158" s="4"/>
    </row>
    <row r="159" spans="1:26" ht="15.75" customHeight="1" x14ac:dyDescent="0.6">
      <c r="A159" s="3"/>
      <c r="B159" s="3"/>
      <c r="C159" s="3"/>
      <c r="D159" s="3"/>
      <c r="E159" s="3"/>
      <c r="F159" s="3"/>
      <c r="G159" s="3"/>
      <c r="H159" s="3"/>
      <c r="I159" s="3"/>
      <c r="J159" s="3"/>
      <c r="K159" s="3"/>
      <c r="L159" s="3"/>
      <c r="M159" s="3"/>
      <c r="N159" s="3"/>
      <c r="O159" s="3"/>
      <c r="P159" s="3"/>
      <c r="Q159" s="3"/>
      <c r="R159" s="3"/>
      <c r="S159" s="3"/>
      <c r="T159" s="3"/>
      <c r="U159" s="3"/>
      <c r="V159" s="3"/>
      <c r="W159" s="3"/>
      <c r="X159" s="4"/>
      <c r="Y159" s="4"/>
      <c r="Z159" s="4"/>
    </row>
    <row r="160" spans="1:26" ht="15.75" customHeight="1" x14ac:dyDescent="0.6">
      <c r="A160" s="3"/>
      <c r="B160" s="3"/>
      <c r="C160" s="3"/>
      <c r="D160" s="3"/>
      <c r="E160" s="3"/>
      <c r="F160" s="3"/>
      <c r="G160" s="3"/>
      <c r="H160" s="3"/>
      <c r="I160" s="3"/>
      <c r="J160" s="3"/>
      <c r="K160" s="3"/>
      <c r="L160" s="3"/>
      <c r="M160" s="3"/>
      <c r="N160" s="3"/>
      <c r="O160" s="3"/>
      <c r="P160" s="3"/>
      <c r="Q160" s="3"/>
      <c r="R160" s="3"/>
      <c r="S160" s="3"/>
      <c r="T160" s="3"/>
      <c r="U160" s="3"/>
      <c r="V160" s="3"/>
      <c r="W160" s="3"/>
      <c r="X160" s="4"/>
      <c r="Y160" s="4"/>
      <c r="Z160" s="4"/>
    </row>
    <row r="161" spans="1:26" ht="15.75" customHeight="1" x14ac:dyDescent="0.6">
      <c r="A161" s="3"/>
      <c r="B161" s="3"/>
      <c r="C161" s="3"/>
      <c r="D161" s="3"/>
      <c r="E161" s="3"/>
      <c r="F161" s="3"/>
      <c r="G161" s="3"/>
      <c r="H161" s="3"/>
      <c r="I161" s="3"/>
      <c r="J161" s="3"/>
      <c r="K161" s="3"/>
      <c r="L161" s="3"/>
      <c r="M161" s="3"/>
      <c r="N161" s="3"/>
      <c r="O161" s="3"/>
      <c r="P161" s="3"/>
      <c r="Q161" s="3"/>
      <c r="R161" s="3"/>
      <c r="S161" s="3"/>
      <c r="T161" s="3"/>
      <c r="U161" s="3"/>
      <c r="V161" s="3"/>
      <c r="W161" s="3"/>
      <c r="X161" s="4"/>
      <c r="Y161" s="4"/>
      <c r="Z161" s="4"/>
    </row>
    <row r="162" spans="1:26" ht="15.75" customHeight="1" x14ac:dyDescent="0.6">
      <c r="A162" s="3"/>
      <c r="B162" s="3"/>
      <c r="C162" s="3"/>
      <c r="D162" s="3"/>
      <c r="E162" s="3"/>
      <c r="F162" s="3"/>
      <c r="G162" s="3"/>
      <c r="H162" s="3"/>
      <c r="I162" s="3"/>
      <c r="J162" s="3"/>
      <c r="K162" s="3"/>
      <c r="L162" s="3"/>
      <c r="M162" s="3"/>
      <c r="N162" s="3"/>
      <c r="O162" s="3"/>
      <c r="P162" s="3"/>
      <c r="Q162" s="3"/>
      <c r="R162" s="3"/>
      <c r="S162" s="3"/>
      <c r="T162" s="3"/>
      <c r="U162" s="3"/>
      <c r="V162" s="3"/>
      <c r="W162" s="3"/>
      <c r="X162" s="4"/>
      <c r="Y162" s="4"/>
      <c r="Z162" s="4"/>
    </row>
    <row r="163" spans="1:26" ht="15.75" customHeight="1" x14ac:dyDescent="0.6">
      <c r="A163" s="3"/>
      <c r="B163" s="3"/>
      <c r="C163" s="3"/>
      <c r="D163" s="3"/>
      <c r="E163" s="3"/>
      <c r="F163" s="3"/>
      <c r="G163" s="3"/>
      <c r="H163" s="3"/>
      <c r="I163" s="3"/>
      <c r="J163" s="3"/>
      <c r="K163" s="3"/>
      <c r="L163" s="3"/>
      <c r="M163" s="3"/>
      <c r="N163" s="3"/>
      <c r="O163" s="3"/>
      <c r="P163" s="3"/>
      <c r="Q163" s="3"/>
      <c r="R163" s="3"/>
      <c r="S163" s="3"/>
      <c r="T163" s="3"/>
      <c r="U163" s="3"/>
      <c r="V163" s="3"/>
      <c r="W163" s="3"/>
      <c r="X163" s="4"/>
      <c r="Y163" s="4"/>
      <c r="Z163" s="4"/>
    </row>
    <row r="164" spans="1:26" ht="15.75" customHeight="1" x14ac:dyDescent="0.6">
      <c r="A164" s="3"/>
      <c r="B164" s="3"/>
      <c r="C164" s="3"/>
      <c r="D164" s="3"/>
      <c r="E164" s="3"/>
      <c r="F164" s="3"/>
      <c r="G164" s="3"/>
      <c r="H164" s="3"/>
      <c r="I164" s="3"/>
      <c r="J164" s="3"/>
      <c r="K164" s="3"/>
      <c r="L164" s="3"/>
      <c r="M164" s="3"/>
      <c r="N164" s="3"/>
      <c r="O164" s="3"/>
      <c r="P164" s="3"/>
      <c r="Q164" s="3"/>
      <c r="R164" s="3"/>
      <c r="S164" s="3"/>
      <c r="T164" s="3"/>
      <c r="U164" s="3"/>
      <c r="V164" s="3"/>
      <c r="W164" s="3"/>
      <c r="X164" s="4"/>
      <c r="Y164" s="4"/>
      <c r="Z164" s="4"/>
    </row>
    <row r="165" spans="1:26" ht="15.75" customHeight="1" x14ac:dyDescent="0.6">
      <c r="A165" s="3"/>
      <c r="B165" s="3"/>
      <c r="C165" s="3"/>
      <c r="D165" s="3"/>
      <c r="E165" s="3"/>
      <c r="F165" s="3"/>
      <c r="G165" s="3"/>
      <c r="H165" s="3"/>
      <c r="I165" s="3"/>
      <c r="J165" s="3"/>
      <c r="K165" s="3"/>
      <c r="L165" s="3"/>
      <c r="M165" s="3"/>
      <c r="N165" s="3"/>
      <c r="O165" s="3"/>
      <c r="P165" s="3"/>
      <c r="Q165" s="3"/>
      <c r="R165" s="3"/>
      <c r="S165" s="3"/>
      <c r="T165" s="3"/>
      <c r="U165" s="3"/>
      <c r="V165" s="3"/>
      <c r="W165" s="3"/>
      <c r="X165" s="4"/>
      <c r="Y165" s="4"/>
      <c r="Z165" s="4"/>
    </row>
    <row r="166" spans="1:26" ht="15.75" customHeight="1" x14ac:dyDescent="0.6">
      <c r="A166" s="3"/>
      <c r="B166" s="3"/>
      <c r="C166" s="3"/>
      <c r="D166" s="3"/>
      <c r="E166" s="3"/>
      <c r="F166" s="3"/>
      <c r="G166" s="3"/>
      <c r="H166" s="3"/>
      <c r="I166" s="3"/>
      <c r="J166" s="3"/>
      <c r="K166" s="3"/>
      <c r="L166" s="3"/>
      <c r="M166" s="3"/>
      <c r="N166" s="3"/>
      <c r="O166" s="3"/>
      <c r="P166" s="3"/>
      <c r="Q166" s="3"/>
      <c r="R166" s="3"/>
      <c r="S166" s="3"/>
      <c r="T166" s="3"/>
      <c r="U166" s="3"/>
      <c r="V166" s="3"/>
      <c r="W166" s="3"/>
      <c r="X166" s="4"/>
      <c r="Y166" s="4"/>
      <c r="Z166" s="4"/>
    </row>
    <row r="167" spans="1:26" ht="15.75" customHeight="1" x14ac:dyDescent="0.6">
      <c r="A167" s="3"/>
      <c r="B167" s="3"/>
      <c r="C167" s="3"/>
      <c r="D167" s="3"/>
      <c r="E167" s="3"/>
      <c r="F167" s="3"/>
      <c r="G167" s="3"/>
      <c r="H167" s="3"/>
      <c r="I167" s="3"/>
      <c r="J167" s="3"/>
      <c r="K167" s="3"/>
      <c r="L167" s="3"/>
      <c r="M167" s="3"/>
      <c r="N167" s="3"/>
      <c r="O167" s="3"/>
      <c r="P167" s="3"/>
      <c r="Q167" s="3"/>
      <c r="R167" s="3"/>
      <c r="S167" s="3"/>
      <c r="T167" s="3"/>
      <c r="U167" s="3"/>
      <c r="V167" s="3"/>
      <c r="W167" s="3"/>
      <c r="X167" s="4"/>
      <c r="Y167" s="4"/>
      <c r="Z167" s="4"/>
    </row>
    <row r="168" spans="1:26" ht="15.75" customHeight="1" x14ac:dyDescent="0.6">
      <c r="A168" s="3"/>
      <c r="B168" s="3"/>
      <c r="C168" s="3"/>
      <c r="D168" s="3"/>
      <c r="E168" s="3"/>
      <c r="F168" s="3"/>
      <c r="G168" s="3"/>
      <c r="H168" s="3"/>
      <c r="I168" s="3"/>
      <c r="J168" s="3"/>
      <c r="K168" s="3"/>
      <c r="L168" s="3"/>
      <c r="M168" s="3"/>
      <c r="N168" s="3"/>
      <c r="O168" s="3"/>
      <c r="P168" s="3"/>
      <c r="Q168" s="3"/>
      <c r="R168" s="3"/>
      <c r="S168" s="3"/>
      <c r="T168" s="3"/>
      <c r="U168" s="3"/>
      <c r="V168" s="3"/>
      <c r="W168" s="3"/>
      <c r="X168" s="4"/>
      <c r="Y168" s="4"/>
      <c r="Z168" s="4"/>
    </row>
    <row r="169" spans="1:26" ht="15.75" customHeight="1" x14ac:dyDescent="0.6">
      <c r="A169" s="3"/>
      <c r="B169" s="3"/>
      <c r="C169" s="3"/>
      <c r="D169" s="3"/>
      <c r="E169" s="3"/>
      <c r="F169" s="3"/>
      <c r="G169" s="3"/>
      <c r="H169" s="3"/>
      <c r="I169" s="3"/>
      <c r="J169" s="3"/>
      <c r="K169" s="3"/>
      <c r="L169" s="3"/>
      <c r="M169" s="3"/>
      <c r="N169" s="3"/>
      <c r="O169" s="3"/>
      <c r="P169" s="3"/>
      <c r="Q169" s="3"/>
      <c r="R169" s="3"/>
      <c r="S169" s="3"/>
      <c r="T169" s="3"/>
      <c r="U169" s="3"/>
      <c r="V169" s="3"/>
      <c r="W169" s="3"/>
      <c r="X169" s="4"/>
      <c r="Y169" s="4"/>
      <c r="Z169" s="4"/>
    </row>
    <row r="170" spans="1:26" ht="15.75" customHeight="1" x14ac:dyDescent="0.6">
      <c r="A170" s="3"/>
      <c r="B170" s="3"/>
      <c r="C170" s="3"/>
      <c r="D170" s="3"/>
      <c r="E170" s="3"/>
      <c r="F170" s="3"/>
      <c r="G170" s="3"/>
      <c r="H170" s="3"/>
      <c r="I170" s="3"/>
      <c r="J170" s="3"/>
      <c r="K170" s="3"/>
      <c r="L170" s="3"/>
      <c r="M170" s="3"/>
      <c r="N170" s="3"/>
      <c r="O170" s="3"/>
      <c r="P170" s="3"/>
      <c r="Q170" s="3"/>
      <c r="R170" s="3"/>
      <c r="S170" s="3"/>
      <c r="T170" s="3"/>
      <c r="U170" s="3"/>
      <c r="V170" s="3"/>
      <c r="W170" s="3"/>
      <c r="X170" s="4"/>
      <c r="Y170" s="4"/>
      <c r="Z170" s="4"/>
    </row>
    <row r="171" spans="1:26" ht="15.75" customHeight="1" x14ac:dyDescent="0.6">
      <c r="A171" s="3"/>
      <c r="B171" s="3"/>
      <c r="C171" s="3"/>
      <c r="D171" s="3"/>
      <c r="E171" s="3"/>
      <c r="F171" s="3"/>
      <c r="G171" s="3"/>
      <c r="H171" s="3"/>
      <c r="I171" s="3"/>
      <c r="J171" s="3"/>
      <c r="K171" s="3"/>
      <c r="L171" s="3"/>
      <c r="M171" s="3"/>
      <c r="N171" s="3"/>
      <c r="O171" s="3"/>
      <c r="P171" s="3"/>
      <c r="Q171" s="3"/>
      <c r="R171" s="3"/>
      <c r="S171" s="3"/>
      <c r="T171" s="3"/>
      <c r="U171" s="3"/>
      <c r="V171" s="3"/>
      <c r="W171" s="3"/>
      <c r="X171" s="4"/>
      <c r="Y171" s="4"/>
      <c r="Z171" s="4"/>
    </row>
    <row r="172" spans="1:26" ht="15.75" customHeight="1" x14ac:dyDescent="0.6">
      <c r="A172" s="3"/>
      <c r="B172" s="3"/>
      <c r="C172" s="3"/>
      <c r="D172" s="3"/>
      <c r="E172" s="3"/>
      <c r="F172" s="3"/>
      <c r="G172" s="3"/>
      <c r="H172" s="3"/>
      <c r="I172" s="3"/>
      <c r="J172" s="3"/>
      <c r="K172" s="3"/>
      <c r="L172" s="3"/>
      <c r="M172" s="3"/>
      <c r="N172" s="3"/>
      <c r="O172" s="3"/>
      <c r="P172" s="3"/>
      <c r="Q172" s="3"/>
      <c r="R172" s="3"/>
      <c r="S172" s="3"/>
      <c r="T172" s="3"/>
      <c r="U172" s="3"/>
      <c r="V172" s="3"/>
      <c r="W172" s="3"/>
      <c r="X172" s="4"/>
      <c r="Y172" s="4"/>
      <c r="Z172" s="4"/>
    </row>
    <row r="173" spans="1:26" ht="15.75" customHeight="1" x14ac:dyDescent="0.6">
      <c r="A173" s="3"/>
      <c r="B173" s="3"/>
      <c r="C173" s="3"/>
      <c r="D173" s="3"/>
      <c r="E173" s="3"/>
      <c r="F173" s="3"/>
      <c r="G173" s="3"/>
      <c r="H173" s="3"/>
      <c r="I173" s="3"/>
      <c r="J173" s="3"/>
      <c r="K173" s="3"/>
      <c r="L173" s="3"/>
      <c r="M173" s="3"/>
      <c r="N173" s="3"/>
      <c r="O173" s="3"/>
      <c r="P173" s="3"/>
      <c r="Q173" s="3"/>
      <c r="R173" s="3"/>
      <c r="S173" s="3"/>
      <c r="T173" s="3"/>
      <c r="U173" s="3"/>
      <c r="V173" s="3"/>
      <c r="W173" s="3"/>
      <c r="X173" s="4"/>
      <c r="Y173" s="4"/>
      <c r="Z173" s="4"/>
    </row>
    <row r="174" spans="1:26" ht="15.75" customHeight="1" x14ac:dyDescent="0.6">
      <c r="A174" s="3"/>
      <c r="B174" s="3"/>
      <c r="C174" s="3"/>
      <c r="D174" s="3"/>
      <c r="E174" s="3"/>
      <c r="F174" s="3"/>
      <c r="G174" s="3"/>
      <c r="H174" s="3"/>
      <c r="I174" s="3"/>
      <c r="J174" s="3"/>
      <c r="K174" s="3"/>
      <c r="L174" s="3"/>
      <c r="M174" s="3"/>
      <c r="N174" s="3"/>
      <c r="O174" s="3"/>
      <c r="P174" s="3"/>
      <c r="Q174" s="3"/>
      <c r="R174" s="3"/>
      <c r="S174" s="3"/>
      <c r="T174" s="3"/>
      <c r="U174" s="3"/>
      <c r="V174" s="3"/>
      <c r="W174" s="3"/>
      <c r="X174" s="4"/>
      <c r="Y174" s="4"/>
      <c r="Z174" s="4"/>
    </row>
    <row r="175" spans="1:26" ht="15.75" customHeight="1" x14ac:dyDescent="0.6">
      <c r="A175" s="3"/>
      <c r="B175" s="3"/>
      <c r="C175" s="3"/>
      <c r="D175" s="3"/>
      <c r="E175" s="3"/>
      <c r="F175" s="3"/>
      <c r="G175" s="3"/>
      <c r="H175" s="3"/>
      <c r="I175" s="3"/>
      <c r="J175" s="3"/>
      <c r="K175" s="3"/>
      <c r="L175" s="3"/>
      <c r="M175" s="3"/>
      <c r="N175" s="3"/>
      <c r="O175" s="3"/>
      <c r="P175" s="3"/>
      <c r="Q175" s="3"/>
      <c r="R175" s="3"/>
      <c r="S175" s="3"/>
      <c r="T175" s="3"/>
      <c r="U175" s="3"/>
      <c r="V175" s="3"/>
      <c r="W175" s="3"/>
      <c r="X175" s="4"/>
      <c r="Y175" s="4"/>
      <c r="Z175" s="4"/>
    </row>
    <row r="176" spans="1:26" ht="15.75" customHeight="1" x14ac:dyDescent="0.6">
      <c r="A176" s="3"/>
      <c r="B176" s="3"/>
      <c r="C176" s="3"/>
      <c r="D176" s="3"/>
      <c r="E176" s="3"/>
      <c r="F176" s="3"/>
      <c r="G176" s="3"/>
      <c r="H176" s="3"/>
      <c r="I176" s="3"/>
      <c r="J176" s="3"/>
      <c r="K176" s="3"/>
      <c r="L176" s="3"/>
      <c r="M176" s="3"/>
      <c r="N176" s="3"/>
      <c r="O176" s="3"/>
      <c r="P176" s="3"/>
      <c r="Q176" s="3"/>
      <c r="R176" s="3"/>
      <c r="S176" s="3"/>
      <c r="T176" s="3"/>
      <c r="U176" s="3"/>
      <c r="V176" s="3"/>
      <c r="W176" s="3"/>
      <c r="X176" s="4"/>
      <c r="Y176" s="4"/>
      <c r="Z176" s="4"/>
    </row>
    <row r="177" spans="1:26" ht="15.75" customHeight="1" x14ac:dyDescent="0.6">
      <c r="A177" s="3"/>
      <c r="B177" s="3"/>
      <c r="C177" s="3"/>
      <c r="D177" s="3"/>
      <c r="E177" s="3"/>
      <c r="F177" s="3"/>
      <c r="G177" s="3"/>
      <c r="H177" s="3"/>
      <c r="I177" s="3"/>
      <c r="J177" s="3"/>
      <c r="K177" s="3"/>
      <c r="L177" s="3"/>
      <c r="M177" s="3"/>
      <c r="N177" s="3"/>
      <c r="O177" s="3"/>
      <c r="P177" s="3"/>
      <c r="Q177" s="3"/>
      <c r="R177" s="3"/>
      <c r="S177" s="3"/>
      <c r="T177" s="3"/>
      <c r="U177" s="3"/>
      <c r="V177" s="3"/>
      <c r="W177" s="3"/>
      <c r="X177" s="4"/>
      <c r="Y177" s="4"/>
      <c r="Z177" s="4"/>
    </row>
    <row r="178" spans="1:26" ht="15.75" customHeight="1" x14ac:dyDescent="0.6">
      <c r="A178" s="3"/>
      <c r="B178" s="3"/>
      <c r="C178" s="3"/>
      <c r="D178" s="3"/>
      <c r="E178" s="3"/>
      <c r="F178" s="3"/>
      <c r="G178" s="3"/>
      <c r="H178" s="3"/>
      <c r="I178" s="3"/>
      <c r="J178" s="3"/>
      <c r="K178" s="3"/>
      <c r="L178" s="3"/>
      <c r="M178" s="3"/>
      <c r="N178" s="3"/>
      <c r="O178" s="3"/>
      <c r="P178" s="3"/>
      <c r="Q178" s="3"/>
      <c r="R178" s="3"/>
      <c r="S178" s="3"/>
      <c r="T178" s="3"/>
      <c r="U178" s="3"/>
      <c r="V178" s="3"/>
      <c r="W178" s="3"/>
      <c r="X178" s="4"/>
      <c r="Y178" s="4"/>
      <c r="Z178" s="4"/>
    </row>
    <row r="179" spans="1:26" ht="15.75" customHeight="1" x14ac:dyDescent="0.6">
      <c r="A179" s="3"/>
      <c r="B179" s="3"/>
      <c r="C179" s="3"/>
      <c r="D179" s="3"/>
      <c r="E179" s="3"/>
      <c r="F179" s="3"/>
      <c r="G179" s="3"/>
      <c r="H179" s="3"/>
      <c r="I179" s="3"/>
      <c r="J179" s="3"/>
      <c r="K179" s="3"/>
      <c r="L179" s="3"/>
      <c r="M179" s="3"/>
      <c r="N179" s="3"/>
      <c r="O179" s="3"/>
      <c r="P179" s="3"/>
      <c r="Q179" s="3"/>
      <c r="R179" s="3"/>
      <c r="S179" s="3"/>
      <c r="T179" s="3"/>
      <c r="U179" s="3"/>
      <c r="V179" s="3"/>
      <c r="W179" s="3"/>
      <c r="X179" s="4"/>
      <c r="Y179" s="4"/>
      <c r="Z179" s="4"/>
    </row>
    <row r="180" spans="1:26" ht="15.75" customHeight="1" x14ac:dyDescent="0.6">
      <c r="A180" s="3"/>
      <c r="B180" s="3"/>
      <c r="C180" s="3"/>
      <c r="D180" s="3"/>
      <c r="E180" s="3"/>
      <c r="F180" s="3"/>
      <c r="G180" s="3"/>
      <c r="H180" s="3"/>
      <c r="I180" s="3"/>
      <c r="J180" s="3"/>
      <c r="K180" s="3"/>
      <c r="L180" s="3"/>
      <c r="M180" s="3"/>
      <c r="N180" s="3"/>
      <c r="O180" s="3"/>
      <c r="P180" s="3"/>
      <c r="Q180" s="3"/>
      <c r="R180" s="3"/>
      <c r="S180" s="3"/>
      <c r="T180" s="3"/>
      <c r="U180" s="3"/>
      <c r="V180" s="3"/>
      <c r="W180" s="3"/>
      <c r="X180" s="4"/>
      <c r="Y180" s="4"/>
      <c r="Z180" s="4"/>
    </row>
    <row r="181" spans="1:26" ht="15.75" customHeight="1" x14ac:dyDescent="0.6">
      <c r="A181" s="3"/>
      <c r="B181" s="3"/>
      <c r="C181" s="3"/>
      <c r="D181" s="3"/>
      <c r="E181" s="3"/>
      <c r="F181" s="3"/>
      <c r="G181" s="3"/>
      <c r="H181" s="3"/>
      <c r="I181" s="3"/>
      <c r="J181" s="3"/>
      <c r="K181" s="3"/>
      <c r="L181" s="3"/>
      <c r="M181" s="3"/>
      <c r="N181" s="3"/>
      <c r="O181" s="3"/>
      <c r="P181" s="3"/>
      <c r="Q181" s="3"/>
      <c r="R181" s="3"/>
      <c r="S181" s="3"/>
      <c r="T181" s="3"/>
      <c r="U181" s="3"/>
      <c r="V181" s="3"/>
      <c r="W181" s="3"/>
      <c r="X181" s="4"/>
      <c r="Y181" s="4"/>
      <c r="Z181" s="4"/>
    </row>
    <row r="182" spans="1:26" ht="15.75" customHeight="1" x14ac:dyDescent="0.6">
      <c r="A182" s="3"/>
      <c r="B182" s="3"/>
      <c r="C182" s="3"/>
      <c r="D182" s="3"/>
      <c r="E182" s="3"/>
      <c r="F182" s="3"/>
      <c r="G182" s="3"/>
      <c r="H182" s="3"/>
      <c r="I182" s="3"/>
      <c r="J182" s="3"/>
      <c r="K182" s="3"/>
      <c r="L182" s="3"/>
      <c r="M182" s="3"/>
      <c r="N182" s="3"/>
      <c r="O182" s="3"/>
      <c r="P182" s="3"/>
      <c r="Q182" s="3"/>
      <c r="R182" s="3"/>
      <c r="S182" s="3"/>
      <c r="T182" s="3"/>
      <c r="U182" s="3"/>
      <c r="V182" s="3"/>
      <c r="W182" s="3"/>
      <c r="X182" s="4"/>
      <c r="Y182" s="4"/>
      <c r="Z182" s="4"/>
    </row>
    <row r="183" spans="1:26" ht="15.75" customHeight="1" x14ac:dyDescent="0.6">
      <c r="A183" s="3"/>
      <c r="B183" s="3"/>
      <c r="C183" s="3"/>
      <c r="D183" s="3"/>
      <c r="E183" s="3"/>
      <c r="F183" s="3"/>
      <c r="G183" s="3"/>
      <c r="H183" s="3"/>
      <c r="I183" s="3"/>
      <c r="J183" s="3"/>
      <c r="K183" s="3"/>
      <c r="L183" s="3"/>
      <c r="M183" s="3"/>
      <c r="N183" s="3"/>
      <c r="O183" s="3"/>
      <c r="P183" s="3"/>
      <c r="Q183" s="3"/>
      <c r="R183" s="3"/>
      <c r="S183" s="3"/>
      <c r="T183" s="3"/>
      <c r="U183" s="3"/>
      <c r="V183" s="3"/>
      <c r="W183" s="3"/>
      <c r="X183" s="4"/>
      <c r="Y183" s="4"/>
      <c r="Z183" s="4"/>
    </row>
    <row r="184" spans="1:26" ht="15.75" customHeight="1" x14ac:dyDescent="0.6">
      <c r="A184" s="3"/>
      <c r="B184" s="3"/>
      <c r="C184" s="3"/>
      <c r="D184" s="3"/>
      <c r="E184" s="3"/>
      <c r="F184" s="3"/>
      <c r="G184" s="3"/>
      <c r="H184" s="3"/>
      <c r="I184" s="3"/>
      <c r="J184" s="3"/>
      <c r="K184" s="3"/>
      <c r="L184" s="3"/>
      <c r="M184" s="3"/>
      <c r="N184" s="3"/>
      <c r="O184" s="3"/>
      <c r="P184" s="3"/>
      <c r="Q184" s="3"/>
      <c r="R184" s="3"/>
      <c r="S184" s="3"/>
      <c r="T184" s="3"/>
      <c r="U184" s="3"/>
      <c r="V184" s="3"/>
      <c r="W184" s="3"/>
      <c r="X184" s="4"/>
      <c r="Y184" s="4"/>
      <c r="Z184" s="4"/>
    </row>
    <row r="185" spans="1:26" ht="15.75" customHeight="1" x14ac:dyDescent="0.6">
      <c r="A185" s="3"/>
      <c r="B185" s="3"/>
      <c r="C185" s="3"/>
      <c r="D185" s="3"/>
      <c r="E185" s="3"/>
      <c r="F185" s="3"/>
      <c r="G185" s="3"/>
      <c r="H185" s="3"/>
      <c r="I185" s="3"/>
      <c r="J185" s="3"/>
      <c r="K185" s="3"/>
      <c r="L185" s="3"/>
      <c r="M185" s="3"/>
      <c r="N185" s="3"/>
      <c r="O185" s="3"/>
      <c r="P185" s="3"/>
      <c r="Q185" s="3"/>
      <c r="R185" s="3"/>
      <c r="S185" s="3"/>
      <c r="T185" s="3"/>
      <c r="U185" s="3"/>
      <c r="V185" s="3"/>
      <c r="W185" s="3"/>
      <c r="X185" s="4"/>
      <c r="Y185" s="4"/>
      <c r="Z185" s="4"/>
    </row>
    <row r="186" spans="1:26" ht="15.75" customHeight="1" x14ac:dyDescent="0.6">
      <c r="A186" s="3"/>
      <c r="B186" s="3"/>
      <c r="C186" s="3"/>
      <c r="D186" s="3"/>
      <c r="E186" s="3"/>
      <c r="F186" s="3"/>
      <c r="G186" s="3"/>
      <c r="H186" s="3"/>
      <c r="I186" s="3"/>
      <c r="J186" s="3"/>
      <c r="K186" s="3"/>
      <c r="L186" s="3"/>
      <c r="M186" s="3"/>
      <c r="N186" s="3"/>
      <c r="O186" s="3"/>
      <c r="P186" s="3"/>
      <c r="Q186" s="3"/>
      <c r="R186" s="3"/>
      <c r="S186" s="3"/>
      <c r="T186" s="3"/>
      <c r="U186" s="3"/>
      <c r="V186" s="3"/>
      <c r="W186" s="3"/>
      <c r="X186" s="4"/>
      <c r="Y186" s="4"/>
      <c r="Z186" s="4"/>
    </row>
    <row r="187" spans="1:26" ht="15.75" customHeight="1" x14ac:dyDescent="0.6">
      <c r="A187" s="3"/>
      <c r="B187" s="3"/>
      <c r="C187" s="3"/>
      <c r="D187" s="3"/>
      <c r="E187" s="3"/>
      <c r="F187" s="3"/>
      <c r="G187" s="3"/>
      <c r="H187" s="3"/>
      <c r="I187" s="3"/>
      <c r="J187" s="3"/>
      <c r="K187" s="3"/>
      <c r="L187" s="3"/>
      <c r="M187" s="3"/>
      <c r="N187" s="3"/>
      <c r="O187" s="3"/>
      <c r="P187" s="3"/>
      <c r="Q187" s="3"/>
      <c r="R187" s="3"/>
      <c r="S187" s="3"/>
      <c r="T187" s="3"/>
      <c r="U187" s="3"/>
      <c r="V187" s="3"/>
      <c r="W187" s="3"/>
      <c r="X187" s="4"/>
      <c r="Y187" s="4"/>
      <c r="Z187" s="4"/>
    </row>
    <row r="188" spans="1:26" ht="15.75" customHeight="1" x14ac:dyDescent="0.6">
      <c r="A188" s="3"/>
      <c r="B188" s="3"/>
      <c r="C188" s="3"/>
      <c r="D188" s="3"/>
      <c r="E188" s="3"/>
      <c r="F188" s="3"/>
      <c r="G188" s="3"/>
      <c r="H188" s="3"/>
      <c r="I188" s="3"/>
      <c r="J188" s="3"/>
      <c r="K188" s="3"/>
      <c r="L188" s="3"/>
      <c r="M188" s="3"/>
      <c r="N188" s="3"/>
      <c r="O188" s="3"/>
      <c r="P188" s="3"/>
      <c r="Q188" s="3"/>
      <c r="R188" s="3"/>
      <c r="S188" s="3"/>
      <c r="T188" s="3"/>
      <c r="U188" s="3"/>
      <c r="V188" s="3"/>
      <c r="W188" s="3"/>
      <c r="X188" s="4"/>
      <c r="Y188" s="4"/>
      <c r="Z188" s="4"/>
    </row>
    <row r="189" spans="1:26" ht="15.75" customHeight="1" x14ac:dyDescent="0.6">
      <c r="A189" s="3"/>
      <c r="B189" s="3"/>
      <c r="C189" s="3"/>
      <c r="D189" s="3"/>
      <c r="E189" s="3"/>
      <c r="F189" s="3"/>
      <c r="G189" s="3"/>
      <c r="H189" s="3"/>
      <c r="I189" s="3"/>
      <c r="J189" s="3"/>
      <c r="K189" s="3"/>
      <c r="L189" s="3"/>
      <c r="M189" s="3"/>
      <c r="N189" s="3"/>
      <c r="O189" s="3"/>
      <c r="P189" s="3"/>
      <c r="Q189" s="3"/>
      <c r="R189" s="3"/>
      <c r="S189" s="3"/>
      <c r="T189" s="3"/>
      <c r="U189" s="3"/>
      <c r="V189" s="3"/>
      <c r="W189" s="3"/>
      <c r="X189" s="4"/>
      <c r="Y189" s="4"/>
      <c r="Z189" s="4"/>
    </row>
    <row r="190" spans="1:26" ht="15.75" customHeight="1" x14ac:dyDescent="0.6">
      <c r="A190" s="3"/>
      <c r="B190" s="3"/>
      <c r="C190" s="3"/>
      <c r="D190" s="3"/>
      <c r="E190" s="3"/>
      <c r="F190" s="3"/>
      <c r="G190" s="3"/>
      <c r="H190" s="3"/>
      <c r="I190" s="3"/>
      <c r="J190" s="3"/>
      <c r="K190" s="3"/>
      <c r="L190" s="3"/>
      <c r="M190" s="3"/>
      <c r="N190" s="3"/>
      <c r="O190" s="3"/>
      <c r="P190" s="3"/>
      <c r="Q190" s="3"/>
      <c r="R190" s="3"/>
      <c r="S190" s="3"/>
      <c r="T190" s="3"/>
      <c r="U190" s="3"/>
      <c r="V190" s="3"/>
      <c r="W190" s="3"/>
      <c r="X190" s="4"/>
      <c r="Y190" s="4"/>
      <c r="Z190" s="4"/>
    </row>
    <row r="191" spans="1:26" ht="15.75" customHeight="1" x14ac:dyDescent="0.6">
      <c r="A191" s="3"/>
      <c r="B191" s="3"/>
      <c r="C191" s="3"/>
      <c r="D191" s="3"/>
      <c r="E191" s="3"/>
      <c r="F191" s="3"/>
      <c r="G191" s="3"/>
      <c r="H191" s="3"/>
      <c r="I191" s="3"/>
      <c r="J191" s="3"/>
      <c r="K191" s="3"/>
      <c r="L191" s="3"/>
      <c r="M191" s="3"/>
      <c r="N191" s="3"/>
      <c r="O191" s="3"/>
      <c r="P191" s="3"/>
      <c r="Q191" s="3"/>
      <c r="R191" s="3"/>
      <c r="S191" s="3"/>
      <c r="T191" s="3"/>
      <c r="U191" s="3"/>
      <c r="V191" s="3"/>
      <c r="W191" s="3"/>
      <c r="X191" s="4"/>
      <c r="Y191" s="4"/>
      <c r="Z191" s="4"/>
    </row>
    <row r="192" spans="1:26" ht="15.75" customHeight="1" x14ac:dyDescent="0.6">
      <c r="A192" s="3"/>
      <c r="B192" s="3"/>
      <c r="C192" s="3"/>
      <c r="D192" s="3"/>
      <c r="E192" s="3"/>
      <c r="F192" s="3"/>
      <c r="G192" s="3"/>
      <c r="H192" s="3"/>
      <c r="I192" s="3"/>
      <c r="J192" s="3"/>
      <c r="K192" s="3"/>
      <c r="L192" s="3"/>
      <c r="M192" s="3"/>
      <c r="N192" s="3"/>
      <c r="O192" s="3"/>
      <c r="P192" s="3"/>
      <c r="Q192" s="3"/>
      <c r="R192" s="3"/>
      <c r="S192" s="3"/>
      <c r="T192" s="3"/>
      <c r="U192" s="3"/>
      <c r="V192" s="3"/>
      <c r="W192" s="3"/>
      <c r="X192" s="4"/>
      <c r="Y192" s="4"/>
      <c r="Z192" s="4"/>
    </row>
    <row r="193" spans="1:26" ht="15.75" customHeight="1" x14ac:dyDescent="0.6">
      <c r="A193" s="3"/>
      <c r="B193" s="3"/>
      <c r="C193" s="3"/>
      <c r="D193" s="3"/>
      <c r="E193" s="3"/>
      <c r="F193" s="3"/>
      <c r="G193" s="3"/>
      <c r="H193" s="3"/>
      <c r="I193" s="3"/>
      <c r="J193" s="3"/>
      <c r="K193" s="3"/>
      <c r="L193" s="3"/>
      <c r="M193" s="3"/>
      <c r="N193" s="3"/>
      <c r="O193" s="3"/>
      <c r="P193" s="3"/>
      <c r="Q193" s="3"/>
      <c r="R193" s="3"/>
      <c r="S193" s="3"/>
      <c r="T193" s="3"/>
      <c r="U193" s="3"/>
      <c r="V193" s="3"/>
      <c r="W193" s="3"/>
      <c r="X193" s="4"/>
      <c r="Y193" s="4"/>
      <c r="Z193" s="4"/>
    </row>
    <row r="194" spans="1:26" ht="15.75" customHeight="1" x14ac:dyDescent="0.6">
      <c r="A194" s="3"/>
      <c r="B194" s="3"/>
      <c r="C194" s="3"/>
      <c r="D194" s="3"/>
      <c r="E194" s="3"/>
      <c r="F194" s="3"/>
      <c r="G194" s="3"/>
      <c r="H194" s="3"/>
      <c r="I194" s="3"/>
      <c r="J194" s="3"/>
      <c r="K194" s="3"/>
      <c r="L194" s="3"/>
      <c r="M194" s="3"/>
      <c r="N194" s="3"/>
      <c r="O194" s="3"/>
      <c r="P194" s="3"/>
      <c r="Q194" s="3"/>
      <c r="R194" s="3"/>
      <c r="S194" s="3"/>
      <c r="T194" s="3"/>
      <c r="U194" s="3"/>
      <c r="V194" s="3"/>
      <c r="W194" s="3"/>
      <c r="X194" s="4"/>
      <c r="Y194" s="4"/>
      <c r="Z194" s="4"/>
    </row>
    <row r="195" spans="1:26" ht="15.75" customHeight="1" x14ac:dyDescent="0.6">
      <c r="A195" s="3"/>
      <c r="B195" s="3"/>
      <c r="C195" s="3"/>
      <c r="D195" s="3"/>
      <c r="E195" s="3"/>
      <c r="F195" s="3"/>
      <c r="G195" s="3"/>
      <c r="H195" s="3"/>
      <c r="I195" s="3"/>
      <c r="J195" s="3"/>
      <c r="K195" s="3"/>
      <c r="L195" s="3"/>
      <c r="M195" s="3"/>
      <c r="N195" s="3"/>
      <c r="O195" s="3"/>
      <c r="P195" s="3"/>
      <c r="Q195" s="3"/>
      <c r="R195" s="3"/>
      <c r="S195" s="3"/>
      <c r="T195" s="3"/>
      <c r="U195" s="3"/>
      <c r="V195" s="3"/>
      <c r="W195" s="3"/>
      <c r="X195" s="4"/>
      <c r="Y195" s="4"/>
      <c r="Z195" s="4"/>
    </row>
    <row r="196" spans="1:26" ht="15.75" customHeight="1" x14ac:dyDescent="0.6">
      <c r="A196" s="3"/>
      <c r="B196" s="3"/>
      <c r="C196" s="3"/>
      <c r="D196" s="3"/>
      <c r="E196" s="3"/>
      <c r="F196" s="3"/>
      <c r="G196" s="3"/>
      <c r="H196" s="3"/>
      <c r="I196" s="3"/>
      <c r="J196" s="3"/>
      <c r="K196" s="3"/>
      <c r="L196" s="3"/>
      <c r="M196" s="3"/>
      <c r="N196" s="3"/>
      <c r="O196" s="3"/>
      <c r="P196" s="3"/>
      <c r="Q196" s="3"/>
      <c r="R196" s="3"/>
      <c r="S196" s="3"/>
      <c r="T196" s="3"/>
      <c r="U196" s="3"/>
      <c r="V196" s="3"/>
      <c r="W196" s="3"/>
      <c r="X196" s="4"/>
      <c r="Y196" s="4"/>
      <c r="Z196" s="4"/>
    </row>
    <row r="197" spans="1:26" ht="15.75" customHeight="1" x14ac:dyDescent="0.6">
      <c r="A197" s="3"/>
      <c r="B197" s="3"/>
      <c r="C197" s="3"/>
      <c r="D197" s="3"/>
      <c r="E197" s="3"/>
      <c r="F197" s="3"/>
      <c r="G197" s="3"/>
      <c r="H197" s="3"/>
      <c r="I197" s="3"/>
      <c r="J197" s="3"/>
      <c r="K197" s="3"/>
      <c r="L197" s="3"/>
      <c r="M197" s="3"/>
      <c r="N197" s="3"/>
      <c r="O197" s="3"/>
      <c r="P197" s="3"/>
      <c r="Q197" s="3"/>
      <c r="R197" s="3"/>
      <c r="S197" s="3"/>
      <c r="T197" s="3"/>
      <c r="U197" s="3"/>
      <c r="V197" s="3"/>
      <c r="W197" s="3"/>
      <c r="X197" s="4"/>
      <c r="Y197" s="4"/>
      <c r="Z197" s="4"/>
    </row>
    <row r="198" spans="1:26" ht="15.75" customHeight="1" x14ac:dyDescent="0.6">
      <c r="A198" s="3"/>
      <c r="B198" s="3"/>
      <c r="C198" s="3"/>
      <c r="D198" s="3"/>
      <c r="E198" s="3"/>
      <c r="F198" s="3"/>
      <c r="G198" s="3"/>
      <c r="H198" s="3"/>
      <c r="I198" s="3"/>
      <c r="J198" s="3"/>
      <c r="K198" s="3"/>
      <c r="L198" s="3"/>
      <c r="M198" s="3"/>
      <c r="N198" s="3"/>
      <c r="O198" s="3"/>
      <c r="P198" s="3"/>
      <c r="Q198" s="3"/>
      <c r="R198" s="3"/>
      <c r="S198" s="3"/>
      <c r="T198" s="3"/>
      <c r="U198" s="3"/>
      <c r="V198" s="3"/>
      <c r="W198" s="3"/>
      <c r="X198" s="4"/>
      <c r="Y198" s="4"/>
      <c r="Z198" s="4"/>
    </row>
    <row r="199" spans="1:26" ht="15.75" customHeight="1" x14ac:dyDescent="0.6">
      <c r="A199" s="3"/>
      <c r="B199" s="3"/>
      <c r="C199" s="3"/>
      <c r="D199" s="3"/>
      <c r="E199" s="3"/>
      <c r="F199" s="3"/>
      <c r="G199" s="3"/>
      <c r="H199" s="3"/>
      <c r="I199" s="3"/>
      <c r="J199" s="3"/>
      <c r="K199" s="3"/>
      <c r="L199" s="3"/>
      <c r="M199" s="3"/>
      <c r="N199" s="3"/>
      <c r="O199" s="3"/>
      <c r="P199" s="3"/>
      <c r="Q199" s="3"/>
      <c r="R199" s="3"/>
      <c r="S199" s="3"/>
      <c r="T199" s="3"/>
      <c r="U199" s="3"/>
      <c r="V199" s="3"/>
      <c r="W199" s="3"/>
      <c r="X199" s="4"/>
      <c r="Y199" s="4"/>
      <c r="Z199" s="4"/>
    </row>
    <row r="200" spans="1:26" ht="15.75" customHeight="1" x14ac:dyDescent="0.6">
      <c r="A200" s="3"/>
      <c r="B200" s="3"/>
      <c r="C200" s="3"/>
      <c r="D200" s="3"/>
      <c r="E200" s="3"/>
      <c r="F200" s="3"/>
      <c r="G200" s="3"/>
      <c r="H200" s="3"/>
      <c r="I200" s="3"/>
      <c r="J200" s="3"/>
      <c r="K200" s="3"/>
      <c r="L200" s="3"/>
      <c r="M200" s="3"/>
      <c r="N200" s="3"/>
      <c r="O200" s="3"/>
      <c r="P200" s="3"/>
      <c r="Q200" s="3"/>
      <c r="R200" s="3"/>
      <c r="S200" s="3"/>
      <c r="T200" s="3"/>
      <c r="U200" s="3"/>
      <c r="V200" s="3"/>
      <c r="W200" s="3"/>
      <c r="X200" s="4"/>
      <c r="Y200" s="4"/>
      <c r="Z200" s="4"/>
    </row>
    <row r="201" spans="1:26" ht="15.75" customHeight="1" x14ac:dyDescent="0.6">
      <c r="A201" s="3"/>
      <c r="B201" s="3"/>
      <c r="C201" s="3"/>
      <c r="D201" s="3"/>
      <c r="E201" s="3"/>
      <c r="F201" s="3"/>
      <c r="G201" s="3"/>
      <c r="H201" s="3"/>
      <c r="I201" s="3"/>
      <c r="J201" s="3"/>
      <c r="K201" s="3"/>
      <c r="L201" s="3"/>
      <c r="M201" s="3"/>
      <c r="N201" s="3"/>
      <c r="O201" s="3"/>
      <c r="P201" s="3"/>
      <c r="Q201" s="3"/>
      <c r="R201" s="3"/>
      <c r="S201" s="3"/>
      <c r="T201" s="3"/>
      <c r="U201" s="3"/>
      <c r="V201" s="3"/>
      <c r="W201" s="3"/>
      <c r="X201" s="4"/>
      <c r="Y201" s="4"/>
      <c r="Z201" s="4"/>
    </row>
    <row r="202" spans="1:26" ht="15.75" customHeight="1" x14ac:dyDescent="0.6">
      <c r="A202" s="3"/>
      <c r="B202" s="3"/>
      <c r="C202" s="3"/>
      <c r="D202" s="3"/>
      <c r="E202" s="3"/>
      <c r="F202" s="3"/>
      <c r="G202" s="3"/>
      <c r="H202" s="3"/>
      <c r="I202" s="3"/>
      <c r="J202" s="3"/>
      <c r="K202" s="3"/>
      <c r="L202" s="3"/>
      <c r="M202" s="3"/>
      <c r="N202" s="3"/>
      <c r="O202" s="3"/>
      <c r="P202" s="3"/>
      <c r="Q202" s="3"/>
      <c r="R202" s="3"/>
      <c r="S202" s="3"/>
      <c r="T202" s="3"/>
      <c r="U202" s="3"/>
      <c r="V202" s="3"/>
      <c r="W202" s="3"/>
      <c r="X202" s="4"/>
      <c r="Y202" s="4"/>
      <c r="Z202" s="4"/>
    </row>
    <row r="203" spans="1:26" ht="15.75" customHeight="1" x14ac:dyDescent="0.6">
      <c r="A203" s="3"/>
      <c r="B203" s="3"/>
      <c r="C203" s="3"/>
      <c r="D203" s="3"/>
      <c r="E203" s="3"/>
      <c r="F203" s="3"/>
      <c r="G203" s="3"/>
      <c r="H203" s="3"/>
      <c r="I203" s="3"/>
      <c r="J203" s="3"/>
      <c r="K203" s="3"/>
      <c r="L203" s="3"/>
      <c r="M203" s="3"/>
      <c r="N203" s="3"/>
      <c r="O203" s="3"/>
      <c r="P203" s="3"/>
      <c r="Q203" s="3"/>
      <c r="R203" s="3"/>
      <c r="S203" s="3"/>
      <c r="T203" s="3"/>
      <c r="U203" s="3"/>
      <c r="V203" s="3"/>
      <c r="W203" s="3"/>
      <c r="X203" s="4"/>
      <c r="Y203" s="4"/>
      <c r="Z203" s="4"/>
    </row>
    <row r="204" spans="1:26" ht="15.75" customHeight="1" x14ac:dyDescent="0.6">
      <c r="A204" s="3"/>
      <c r="B204" s="3"/>
      <c r="C204" s="3"/>
      <c r="D204" s="3"/>
      <c r="E204" s="3"/>
      <c r="F204" s="3"/>
      <c r="G204" s="3"/>
      <c r="H204" s="3"/>
      <c r="I204" s="3"/>
      <c r="J204" s="3"/>
      <c r="K204" s="3"/>
      <c r="L204" s="3"/>
      <c r="M204" s="3"/>
      <c r="N204" s="3"/>
      <c r="O204" s="3"/>
      <c r="P204" s="3"/>
      <c r="Q204" s="3"/>
      <c r="R204" s="3"/>
      <c r="S204" s="3"/>
      <c r="T204" s="3"/>
      <c r="U204" s="3"/>
      <c r="V204" s="3"/>
      <c r="W204" s="3"/>
      <c r="X204" s="4"/>
      <c r="Y204" s="4"/>
      <c r="Z204" s="4"/>
    </row>
    <row r="205" spans="1:26" ht="15.75" customHeight="1" x14ac:dyDescent="0.6">
      <c r="A205" s="3"/>
      <c r="B205" s="3"/>
      <c r="C205" s="3"/>
      <c r="D205" s="3"/>
      <c r="E205" s="3"/>
      <c r="F205" s="3"/>
      <c r="G205" s="3"/>
      <c r="H205" s="3"/>
      <c r="I205" s="3"/>
      <c r="J205" s="3"/>
      <c r="K205" s="3"/>
      <c r="L205" s="3"/>
      <c r="M205" s="3"/>
      <c r="N205" s="3"/>
      <c r="O205" s="3"/>
      <c r="P205" s="3"/>
      <c r="Q205" s="3"/>
      <c r="R205" s="3"/>
      <c r="S205" s="3"/>
      <c r="T205" s="3"/>
      <c r="U205" s="3"/>
      <c r="V205" s="3"/>
      <c r="W205" s="3"/>
      <c r="X205" s="4"/>
      <c r="Y205" s="4"/>
      <c r="Z205" s="4"/>
    </row>
    <row r="206" spans="1:26" ht="15.75" customHeight="1" x14ac:dyDescent="0.6">
      <c r="A206" s="3"/>
      <c r="B206" s="3"/>
      <c r="C206" s="3"/>
      <c r="D206" s="3"/>
      <c r="E206" s="3"/>
      <c r="F206" s="3"/>
      <c r="G206" s="3"/>
      <c r="H206" s="3"/>
      <c r="I206" s="3"/>
      <c r="J206" s="3"/>
      <c r="K206" s="3"/>
      <c r="L206" s="3"/>
      <c r="M206" s="3"/>
      <c r="N206" s="3"/>
      <c r="O206" s="3"/>
      <c r="P206" s="3"/>
      <c r="Q206" s="3"/>
      <c r="R206" s="3"/>
      <c r="S206" s="3"/>
      <c r="T206" s="3"/>
      <c r="U206" s="3"/>
      <c r="V206" s="3"/>
      <c r="W206" s="3"/>
      <c r="X206" s="4"/>
      <c r="Y206" s="4"/>
      <c r="Z206" s="4"/>
    </row>
    <row r="207" spans="1:26" ht="15.75" customHeight="1" x14ac:dyDescent="0.6">
      <c r="A207" s="3"/>
      <c r="B207" s="3"/>
      <c r="C207" s="3"/>
      <c r="D207" s="3"/>
      <c r="E207" s="3"/>
      <c r="F207" s="3"/>
      <c r="G207" s="3"/>
      <c r="H207" s="3"/>
      <c r="I207" s="3"/>
      <c r="J207" s="3"/>
      <c r="K207" s="3"/>
      <c r="L207" s="3"/>
      <c r="M207" s="3"/>
      <c r="N207" s="3"/>
      <c r="O207" s="3"/>
      <c r="P207" s="3"/>
      <c r="Q207" s="3"/>
      <c r="R207" s="3"/>
      <c r="S207" s="3"/>
      <c r="T207" s="3"/>
      <c r="U207" s="3"/>
      <c r="V207" s="3"/>
      <c r="W207" s="3"/>
      <c r="X207" s="4"/>
      <c r="Y207" s="4"/>
      <c r="Z207" s="4"/>
    </row>
    <row r="208" spans="1:26" ht="15.75" customHeight="1" x14ac:dyDescent="0.6">
      <c r="A208" s="3"/>
      <c r="B208" s="3"/>
      <c r="C208" s="3"/>
      <c r="D208" s="3"/>
      <c r="E208" s="3"/>
      <c r="F208" s="3"/>
      <c r="G208" s="3"/>
      <c r="H208" s="3"/>
      <c r="I208" s="3"/>
      <c r="J208" s="3"/>
      <c r="K208" s="3"/>
      <c r="L208" s="3"/>
      <c r="M208" s="3"/>
      <c r="N208" s="3"/>
      <c r="O208" s="3"/>
      <c r="P208" s="3"/>
      <c r="Q208" s="3"/>
      <c r="R208" s="3"/>
      <c r="S208" s="3"/>
      <c r="T208" s="3"/>
      <c r="U208" s="3"/>
      <c r="V208" s="3"/>
      <c r="W208" s="3"/>
      <c r="X208" s="4"/>
      <c r="Y208" s="4"/>
      <c r="Z208" s="4"/>
    </row>
    <row r="209" spans="1:26" ht="15.75" customHeight="1" x14ac:dyDescent="0.6">
      <c r="A209" s="3"/>
      <c r="B209" s="3"/>
      <c r="C209" s="3"/>
      <c r="D209" s="3"/>
      <c r="E209" s="3"/>
      <c r="F209" s="3"/>
      <c r="G209" s="3"/>
      <c r="H209" s="3"/>
      <c r="I209" s="3"/>
      <c r="J209" s="3"/>
      <c r="K209" s="3"/>
      <c r="L209" s="3"/>
      <c r="M209" s="3"/>
      <c r="N209" s="3"/>
      <c r="O209" s="3"/>
      <c r="P209" s="3"/>
      <c r="Q209" s="3"/>
      <c r="R209" s="3"/>
      <c r="S209" s="3"/>
      <c r="T209" s="3"/>
      <c r="U209" s="3"/>
      <c r="V209" s="3"/>
      <c r="W209" s="3"/>
      <c r="X209" s="4"/>
      <c r="Y209" s="4"/>
      <c r="Z209" s="4"/>
    </row>
    <row r="210" spans="1:26" ht="15.75" customHeight="1" x14ac:dyDescent="0.6">
      <c r="A210" s="3"/>
      <c r="B210" s="3"/>
      <c r="C210" s="3"/>
      <c r="D210" s="3"/>
      <c r="E210" s="3"/>
      <c r="F210" s="3"/>
      <c r="G210" s="3"/>
      <c r="H210" s="3"/>
      <c r="I210" s="3"/>
      <c r="J210" s="3"/>
      <c r="K210" s="3"/>
      <c r="L210" s="3"/>
      <c r="M210" s="3"/>
      <c r="N210" s="3"/>
      <c r="O210" s="3"/>
      <c r="P210" s="3"/>
      <c r="Q210" s="3"/>
      <c r="R210" s="3"/>
      <c r="S210" s="3"/>
      <c r="T210" s="3"/>
      <c r="U210" s="3"/>
      <c r="V210" s="3"/>
      <c r="W210" s="3"/>
      <c r="X210" s="4"/>
      <c r="Y210" s="4"/>
      <c r="Z210" s="4"/>
    </row>
    <row r="211" spans="1:26" ht="15.75" customHeight="1" x14ac:dyDescent="0.6">
      <c r="A211" s="3"/>
      <c r="B211" s="3"/>
      <c r="C211" s="3"/>
      <c r="D211" s="3"/>
      <c r="E211" s="3"/>
      <c r="F211" s="3"/>
      <c r="G211" s="3"/>
      <c r="H211" s="3"/>
      <c r="I211" s="3"/>
      <c r="J211" s="3"/>
      <c r="K211" s="3"/>
      <c r="L211" s="3"/>
      <c r="M211" s="3"/>
      <c r="N211" s="3"/>
      <c r="O211" s="3"/>
      <c r="P211" s="3"/>
      <c r="Q211" s="3"/>
      <c r="R211" s="3"/>
      <c r="S211" s="3"/>
      <c r="T211" s="3"/>
      <c r="U211" s="3"/>
      <c r="V211" s="3"/>
      <c r="W211" s="3"/>
      <c r="X211" s="4"/>
      <c r="Y211" s="4"/>
      <c r="Z211" s="4"/>
    </row>
    <row r="212" spans="1:26" ht="15.75" customHeight="1" x14ac:dyDescent="0.6">
      <c r="A212" s="3"/>
      <c r="B212" s="3"/>
      <c r="C212" s="3"/>
      <c r="D212" s="3"/>
      <c r="E212" s="3"/>
      <c r="F212" s="3"/>
      <c r="G212" s="3"/>
      <c r="H212" s="3"/>
      <c r="I212" s="3"/>
      <c r="J212" s="3"/>
      <c r="K212" s="3"/>
      <c r="L212" s="3"/>
      <c r="M212" s="3"/>
      <c r="N212" s="3"/>
      <c r="O212" s="3"/>
      <c r="P212" s="3"/>
      <c r="Q212" s="3"/>
      <c r="R212" s="3"/>
      <c r="S212" s="3"/>
      <c r="T212" s="3"/>
      <c r="U212" s="3"/>
      <c r="V212" s="3"/>
      <c r="W212" s="3"/>
      <c r="X212" s="4"/>
      <c r="Y212" s="4"/>
      <c r="Z212" s="4"/>
    </row>
    <row r="213" spans="1:26" ht="15.75" customHeight="1" x14ac:dyDescent="0.6">
      <c r="A213" s="3"/>
      <c r="B213" s="3"/>
      <c r="C213" s="3"/>
      <c r="D213" s="3"/>
      <c r="E213" s="3"/>
      <c r="F213" s="3"/>
      <c r="G213" s="3"/>
      <c r="H213" s="3"/>
      <c r="I213" s="3"/>
      <c r="J213" s="3"/>
      <c r="K213" s="3"/>
      <c r="L213" s="3"/>
      <c r="M213" s="3"/>
      <c r="N213" s="3"/>
      <c r="O213" s="3"/>
      <c r="P213" s="3"/>
      <c r="Q213" s="3"/>
      <c r="R213" s="3"/>
      <c r="S213" s="3"/>
      <c r="T213" s="3"/>
      <c r="U213" s="3"/>
      <c r="V213" s="3"/>
      <c r="W213" s="3"/>
      <c r="X213" s="4"/>
      <c r="Y213" s="4"/>
      <c r="Z213" s="4"/>
    </row>
    <row r="214" spans="1:26" ht="15.75" customHeight="1" x14ac:dyDescent="0.6">
      <c r="A214" s="3"/>
      <c r="B214" s="3"/>
      <c r="C214" s="3"/>
      <c r="D214" s="3"/>
      <c r="E214" s="3"/>
      <c r="F214" s="3"/>
      <c r="G214" s="3"/>
      <c r="H214" s="3"/>
      <c r="I214" s="3"/>
      <c r="J214" s="3"/>
      <c r="K214" s="3"/>
      <c r="L214" s="3"/>
      <c r="M214" s="3"/>
      <c r="N214" s="3"/>
      <c r="O214" s="3"/>
      <c r="P214" s="3"/>
      <c r="Q214" s="3"/>
      <c r="R214" s="3"/>
      <c r="S214" s="3"/>
      <c r="T214" s="3"/>
      <c r="U214" s="3"/>
      <c r="V214" s="3"/>
      <c r="W214" s="3"/>
      <c r="X214" s="4"/>
      <c r="Y214" s="4"/>
      <c r="Z214" s="4"/>
    </row>
    <row r="215" spans="1:26" ht="15.75" customHeight="1" x14ac:dyDescent="0.6">
      <c r="A215" s="3"/>
      <c r="B215" s="3"/>
      <c r="C215" s="3"/>
      <c r="D215" s="3"/>
      <c r="E215" s="3"/>
      <c r="F215" s="3"/>
      <c r="G215" s="3"/>
      <c r="H215" s="3"/>
      <c r="I215" s="3"/>
      <c r="J215" s="3"/>
      <c r="K215" s="3"/>
      <c r="L215" s="3"/>
      <c r="M215" s="3"/>
      <c r="N215" s="3"/>
      <c r="O215" s="3"/>
      <c r="P215" s="3"/>
      <c r="Q215" s="3"/>
      <c r="R215" s="3"/>
      <c r="S215" s="3"/>
      <c r="T215" s="3"/>
      <c r="U215" s="3"/>
      <c r="V215" s="3"/>
      <c r="W215" s="3"/>
      <c r="X215" s="4"/>
      <c r="Y215" s="4"/>
      <c r="Z215" s="4"/>
    </row>
    <row r="216" spans="1:26" ht="15.75" customHeight="1" x14ac:dyDescent="0.6">
      <c r="A216" s="3"/>
      <c r="B216" s="3"/>
      <c r="C216" s="3"/>
      <c r="D216" s="3"/>
      <c r="E216" s="3"/>
      <c r="F216" s="3"/>
      <c r="G216" s="3"/>
      <c r="H216" s="3"/>
      <c r="I216" s="3"/>
      <c r="J216" s="3"/>
      <c r="K216" s="3"/>
      <c r="L216" s="3"/>
      <c r="M216" s="3"/>
      <c r="N216" s="3"/>
      <c r="O216" s="3"/>
      <c r="P216" s="3"/>
      <c r="Q216" s="3"/>
      <c r="R216" s="3"/>
      <c r="S216" s="3"/>
      <c r="T216" s="3"/>
      <c r="U216" s="3"/>
      <c r="V216" s="3"/>
      <c r="W216" s="3"/>
      <c r="X216" s="4"/>
      <c r="Y216" s="4"/>
      <c r="Z216" s="4"/>
    </row>
    <row r="217" spans="1:26" ht="15.75" customHeight="1" x14ac:dyDescent="0.6">
      <c r="A217" s="3"/>
      <c r="B217" s="3"/>
      <c r="C217" s="3"/>
      <c r="D217" s="3"/>
      <c r="E217" s="3"/>
      <c r="F217" s="3"/>
      <c r="G217" s="3"/>
      <c r="H217" s="3"/>
      <c r="I217" s="3"/>
      <c r="J217" s="3"/>
      <c r="K217" s="3"/>
      <c r="L217" s="3"/>
      <c r="M217" s="3"/>
      <c r="N217" s="3"/>
      <c r="O217" s="3"/>
      <c r="P217" s="3"/>
      <c r="Q217" s="3"/>
      <c r="R217" s="3"/>
      <c r="S217" s="3"/>
      <c r="T217" s="3"/>
      <c r="U217" s="3"/>
      <c r="V217" s="3"/>
      <c r="W217" s="3"/>
      <c r="X217" s="4"/>
      <c r="Y217" s="4"/>
      <c r="Z217" s="4"/>
    </row>
    <row r="218" spans="1:26" ht="15.75" customHeight="1" x14ac:dyDescent="0.6">
      <c r="A218" s="3"/>
      <c r="B218" s="3"/>
      <c r="C218" s="3"/>
      <c r="D218" s="3"/>
      <c r="E218" s="3"/>
      <c r="F218" s="3"/>
      <c r="G218" s="3"/>
      <c r="H218" s="3"/>
      <c r="I218" s="3"/>
      <c r="J218" s="3"/>
      <c r="K218" s="3"/>
      <c r="L218" s="3"/>
      <c r="M218" s="3"/>
      <c r="N218" s="3"/>
      <c r="O218" s="3"/>
      <c r="P218" s="3"/>
      <c r="Q218" s="3"/>
      <c r="R218" s="3"/>
      <c r="S218" s="3"/>
      <c r="T218" s="3"/>
      <c r="U218" s="3"/>
      <c r="V218" s="3"/>
      <c r="W218" s="3"/>
      <c r="X218" s="4"/>
      <c r="Y218" s="4"/>
      <c r="Z218" s="4"/>
    </row>
    <row r="219" spans="1:26" ht="15.75" customHeight="1" x14ac:dyDescent="0.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Z964"/>
  <sheetViews>
    <sheetView tabSelected="1" workbookViewId="0">
      <selection activeCell="A3" sqref="A3"/>
    </sheetView>
  </sheetViews>
  <sheetFormatPr defaultColWidth="14.47265625" defaultRowHeight="15" customHeight="1" x14ac:dyDescent="0.55000000000000004"/>
  <cols>
    <col min="1" max="1" width="174.3125" customWidth="1"/>
    <col min="13" max="13" width="19.3125" customWidth="1"/>
  </cols>
  <sheetData>
    <row r="1" spans="1:26" ht="15" customHeight="1" x14ac:dyDescent="0.55000000000000004">
      <c r="A1" s="16" t="s">
        <v>32</v>
      </c>
      <c r="B1" s="16"/>
      <c r="C1" s="16"/>
      <c r="D1" s="16"/>
      <c r="E1" s="16"/>
      <c r="F1" s="16"/>
      <c r="G1" s="16"/>
      <c r="H1" s="17"/>
      <c r="I1" s="17"/>
      <c r="J1" s="17"/>
      <c r="K1" s="17"/>
      <c r="L1" s="17"/>
      <c r="M1" s="17"/>
      <c r="N1" s="18"/>
      <c r="O1" s="18"/>
      <c r="P1" s="18"/>
      <c r="Q1" s="18"/>
      <c r="R1" s="18"/>
      <c r="S1" s="18"/>
      <c r="T1" s="18"/>
      <c r="U1" s="18"/>
      <c r="V1" s="18"/>
      <c r="W1" s="18"/>
      <c r="X1" s="18"/>
      <c r="Y1" s="18"/>
      <c r="Z1" s="18"/>
    </row>
    <row r="2" spans="1:26" ht="15" customHeight="1" x14ac:dyDescent="0.55000000000000004">
      <c r="A2" s="16" t="s">
        <v>33</v>
      </c>
      <c r="B2" s="17"/>
      <c r="C2" s="17"/>
      <c r="D2" s="17"/>
      <c r="E2" s="17"/>
      <c r="F2" s="17"/>
      <c r="G2" s="17"/>
      <c r="H2" s="17"/>
      <c r="I2" s="17"/>
      <c r="J2" s="17"/>
      <c r="K2" s="17"/>
      <c r="L2" s="17"/>
      <c r="M2" s="17"/>
      <c r="N2" s="18"/>
      <c r="O2" s="18"/>
      <c r="P2" s="18"/>
      <c r="Q2" s="18"/>
      <c r="R2" s="18"/>
      <c r="S2" s="18"/>
      <c r="T2" s="18"/>
      <c r="U2" s="18"/>
      <c r="V2" s="18"/>
      <c r="W2" s="18"/>
      <c r="X2" s="18"/>
      <c r="Y2" s="18"/>
      <c r="Z2" s="18"/>
    </row>
    <row r="3" spans="1:26" ht="15" customHeight="1" x14ac:dyDescent="0.55000000000000004">
      <c r="A3" s="17"/>
      <c r="B3" s="16"/>
      <c r="C3" s="16"/>
      <c r="D3" s="16"/>
      <c r="E3" s="16"/>
      <c r="F3" s="16"/>
      <c r="G3" s="16"/>
      <c r="H3" s="17"/>
      <c r="I3" s="17"/>
      <c r="J3" s="17"/>
      <c r="K3" s="17"/>
      <c r="L3" s="17"/>
      <c r="M3" s="17"/>
      <c r="N3" s="18"/>
      <c r="O3" s="18"/>
      <c r="P3" s="18"/>
      <c r="Q3" s="18"/>
      <c r="R3" s="18"/>
      <c r="S3" s="18"/>
      <c r="T3" s="18"/>
      <c r="U3" s="18"/>
      <c r="V3" s="18"/>
      <c r="W3" s="18"/>
      <c r="X3" s="18"/>
      <c r="Y3" s="18"/>
      <c r="Z3" s="18"/>
    </row>
    <row r="4" spans="1:26" ht="15" customHeight="1" x14ac:dyDescent="0.55000000000000004">
      <c r="A4" s="16" t="s">
        <v>34</v>
      </c>
      <c r="B4" s="17"/>
      <c r="C4" s="17"/>
      <c r="D4" s="17"/>
      <c r="E4" s="17"/>
      <c r="F4" s="17"/>
      <c r="G4" s="17"/>
      <c r="H4" s="17"/>
      <c r="I4" s="17"/>
      <c r="J4" s="17"/>
      <c r="K4" s="17"/>
      <c r="L4" s="17"/>
      <c r="M4" s="17"/>
      <c r="N4" s="18"/>
      <c r="O4" s="18"/>
      <c r="P4" s="18"/>
      <c r="Q4" s="18"/>
      <c r="R4" s="18"/>
      <c r="S4" s="18"/>
      <c r="T4" s="18"/>
      <c r="U4" s="18"/>
      <c r="V4" s="18"/>
      <c r="W4" s="18"/>
      <c r="X4" s="18"/>
      <c r="Y4" s="18"/>
      <c r="Z4" s="18"/>
    </row>
    <row r="5" spans="1:26" ht="15" customHeight="1" x14ac:dyDescent="0.55000000000000004">
      <c r="A5" s="17"/>
      <c r="B5" s="17"/>
      <c r="C5" s="17"/>
      <c r="D5" s="17"/>
      <c r="E5" s="17"/>
      <c r="F5" s="17"/>
      <c r="G5" s="17"/>
      <c r="H5" s="17"/>
      <c r="I5" s="17"/>
      <c r="J5" s="17"/>
      <c r="K5" s="17"/>
      <c r="L5" s="17"/>
      <c r="M5" s="17"/>
      <c r="N5" s="18"/>
      <c r="O5" s="18"/>
      <c r="P5" s="18"/>
      <c r="Q5" s="18"/>
      <c r="R5" s="18"/>
      <c r="S5" s="18"/>
      <c r="T5" s="18"/>
      <c r="U5" s="18"/>
      <c r="V5" s="18"/>
      <c r="W5" s="18"/>
      <c r="X5" s="18"/>
      <c r="Y5" s="18"/>
      <c r="Z5" s="18"/>
    </row>
    <row r="6" spans="1:26" ht="15" customHeight="1" x14ac:dyDescent="0.55000000000000004">
      <c r="A6" s="17" t="s">
        <v>35</v>
      </c>
      <c r="B6" s="17"/>
      <c r="C6" s="17"/>
      <c r="D6" s="17"/>
      <c r="E6" s="17"/>
      <c r="F6" s="17"/>
      <c r="G6" s="17"/>
      <c r="H6" s="17"/>
      <c r="I6" s="17"/>
      <c r="J6" s="17"/>
      <c r="K6" s="17"/>
      <c r="L6" s="17"/>
      <c r="M6" s="17"/>
      <c r="N6" s="18"/>
      <c r="O6" s="18"/>
      <c r="P6" s="18"/>
      <c r="Q6" s="18"/>
      <c r="R6" s="18"/>
      <c r="S6" s="18"/>
      <c r="T6" s="18"/>
      <c r="U6" s="18"/>
      <c r="V6" s="18"/>
      <c r="W6" s="18"/>
      <c r="X6" s="18"/>
      <c r="Y6" s="18"/>
      <c r="Z6" s="18"/>
    </row>
    <row r="7" spans="1:26" ht="15" customHeight="1" x14ac:dyDescent="0.55000000000000004">
      <c r="A7" s="17" t="s">
        <v>36</v>
      </c>
      <c r="B7" s="17"/>
      <c r="C7" s="17"/>
      <c r="D7" s="17"/>
      <c r="E7" s="17"/>
      <c r="F7" s="17"/>
      <c r="G7" s="17"/>
      <c r="H7" s="17"/>
      <c r="I7" s="17"/>
      <c r="J7" s="17"/>
      <c r="K7" s="17"/>
      <c r="L7" s="17"/>
      <c r="M7" s="17"/>
      <c r="N7" s="18"/>
      <c r="O7" s="18"/>
      <c r="P7" s="18"/>
      <c r="Q7" s="18"/>
      <c r="R7" s="18"/>
      <c r="S7" s="18"/>
      <c r="T7" s="18"/>
      <c r="U7" s="18"/>
      <c r="V7" s="18"/>
      <c r="W7" s="18"/>
      <c r="X7" s="18"/>
      <c r="Y7" s="18"/>
      <c r="Z7" s="18"/>
    </row>
    <row r="8" spans="1:26" ht="15" customHeight="1" x14ac:dyDescent="0.55000000000000004">
      <c r="A8" s="17" t="s">
        <v>37</v>
      </c>
      <c r="B8" s="17"/>
      <c r="C8" s="17"/>
      <c r="D8" s="17"/>
      <c r="E8" s="17"/>
      <c r="F8" s="17"/>
      <c r="G8" s="17"/>
      <c r="H8" s="17"/>
      <c r="I8" s="17"/>
      <c r="J8" s="17"/>
      <c r="K8" s="17"/>
      <c r="L8" s="17"/>
      <c r="M8" s="17"/>
      <c r="N8" s="18"/>
      <c r="O8" s="18"/>
      <c r="P8" s="18"/>
      <c r="Q8" s="18"/>
      <c r="R8" s="18"/>
      <c r="S8" s="18"/>
      <c r="T8" s="18"/>
      <c r="U8" s="18"/>
      <c r="V8" s="18"/>
      <c r="W8" s="18"/>
      <c r="X8" s="18"/>
      <c r="Y8" s="18"/>
      <c r="Z8" s="18"/>
    </row>
    <row r="9" spans="1:26" ht="15" customHeight="1" x14ac:dyDescent="0.55000000000000004">
      <c r="A9" s="17" t="s">
        <v>38</v>
      </c>
      <c r="B9" s="17"/>
      <c r="C9" s="17"/>
      <c r="D9" s="17"/>
      <c r="E9" s="17"/>
      <c r="F9" s="17"/>
      <c r="G9" s="17"/>
      <c r="H9" s="17"/>
      <c r="I9" s="17"/>
      <c r="J9" s="17"/>
      <c r="K9" s="17"/>
      <c r="L9" s="17"/>
      <c r="M9" s="17"/>
      <c r="N9" s="18"/>
      <c r="O9" s="18"/>
      <c r="P9" s="18"/>
      <c r="Q9" s="18"/>
      <c r="R9" s="18"/>
      <c r="S9" s="18"/>
      <c r="T9" s="18"/>
      <c r="U9" s="18"/>
      <c r="V9" s="18"/>
      <c r="W9" s="18"/>
      <c r="X9" s="18"/>
      <c r="Y9" s="18"/>
      <c r="Z9" s="18"/>
    </row>
    <row r="10" spans="1:26" ht="15" customHeight="1" x14ac:dyDescent="0.55000000000000004">
      <c r="A10" s="17" t="s">
        <v>39</v>
      </c>
      <c r="B10" s="17"/>
      <c r="C10" s="17"/>
      <c r="D10" s="17"/>
      <c r="E10" s="17"/>
      <c r="F10" s="17"/>
      <c r="G10" s="17"/>
      <c r="H10" s="17"/>
      <c r="I10" s="17"/>
      <c r="J10" s="17"/>
      <c r="K10" s="17"/>
      <c r="L10" s="17"/>
      <c r="M10" s="17"/>
      <c r="N10" s="18"/>
      <c r="O10" s="18"/>
      <c r="P10" s="18"/>
      <c r="Q10" s="18"/>
      <c r="R10" s="18"/>
      <c r="S10" s="18"/>
      <c r="T10" s="18"/>
      <c r="U10" s="18"/>
      <c r="V10" s="18"/>
      <c r="W10" s="18"/>
      <c r="X10" s="18"/>
      <c r="Y10" s="18"/>
      <c r="Z10" s="18"/>
    </row>
    <row r="11" spans="1:26" ht="15" customHeight="1" x14ac:dyDescent="0.55000000000000004">
      <c r="A11" s="17" t="s">
        <v>40</v>
      </c>
      <c r="B11" s="17"/>
      <c r="C11" s="17"/>
      <c r="D11" s="17"/>
      <c r="E11" s="17"/>
      <c r="F11" s="17"/>
      <c r="G11" s="17"/>
      <c r="H11" s="17"/>
      <c r="I11" s="17"/>
      <c r="J11" s="17"/>
      <c r="K11" s="17"/>
      <c r="L11" s="17"/>
      <c r="M11" s="17"/>
      <c r="N11" s="18"/>
      <c r="O11" s="18"/>
      <c r="P11" s="18"/>
      <c r="Q11" s="18"/>
      <c r="R11" s="18"/>
      <c r="S11" s="18"/>
      <c r="T11" s="18"/>
      <c r="U11" s="18"/>
      <c r="V11" s="18"/>
      <c r="W11" s="18"/>
      <c r="X11" s="18"/>
      <c r="Y11" s="18"/>
      <c r="Z11" s="18"/>
    </row>
    <row r="12" spans="1:26" ht="15" customHeight="1" x14ac:dyDescent="0.55000000000000004">
      <c r="A12" s="17"/>
      <c r="B12" s="17"/>
      <c r="C12" s="17"/>
      <c r="D12" s="17"/>
      <c r="E12" s="17"/>
      <c r="F12" s="17"/>
      <c r="G12" s="17"/>
      <c r="H12" s="17"/>
      <c r="I12" s="17"/>
      <c r="J12" s="17"/>
      <c r="K12" s="17"/>
      <c r="L12" s="17"/>
      <c r="M12" s="17"/>
      <c r="N12" s="18"/>
      <c r="O12" s="18"/>
      <c r="P12" s="18"/>
      <c r="Q12" s="18"/>
      <c r="R12" s="18"/>
      <c r="S12" s="18"/>
      <c r="T12" s="18"/>
      <c r="U12" s="18"/>
      <c r="V12" s="18"/>
      <c r="W12" s="18"/>
      <c r="X12" s="18"/>
      <c r="Y12" s="18"/>
      <c r="Z12" s="18"/>
    </row>
    <row r="13" spans="1:26" ht="15" customHeight="1" x14ac:dyDescent="0.55000000000000004">
      <c r="A13" s="16" t="s">
        <v>41</v>
      </c>
      <c r="B13" s="17"/>
      <c r="C13" s="17"/>
      <c r="D13" s="17"/>
      <c r="E13" s="17"/>
      <c r="F13" s="17"/>
      <c r="G13" s="17"/>
      <c r="H13" s="17"/>
      <c r="I13" s="17"/>
      <c r="J13" s="17"/>
      <c r="K13" s="17"/>
      <c r="L13" s="17"/>
      <c r="M13" s="17"/>
      <c r="N13" s="18"/>
      <c r="O13" s="18"/>
      <c r="P13" s="18"/>
      <c r="Q13" s="18"/>
      <c r="R13" s="18"/>
      <c r="S13" s="18"/>
      <c r="T13" s="18"/>
      <c r="U13" s="18"/>
      <c r="V13" s="18"/>
      <c r="W13" s="18"/>
      <c r="X13" s="18"/>
      <c r="Y13" s="18"/>
      <c r="Z13" s="18"/>
    </row>
    <row r="14" spans="1:26" ht="15" customHeight="1" x14ac:dyDescent="0.55000000000000004">
      <c r="A14" s="17" t="s">
        <v>42</v>
      </c>
      <c r="B14" s="17"/>
      <c r="C14" s="17"/>
      <c r="D14" s="17"/>
      <c r="E14" s="17"/>
      <c r="F14" s="17"/>
      <c r="G14" s="17"/>
      <c r="H14" s="17"/>
      <c r="I14" s="17"/>
      <c r="J14" s="17"/>
      <c r="K14" s="17"/>
      <c r="L14" s="17"/>
      <c r="M14" s="17"/>
      <c r="N14" s="18"/>
      <c r="O14" s="18"/>
      <c r="P14" s="18"/>
      <c r="Q14" s="18"/>
      <c r="R14" s="18"/>
      <c r="S14" s="18"/>
      <c r="T14" s="18"/>
      <c r="U14" s="18"/>
      <c r="V14" s="18"/>
      <c r="W14" s="18"/>
      <c r="X14" s="18"/>
      <c r="Y14" s="18"/>
      <c r="Z14" s="18"/>
    </row>
    <row r="15" spans="1:26" ht="15" customHeight="1" x14ac:dyDescent="0.55000000000000004">
      <c r="A15" s="17"/>
      <c r="B15" s="17"/>
      <c r="C15" s="17"/>
      <c r="D15" s="17"/>
      <c r="E15" s="17"/>
      <c r="F15" s="17"/>
      <c r="G15" s="17"/>
      <c r="H15" s="17"/>
      <c r="I15" s="17"/>
      <c r="J15" s="17"/>
      <c r="K15" s="17"/>
      <c r="L15" s="17"/>
      <c r="M15" s="17"/>
      <c r="N15" s="18"/>
      <c r="O15" s="18"/>
      <c r="P15" s="18"/>
      <c r="Q15" s="18"/>
      <c r="R15" s="18"/>
      <c r="S15" s="18"/>
      <c r="T15" s="18"/>
      <c r="U15" s="18"/>
      <c r="V15" s="18"/>
      <c r="W15" s="18"/>
      <c r="X15" s="18"/>
      <c r="Y15" s="18"/>
      <c r="Z15" s="18"/>
    </row>
    <row r="16" spans="1:26" ht="15" customHeight="1" x14ac:dyDescent="0.55000000000000004">
      <c r="A16" s="17" t="s">
        <v>43</v>
      </c>
      <c r="B16" s="17"/>
      <c r="C16" s="17"/>
      <c r="D16" s="17"/>
      <c r="E16" s="17"/>
      <c r="F16" s="17"/>
      <c r="G16" s="17"/>
      <c r="H16" s="17"/>
      <c r="I16" s="17"/>
      <c r="J16" s="17"/>
      <c r="K16" s="17"/>
      <c r="L16" s="17"/>
      <c r="M16" s="17"/>
      <c r="N16" s="18"/>
      <c r="O16" s="18"/>
      <c r="P16" s="18"/>
      <c r="Q16" s="18"/>
      <c r="R16" s="18"/>
      <c r="S16" s="18"/>
      <c r="T16" s="18"/>
      <c r="U16" s="18"/>
      <c r="V16" s="18"/>
      <c r="W16" s="18"/>
      <c r="X16" s="18"/>
      <c r="Y16" s="18"/>
      <c r="Z16" s="18"/>
    </row>
    <row r="17" spans="1:26" ht="15" customHeight="1" x14ac:dyDescent="0.55000000000000004">
      <c r="A17" s="19" t="s">
        <v>44</v>
      </c>
      <c r="B17" s="17"/>
      <c r="C17" s="17"/>
      <c r="D17" s="17"/>
      <c r="E17" s="17"/>
      <c r="F17" s="17"/>
      <c r="G17" s="17"/>
      <c r="H17" s="17"/>
      <c r="I17" s="17"/>
      <c r="J17" s="17"/>
      <c r="K17" s="17"/>
      <c r="L17" s="17"/>
      <c r="M17" s="17"/>
      <c r="N17" s="18"/>
      <c r="O17" s="18"/>
      <c r="P17" s="18"/>
      <c r="Q17" s="18"/>
      <c r="R17" s="18"/>
      <c r="S17" s="18"/>
      <c r="T17" s="18"/>
      <c r="U17" s="18"/>
      <c r="V17" s="18"/>
      <c r="W17" s="18"/>
      <c r="X17" s="18"/>
      <c r="Y17" s="18"/>
      <c r="Z17" s="18"/>
    </row>
    <row r="18" spans="1:26" ht="15" customHeight="1" x14ac:dyDescent="0.55000000000000004">
      <c r="A18" s="17" t="s">
        <v>45</v>
      </c>
      <c r="B18" s="17"/>
      <c r="C18" s="17"/>
      <c r="D18" s="17"/>
      <c r="E18" s="17"/>
      <c r="F18" s="17"/>
      <c r="G18" s="17"/>
      <c r="H18" s="17"/>
      <c r="I18" s="17"/>
      <c r="J18" s="17"/>
      <c r="K18" s="17"/>
      <c r="L18" s="17"/>
      <c r="M18" s="17"/>
      <c r="N18" s="18"/>
      <c r="O18" s="18"/>
      <c r="P18" s="18"/>
      <c r="Q18" s="18"/>
      <c r="R18" s="18"/>
      <c r="S18" s="18"/>
      <c r="T18" s="18"/>
      <c r="U18" s="18"/>
      <c r="V18" s="18"/>
      <c r="W18" s="18"/>
      <c r="X18" s="18"/>
      <c r="Y18" s="18"/>
      <c r="Z18" s="18"/>
    </row>
    <row r="19" spans="1:26" ht="15" customHeight="1" x14ac:dyDescent="0.55000000000000004">
      <c r="A19" s="20" t="s">
        <v>46</v>
      </c>
      <c r="B19" s="17"/>
      <c r="C19" s="17"/>
      <c r="D19" s="17"/>
      <c r="E19" s="17"/>
      <c r="F19" s="17"/>
      <c r="G19" s="17"/>
      <c r="H19" s="17"/>
      <c r="I19" s="17"/>
      <c r="J19" s="17"/>
      <c r="K19" s="17"/>
      <c r="L19" s="17"/>
      <c r="M19" s="17"/>
      <c r="N19" s="18"/>
      <c r="O19" s="18"/>
      <c r="P19" s="18"/>
      <c r="Q19" s="18"/>
      <c r="R19" s="18"/>
      <c r="S19" s="18"/>
      <c r="T19" s="18"/>
      <c r="U19" s="18"/>
      <c r="V19" s="18"/>
      <c r="W19" s="18"/>
      <c r="X19" s="18"/>
      <c r="Y19" s="18"/>
      <c r="Z19" s="18"/>
    </row>
    <row r="20" spans="1:26" ht="15" customHeight="1" x14ac:dyDescent="0.55000000000000004">
      <c r="A20" s="17"/>
      <c r="B20" s="17"/>
      <c r="C20" s="17"/>
      <c r="D20" s="17"/>
      <c r="E20" s="17"/>
      <c r="F20" s="17"/>
      <c r="G20" s="17"/>
      <c r="H20" s="17"/>
      <c r="I20" s="17"/>
      <c r="J20" s="17"/>
      <c r="K20" s="17"/>
      <c r="L20" s="17"/>
      <c r="M20" s="17"/>
      <c r="N20" s="18"/>
      <c r="O20" s="18"/>
      <c r="P20" s="18"/>
      <c r="Q20" s="18"/>
      <c r="R20" s="18"/>
      <c r="S20" s="18"/>
      <c r="T20" s="18"/>
      <c r="U20" s="18"/>
      <c r="V20" s="18"/>
      <c r="W20" s="18"/>
      <c r="X20" s="18"/>
      <c r="Y20" s="18"/>
      <c r="Z20" s="18"/>
    </row>
    <row r="21" spans="1:26" ht="15" customHeight="1" x14ac:dyDescent="0.55000000000000004">
      <c r="A21" s="16" t="s">
        <v>47</v>
      </c>
      <c r="B21" s="17"/>
      <c r="C21" s="17"/>
      <c r="D21" s="17"/>
      <c r="E21" s="17"/>
      <c r="F21" s="17"/>
      <c r="G21" s="17"/>
      <c r="H21" s="17"/>
      <c r="I21" s="17"/>
      <c r="J21" s="17"/>
      <c r="K21" s="17"/>
      <c r="L21" s="17"/>
      <c r="M21" s="17"/>
      <c r="N21" s="18"/>
      <c r="O21" s="18"/>
      <c r="P21" s="18"/>
      <c r="Q21" s="18"/>
      <c r="R21" s="18"/>
      <c r="S21" s="18"/>
      <c r="T21" s="18"/>
      <c r="U21" s="18"/>
      <c r="V21" s="18"/>
      <c r="W21" s="18"/>
      <c r="X21" s="18"/>
      <c r="Y21" s="18"/>
      <c r="Z21" s="18"/>
    </row>
    <row r="22" spans="1:26" ht="15" customHeight="1" x14ac:dyDescent="0.55000000000000004">
      <c r="A22" s="17" t="s">
        <v>48</v>
      </c>
      <c r="B22" s="17"/>
      <c r="C22" s="17"/>
      <c r="D22" s="17"/>
      <c r="E22" s="17"/>
      <c r="F22" s="17"/>
      <c r="G22" s="17"/>
      <c r="H22" s="17"/>
      <c r="I22" s="17"/>
      <c r="J22" s="17"/>
      <c r="K22" s="17"/>
      <c r="L22" s="17"/>
      <c r="M22" s="17"/>
      <c r="N22" s="18"/>
      <c r="O22" s="18"/>
      <c r="P22" s="18"/>
      <c r="Q22" s="18"/>
      <c r="R22" s="18"/>
      <c r="S22" s="18"/>
      <c r="T22" s="18"/>
      <c r="U22" s="18"/>
      <c r="V22" s="18"/>
      <c r="W22" s="18"/>
      <c r="X22" s="18"/>
      <c r="Y22" s="18"/>
      <c r="Z22" s="18"/>
    </row>
    <row r="23" spans="1:26" ht="15" customHeight="1" x14ac:dyDescent="0.55000000000000004">
      <c r="A23" s="17"/>
      <c r="B23" s="17"/>
      <c r="C23" s="17"/>
      <c r="D23" s="17"/>
      <c r="E23" s="17"/>
      <c r="F23" s="17"/>
      <c r="G23" s="17"/>
      <c r="H23" s="17"/>
      <c r="I23" s="17"/>
      <c r="J23" s="17"/>
      <c r="K23" s="17"/>
      <c r="L23" s="17"/>
      <c r="M23" s="17"/>
      <c r="N23" s="18"/>
      <c r="O23" s="18"/>
      <c r="P23" s="18"/>
      <c r="Q23" s="18"/>
      <c r="R23" s="18"/>
      <c r="S23" s="18"/>
      <c r="T23" s="18"/>
      <c r="U23" s="18"/>
      <c r="V23" s="18"/>
      <c r="W23" s="18"/>
      <c r="X23" s="18"/>
      <c r="Y23" s="18"/>
      <c r="Z23" s="18"/>
    </row>
    <row r="24" spans="1:26" ht="15" customHeight="1" x14ac:dyDescent="0.55000000000000004">
      <c r="A24" s="16" t="s">
        <v>49</v>
      </c>
      <c r="B24" s="17"/>
      <c r="C24" s="17"/>
      <c r="D24" s="17"/>
      <c r="E24" s="17"/>
      <c r="F24" s="17"/>
      <c r="G24" s="17"/>
      <c r="H24" s="17"/>
      <c r="I24" s="17"/>
      <c r="J24" s="17"/>
      <c r="K24" s="17"/>
      <c r="L24" s="17"/>
      <c r="M24" s="17"/>
      <c r="N24" s="18"/>
      <c r="O24" s="18"/>
      <c r="P24" s="18"/>
      <c r="Q24" s="18"/>
      <c r="R24" s="18"/>
      <c r="S24" s="18"/>
      <c r="T24" s="18"/>
      <c r="U24" s="18"/>
      <c r="V24" s="18"/>
      <c r="W24" s="18"/>
      <c r="X24" s="18"/>
      <c r="Y24" s="18"/>
      <c r="Z24" s="18"/>
    </row>
    <row r="25" spans="1:26" ht="60" x14ac:dyDescent="0.55000000000000004">
      <c r="A25" s="18" t="s">
        <v>50</v>
      </c>
      <c r="B25" s="17"/>
      <c r="C25" s="17"/>
      <c r="D25" s="17"/>
      <c r="E25" s="17"/>
      <c r="F25" s="17"/>
      <c r="G25" s="17"/>
      <c r="H25" s="17"/>
      <c r="I25" s="17"/>
      <c r="J25" s="17"/>
      <c r="K25" s="17"/>
      <c r="L25" s="17"/>
      <c r="M25" s="17"/>
      <c r="N25" s="18"/>
      <c r="O25" s="18"/>
      <c r="P25" s="18"/>
      <c r="Q25" s="18"/>
      <c r="R25" s="18"/>
      <c r="S25" s="18"/>
      <c r="T25" s="18"/>
      <c r="U25" s="18"/>
      <c r="V25" s="18"/>
      <c r="W25" s="18"/>
      <c r="X25" s="18"/>
      <c r="Y25" s="18"/>
      <c r="Z25" s="18"/>
    </row>
    <row r="26" spans="1:26" ht="45" x14ac:dyDescent="0.55000000000000004">
      <c r="A26" s="20" t="s">
        <v>51</v>
      </c>
      <c r="B26" s="17"/>
      <c r="C26" s="17"/>
      <c r="D26" s="17"/>
      <c r="E26" s="17"/>
      <c r="F26" s="17"/>
      <c r="G26" s="17"/>
      <c r="H26" s="17"/>
      <c r="I26" s="17"/>
      <c r="J26" s="17"/>
      <c r="K26" s="17"/>
      <c r="L26" s="17"/>
      <c r="M26" s="17"/>
      <c r="N26" s="18"/>
      <c r="O26" s="18"/>
      <c r="P26" s="18"/>
      <c r="Q26" s="18"/>
      <c r="R26" s="18"/>
      <c r="S26" s="18"/>
      <c r="T26" s="18"/>
      <c r="U26" s="18"/>
      <c r="V26" s="18"/>
      <c r="W26" s="18"/>
      <c r="X26" s="18"/>
      <c r="Y26" s="18"/>
      <c r="Z26" s="18"/>
    </row>
    <row r="27" spans="1:26" ht="60" x14ac:dyDescent="0.55000000000000004">
      <c r="A27" s="17" t="s">
        <v>52</v>
      </c>
      <c r="B27" s="17"/>
      <c r="C27" s="17"/>
      <c r="D27" s="17"/>
      <c r="E27" s="17"/>
      <c r="F27" s="17"/>
      <c r="G27" s="17"/>
      <c r="H27" s="17"/>
      <c r="I27" s="17"/>
      <c r="J27" s="17"/>
      <c r="K27" s="17"/>
      <c r="L27" s="17"/>
      <c r="M27" s="17"/>
      <c r="N27" s="18"/>
      <c r="O27" s="18"/>
      <c r="P27" s="18"/>
      <c r="Q27" s="18"/>
      <c r="R27" s="18"/>
      <c r="S27" s="18"/>
      <c r="T27" s="18"/>
      <c r="U27" s="18"/>
      <c r="V27" s="18"/>
      <c r="W27" s="18"/>
      <c r="X27" s="18"/>
      <c r="Y27" s="18"/>
      <c r="Z27" s="18"/>
    </row>
    <row r="28" spans="1:26" x14ac:dyDescent="0.55000000000000004">
      <c r="A28" s="17"/>
      <c r="B28" s="17"/>
      <c r="C28" s="17"/>
      <c r="D28" s="17"/>
      <c r="E28" s="17"/>
      <c r="F28" s="17"/>
      <c r="G28" s="17"/>
      <c r="H28" s="17"/>
      <c r="I28" s="17"/>
      <c r="J28" s="17"/>
      <c r="K28" s="17"/>
      <c r="L28" s="17"/>
      <c r="M28" s="17"/>
      <c r="N28" s="18"/>
      <c r="O28" s="18"/>
      <c r="P28" s="18"/>
      <c r="Q28" s="18"/>
      <c r="R28" s="18"/>
      <c r="S28" s="18"/>
      <c r="T28" s="18"/>
      <c r="U28" s="18"/>
      <c r="V28" s="18"/>
      <c r="W28" s="18"/>
      <c r="X28" s="18"/>
      <c r="Y28" s="18"/>
      <c r="Z28" s="18"/>
    </row>
    <row r="29" spans="1:26" x14ac:dyDescent="0.55000000000000004">
      <c r="A29" s="16" t="s">
        <v>53</v>
      </c>
      <c r="B29" s="17"/>
      <c r="C29" s="17"/>
      <c r="D29" s="17"/>
      <c r="E29" s="17"/>
      <c r="F29" s="17"/>
      <c r="G29" s="17"/>
      <c r="H29" s="17"/>
      <c r="I29" s="17"/>
      <c r="J29" s="17"/>
      <c r="K29" s="17"/>
      <c r="L29" s="17"/>
      <c r="M29" s="17"/>
      <c r="N29" s="18"/>
      <c r="O29" s="18"/>
      <c r="P29" s="18"/>
      <c r="Q29" s="18"/>
      <c r="R29" s="18"/>
      <c r="S29" s="18"/>
      <c r="T29" s="18"/>
      <c r="U29" s="18"/>
      <c r="V29" s="18"/>
      <c r="W29" s="18"/>
      <c r="X29" s="18"/>
      <c r="Y29" s="18"/>
      <c r="Z29" s="18"/>
    </row>
    <row r="30" spans="1:26" ht="90" x14ac:dyDescent="0.55000000000000004">
      <c r="A30" s="17" t="s">
        <v>54</v>
      </c>
      <c r="B30" s="17"/>
      <c r="C30" s="17"/>
      <c r="D30" s="17"/>
      <c r="E30" s="17"/>
      <c r="F30" s="17"/>
      <c r="G30" s="17"/>
      <c r="H30" s="17"/>
      <c r="I30" s="17"/>
      <c r="J30" s="17"/>
      <c r="K30" s="17"/>
      <c r="L30" s="17"/>
      <c r="M30" s="17"/>
      <c r="N30" s="18"/>
      <c r="O30" s="18"/>
      <c r="P30" s="18"/>
      <c r="Q30" s="18"/>
      <c r="R30" s="18"/>
      <c r="S30" s="18"/>
      <c r="T30" s="18"/>
      <c r="U30" s="18"/>
      <c r="V30" s="18"/>
      <c r="W30" s="18"/>
      <c r="X30" s="18"/>
      <c r="Y30" s="18"/>
      <c r="Z30" s="18"/>
    </row>
    <row r="31" spans="1:26" x14ac:dyDescent="0.55000000000000004">
      <c r="A31" s="17"/>
      <c r="B31" s="17"/>
      <c r="C31" s="17"/>
      <c r="D31" s="17"/>
      <c r="E31" s="17"/>
      <c r="F31" s="17"/>
      <c r="G31" s="17"/>
      <c r="H31" s="17"/>
      <c r="I31" s="17"/>
      <c r="J31" s="17"/>
      <c r="K31" s="17"/>
      <c r="L31" s="17"/>
      <c r="M31" s="17"/>
      <c r="N31" s="18"/>
      <c r="O31" s="18"/>
      <c r="P31" s="18"/>
      <c r="Q31" s="18"/>
      <c r="R31" s="18"/>
      <c r="S31" s="18"/>
      <c r="T31" s="18"/>
      <c r="U31" s="18"/>
      <c r="V31" s="18"/>
      <c r="W31" s="18"/>
      <c r="X31" s="18"/>
      <c r="Y31" s="18"/>
      <c r="Z31" s="18"/>
    </row>
    <row r="32" spans="1:26" ht="45" x14ac:dyDescent="0.55000000000000004">
      <c r="A32" s="17" t="s">
        <v>55</v>
      </c>
      <c r="B32" s="17"/>
      <c r="C32" s="17"/>
      <c r="D32" s="17"/>
      <c r="E32" s="17"/>
      <c r="F32" s="17"/>
      <c r="G32" s="17"/>
      <c r="H32" s="17"/>
      <c r="I32" s="17"/>
      <c r="J32" s="17"/>
      <c r="K32" s="17"/>
      <c r="L32" s="17"/>
      <c r="M32" s="17"/>
      <c r="N32" s="18"/>
      <c r="O32" s="18"/>
      <c r="P32" s="18"/>
      <c r="Q32" s="18"/>
      <c r="R32" s="18"/>
      <c r="S32" s="18"/>
      <c r="T32" s="18"/>
      <c r="U32" s="18"/>
      <c r="V32" s="18"/>
      <c r="W32" s="18"/>
      <c r="X32" s="18"/>
      <c r="Y32" s="18"/>
      <c r="Z32" s="18"/>
    </row>
    <row r="33" spans="1:26" x14ac:dyDescent="0.55000000000000004">
      <c r="A33" s="17"/>
      <c r="B33" s="17"/>
      <c r="C33" s="17"/>
      <c r="D33" s="17"/>
      <c r="E33" s="17"/>
      <c r="F33" s="17"/>
      <c r="G33" s="17"/>
      <c r="H33" s="17"/>
      <c r="I33" s="17"/>
      <c r="J33" s="17"/>
      <c r="K33" s="17"/>
      <c r="L33" s="17"/>
      <c r="M33" s="17"/>
      <c r="N33" s="18"/>
      <c r="O33" s="18"/>
      <c r="P33" s="18"/>
      <c r="Q33" s="18"/>
      <c r="R33" s="18"/>
      <c r="S33" s="18"/>
      <c r="T33" s="18"/>
      <c r="U33" s="18"/>
      <c r="V33" s="18"/>
      <c r="W33" s="18"/>
      <c r="X33" s="18"/>
      <c r="Y33" s="18"/>
      <c r="Z33" s="18"/>
    </row>
    <row r="34" spans="1:26" x14ac:dyDescent="0.55000000000000004">
      <c r="A34" s="17" t="s">
        <v>56</v>
      </c>
      <c r="B34" s="17"/>
      <c r="C34" s="17"/>
      <c r="D34" s="17"/>
      <c r="E34" s="17"/>
      <c r="F34" s="17"/>
      <c r="G34" s="17"/>
      <c r="H34" s="17"/>
      <c r="I34" s="17"/>
      <c r="J34" s="17"/>
      <c r="K34" s="17"/>
      <c r="L34" s="17"/>
      <c r="M34" s="17"/>
      <c r="N34" s="18"/>
      <c r="O34" s="18"/>
      <c r="P34" s="18"/>
      <c r="Q34" s="18"/>
      <c r="R34" s="18"/>
      <c r="S34" s="18"/>
      <c r="T34" s="18"/>
      <c r="U34" s="18"/>
      <c r="V34" s="18"/>
      <c r="W34" s="18"/>
      <c r="X34" s="18"/>
      <c r="Y34" s="18"/>
      <c r="Z34" s="18"/>
    </row>
    <row r="35" spans="1:26" x14ac:dyDescent="0.55000000000000004">
      <c r="A35" s="17"/>
      <c r="B35" s="17"/>
      <c r="C35" s="17"/>
      <c r="D35" s="17"/>
      <c r="E35" s="17"/>
      <c r="F35" s="17"/>
      <c r="G35" s="17"/>
      <c r="H35" s="17"/>
      <c r="I35" s="17"/>
      <c r="J35" s="17"/>
      <c r="K35" s="17"/>
      <c r="L35" s="17"/>
      <c r="M35" s="17"/>
      <c r="N35" s="18"/>
      <c r="O35" s="18"/>
      <c r="P35" s="18"/>
      <c r="Q35" s="18"/>
      <c r="R35" s="18"/>
      <c r="S35" s="18"/>
      <c r="T35" s="18"/>
      <c r="U35" s="18"/>
      <c r="V35" s="18"/>
      <c r="W35" s="18"/>
      <c r="X35" s="18"/>
      <c r="Y35" s="18"/>
      <c r="Z35" s="18"/>
    </row>
    <row r="36" spans="1:26" x14ac:dyDescent="0.55000000000000004">
      <c r="A36" s="17" t="s">
        <v>57</v>
      </c>
      <c r="B36" s="17"/>
      <c r="C36" s="17"/>
      <c r="D36" s="17"/>
      <c r="E36" s="17"/>
      <c r="F36" s="17"/>
      <c r="G36" s="17"/>
      <c r="H36" s="17"/>
      <c r="I36" s="17"/>
      <c r="J36" s="17"/>
      <c r="K36" s="17"/>
      <c r="L36" s="17"/>
      <c r="M36" s="17"/>
      <c r="N36" s="18"/>
      <c r="O36" s="18"/>
      <c r="P36" s="18"/>
      <c r="Q36" s="18"/>
      <c r="R36" s="18"/>
      <c r="S36" s="18"/>
      <c r="T36" s="18"/>
      <c r="U36" s="18"/>
      <c r="V36" s="18"/>
      <c r="W36" s="18"/>
      <c r="X36" s="18"/>
      <c r="Y36" s="18"/>
      <c r="Z36" s="18"/>
    </row>
    <row r="37" spans="1:26" x14ac:dyDescent="0.55000000000000004">
      <c r="A37" s="17" t="s">
        <v>58</v>
      </c>
      <c r="B37" s="17"/>
      <c r="C37" s="17"/>
      <c r="D37" s="17"/>
      <c r="E37" s="17"/>
      <c r="F37" s="17"/>
      <c r="G37" s="17"/>
      <c r="H37" s="17"/>
      <c r="I37" s="17"/>
      <c r="J37" s="17"/>
      <c r="K37" s="17"/>
      <c r="L37" s="17"/>
      <c r="M37" s="17"/>
      <c r="N37" s="18"/>
      <c r="O37" s="18"/>
      <c r="P37" s="18"/>
      <c r="Q37" s="18"/>
      <c r="R37" s="18"/>
      <c r="S37" s="18"/>
      <c r="T37" s="18"/>
      <c r="U37" s="18"/>
      <c r="V37" s="18"/>
      <c r="W37" s="18"/>
      <c r="X37" s="18"/>
      <c r="Y37" s="18"/>
      <c r="Z37" s="18"/>
    </row>
    <row r="38" spans="1:26" ht="30" x14ac:dyDescent="0.55000000000000004">
      <c r="A38" s="17" t="s">
        <v>59</v>
      </c>
      <c r="B38" s="17"/>
      <c r="C38" s="17"/>
      <c r="D38" s="17"/>
      <c r="E38" s="17"/>
      <c r="F38" s="17"/>
      <c r="G38" s="17"/>
      <c r="H38" s="17"/>
      <c r="I38" s="17"/>
      <c r="J38" s="17"/>
      <c r="K38" s="17"/>
      <c r="L38" s="17"/>
      <c r="M38" s="17"/>
      <c r="N38" s="18"/>
      <c r="O38" s="18"/>
      <c r="P38" s="18"/>
      <c r="Q38" s="18"/>
      <c r="R38" s="18"/>
      <c r="S38" s="18"/>
      <c r="T38" s="18"/>
      <c r="U38" s="18"/>
      <c r="V38" s="18"/>
      <c r="W38" s="18"/>
      <c r="X38" s="18"/>
      <c r="Y38" s="18"/>
      <c r="Z38" s="18"/>
    </row>
    <row r="39" spans="1:26" x14ac:dyDescent="0.55000000000000004">
      <c r="A39" s="17" t="s">
        <v>60</v>
      </c>
      <c r="B39" s="17"/>
      <c r="C39" s="17"/>
      <c r="D39" s="17"/>
      <c r="E39" s="17"/>
      <c r="F39" s="17"/>
      <c r="G39" s="17"/>
      <c r="H39" s="17"/>
      <c r="I39" s="17"/>
      <c r="J39" s="17"/>
      <c r="K39" s="17"/>
      <c r="L39" s="17"/>
      <c r="M39" s="17"/>
      <c r="N39" s="18"/>
      <c r="O39" s="18"/>
      <c r="P39" s="18"/>
      <c r="Q39" s="18"/>
      <c r="R39" s="18"/>
      <c r="S39" s="18"/>
      <c r="T39" s="18"/>
      <c r="U39" s="18"/>
      <c r="V39" s="18"/>
      <c r="W39" s="18"/>
      <c r="X39" s="18"/>
      <c r="Y39" s="18"/>
      <c r="Z39" s="18"/>
    </row>
    <row r="40" spans="1:26" x14ac:dyDescent="0.55000000000000004">
      <c r="A40" s="17" t="s">
        <v>61</v>
      </c>
      <c r="B40" s="17"/>
      <c r="C40" s="17"/>
      <c r="D40" s="17"/>
      <c r="E40" s="17"/>
      <c r="F40" s="17"/>
      <c r="G40" s="17"/>
      <c r="H40" s="17"/>
      <c r="I40" s="17"/>
      <c r="J40" s="17"/>
      <c r="K40" s="17"/>
      <c r="L40" s="17"/>
      <c r="M40" s="17"/>
      <c r="N40" s="18"/>
      <c r="O40" s="18"/>
      <c r="P40" s="18"/>
      <c r="Q40" s="18"/>
      <c r="R40" s="18"/>
      <c r="S40" s="18"/>
      <c r="T40" s="18"/>
      <c r="U40" s="18"/>
      <c r="V40" s="18"/>
      <c r="W40" s="18"/>
      <c r="X40" s="18"/>
      <c r="Y40" s="18"/>
      <c r="Z40" s="18"/>
    </row>
    <row r="41" spans="1:26" x14ac:dyDescent="0.55000000000000004">
      <c r="A41" s="17" t="s">
        <v>62</v>
      </c>
      <c r="B41" s="17"/>
      <c r="C41" s="17"/>
      <c r="D41" s="17"/>
      <c r="E41" s="17"/>
      <c r="F41" s="17"/>
      <c r="G41" s="17"/>
      <c r="H41" s="17"/>
      <c r="I41" s="17"/>
      <c r="J41" s="17"/>
      <c r="K41" s="17"/>
      <c r="L41" s="17"/>
      <c r="M41" s="17"/>
      <c r="N41" s="18"/>
      <c r="O41" s="18"/>
      <c r="P41" s="18"/>
      <c r="Q41" s="18"/>
      <c r="R41" s="18"/>
      <c r="S41" s="18"/>
      <c r="T41" s="18"/>
      <c r="U41" s="18"/>
      <c r="V41" s="18"/>
      <c r="W41" s="18"/>
      <c r="X41" s="18"/>
      <c r="Y41" s="18"/>
      <c r="Z41" s="18"/>
    </row>
    <row r="42" spans="1:26" x14ac:dyDescent="0.55000000000000004">
      <c r="A42" s="17"/>
      <c r="B42" s="17"/>
      <c r="C42" s="17"/>
      <c r="D42" s="17"/>
      <c r="E42" s="17"/>
      <c r="F42" s="17"/>
      <c r="G42" s="17"/>
      <c r="H42" s="17"/>
      <c r="I42" s="17"/>
      <c r="J42" s="17"/>
      <c r="K42" s="17"/>
      <c r="L42" s="17"/>
      <c r="M42" s="17"/>
      <c r="N42" s="18"/>
      <c r="O42" s="18"/>
      <c r="P42" s="18"/>
      <c r="Q42" s="18"/>
      <c r="R42" s="18"/>
      <c r="S42" s="18"/>
      <c r="T42" s="18"/>
      <c r="U42" s="18"/>
      <c r="V42" s="18"/>
      <c r="W42" s="18"/>
      <c r="X42" s="18"/>
      <c r="Y42" s="18"/>
      <c r="Z42" s="18"/>
    </row>
    <row r="43" spans="1:26" ht="60" x14ac:dyDescent="0.55000000000000004">
      <c r="A43" s="17" t="s">
        <v>63</v>
      </c>
      <c r="B43" s="17"/>
      <c r="C43" s="17"/>
      <c r="D43" s="17"/>
      <c r="E43" s="17"/>
      <c r="F43" s="17"/>
      <c r="G43" s="17"/>
      <c r="H43" s="17"/>
      <c r="I43" s="17"/>
      <c r="J43" s="17"/>
      <c r="K43" s="17"/>
      <c r="L43" s="17"/>
      <c r="M43" s="17"/>
      <c r="N43" s="18"/>
      <c r="O43" s="18"/>
      <c r="P43" s="18"/>
      <c r="Q43" s="18"/>
      <c r="R43" s="18"/>
      <c r="S43" s="18"/>
      <c r="T43" s="18"/>
      <c r="U43" s="18"/>
      <c r="V43" s="18"/>
      <c r="W43" s="18"/>
      <c r="X43" s="18"/>
      <c r="Y43" s="18"/>
      <c r="Z43" s="18"/>
    </row>
    <row r="44" spans="1:26" ht="75" x14ac:dyDescent="0.55000000000000004">
      <c r="A44" s="17" t="s">
        <v>64</v>
      </c>
      <c r="B44" s="17"/>
      <c r="C44" s="17"/>
      <c r="D44" s="17"/>
      <c r="E44" s="17"/>
      <c r="F44" s="17"/>
      <c r="G44" s="17"/>
      <c r="H44" s="17"/>
      <c r="I44" s="17"/>
      <c r="J44" s="17"/>
      <c r="K44" s="17"/>
      <c r="L44" s="17"/>
      <c r="M44" s="17"/>
      <c r="N44" s="18"/>
      <c r="O44" s="18"/>
      <c r="P44" s="18"/>
      <c r="Q44" s="18"/>
      <c r="R44" s="18"/>
      <c r="S44" s="18"/>
      <c r="T44" s="18"/>
      <c r="U44" s="18"/>
      <c r="V44" s="18"/>
      <c r="W44" s="18"/>
      <c r="X44" s="18"/>
      <c r="Y44" s="18"/>
      <c r="Z44" s="18"/>
    </row>
    <row r="45" spans="1:26" x14ac:dyDescent="0.55000000000000004">
      <c r="A45" s="17"/>
      <c r="B45" s="17"/>
      <c r="C45" s="17"/>
      <c r="D45" s="17"/>
      <c r="E45" s="17"/>
      <c r="F45" s="17"/>
      <c r="G45" s="17"/>
      <c r="H45" s="17"/>
      <c r="I45" s="17"/>
      <c r="J45" s="17"/>
      <c r="K45" s="17"/>
      <c r="L45" s="17"/>
      <c r="M45" s="17"/>
      <c r="N45" s="18"/>
      <c r="O45" s="18"/>
      <c r="P45" s="18"/>
      <c r="Q45" s="18"/>
      <c r="R45" s="18"/>
      <c r="S45" s="18"/>
      <c r="T45" s="18"/>
      <c r="U45" s="18"/>
      <c r="V45" s="18"/>
      <c r="W45" s="18"/>
      <c r="X45" s="18"/>
      <c r="Y45" s="18"/>
      <c r="Z45" s="18"/>
    </row>
    <row r="46" spans="1:26" x14ac:dyDescent="0.55000000000000004">
      <c r="A46" s="16" t="s">
        <v>65</v>
      </c>
      <c r="B46" s="17"/>
      <c r="C46" s="17"/>
      <c r="D46" s="17"/>
      <c r="E46" s="17"/>
      <c r="F46" s="17"/>
      <c r="G46" s="17"/>
      <c r="H46" s="17"/>
      <c r="I46" s="17"/>
      <c r="J46" s="17"/>
      <c r="K46" s="17"/>
      <c r="L46" s="17"/>
      <c r="M46" s="17"/>
      <c r="N46" s="18"/>
      <c r="O46" s="18"/>
      <c r="P46" s="18"/>
      <c r="Q46" s="18"/>
      <c r="R46" s="18"/>
      <c r="S46" s="18"/>
      <c r="T46" s="18"/>
      <c r="U46" s="18"/>
      <c r="V46" s="18"/>
      <c r="W46" s="18"/>
      <c r="X46" s="18"/>
      <c r="Y46" s="18"/>
      <c r="Z46" s="18"/>
    </row>
    <row r="47" spans="1:26" ht="30" x14ac:dyDescent="0.55000000000000004">
      <c r="A47" s="17" t="s">
        <v>66</v>
      </c>
      <c r="B47" s="17"/>
      <c r="C47" s="17"/>
      <c r="D47" s="17"/>
      <c r="E47" s="17"/>
      <c r="F47" s="17"/>
      <c r="G47" s="17"/>
      <c r="H47" s="17"/>
      <c r="I47" s="17"/>
      <c r="J47" s="17"/>
      <c r="K47" s="17"/>
      <c r="L47" s="17"/>
      <c r="M47" s="17"/>
      <c r="N47" s="18"/>
      <c r="O47" s="18"/>
      <c r="P47" s="18"/>
      <c r="Q47" s="18"/>
      <c r="R47" s="18"/>
      <c r="S47" s="18"/>
      <c r="T47" s="18"/>
      <c r="U47" s="18"/>
      <c r="V47" s="18"/>
      <c r="W47" s="18"/>
      <c r="X47" s="18"/>
      <c r="Y47" s="18"/>
      <c r="Z47" s="18"/>
    </row>
    <row r="48" spans="1:26" x14ac:dyDescent="0.55000000000000004">
      <c r="A48" s="17"/>
      <c r="B48" s="17"/>
      <c r="C48" s="17"/>
      <c r="D48" s="17"/>
      <c r="E48" s="17"/>
      <c r="F48" s="17"/>
      <c r="G48" s="17"/>
      <c r="H48" s="17"/>
      <c r="I48" s="17"/>
      <c r="J48" s="17"/>
      <c r="K48" s="17"/>
      <c r="L48" s="17"/>
      <c r="M48" s="17"/>
      <c r="N48" s="18"/>
      <c r="O48" s="18"/>
      <c r="P48" s="18"/>
      <c r="Q48" s="18"/>
      <c r="R48" s="18"/>
      <c r="S48" s="18"/>
      <c r="T48" s="18"/>
      <c r="U48" s="18"/>
      <c r="V48" s="18"/>
      <c r="W48" s="18"/>
      <c r="X48" s="18"/>
      <c r="Y48" s="18"/>
      <c r="Z48" s="18"/>
    </row>
    <row r="49" spans="1:26" x14ac:dyDescent="0.55000000000000004">
      <c r="A49" s="16" t="s">
        <v>67</v>
      </c>
      <c r="B49" s="17"/>
      <c r="C49" s="17"/>
      <c r="D49" s="17"/>
      <c r="E49" s="17"/>
      <c r="F49" s="17"/>
      <c r="G49" s="17"/>
      <c r="H49" s="17"/>
      <c r="I49" s="17"/>
      <c r="J49" s="17"/>
      <c r="K49" s="17"/>
      <c r="L49" s="17"/>
      <c r="M49" s="17"/>
      <c r="N49" s="18"/>
      <c r="O49" s="18"/>
      <c r="P49" s="18"/>
      <c r="Q49" s="18"/>
      <c r="R49" s="18"/>
      <c r="S49" s="18"/>
      <c r="T49" s="18"/>
      <c r="U49" s="18"/>
      <c r="V49" s="18"/>
      <c r="W49" s="18"/>
      <c r="X49" s="18"/>
      <c r="Y49" s="18"/>
      <c r="Z49" s="18"/>
    </row>
    <row r="50" spans="1:26" x14ac:dyDescent="0.55000000000000004">
      <c r="A50" s="17" t="s">
        <v>68</v>
      </c>
      <c r="B50" s="17"/>
      <c r="C50" s="17"/>
      <c r="D50" s="17"/>
      <c r="E50" s="17"/>
      <c r="F50" s="17"/>
      <c r="G50" s="17"/>
      <c r="H50" s="17"/>
      <c r="I50" s="17"/>
      <c r="J50" s="17"/>
      <c r="K50" s="17"/>
      <c r="L50" s="17"/>
      <c r="M50" s="17"/>
      <c r="N50" s="18"/>
      <c r="O50" s="18"/>
      <c r="P50" s="18"/>
      <c r="Q50" s="18"/>
      <c r="R50" s="18"/>
      <c r="S50" s="18"/>
      <c r="T50" s="18"/>
      <c r="U50" s="18"/>
      <c r="V50" s="18"/>
      <c r="W50" s="18"/>
      <c r="X50" s="18"/>
      <c r="Y50" s="18"/>
      <c r="Z50" s="18"/>
    </row>
    <row r="51" spans="1:26" x14ac:dyDescent="0.55000000000000004">
      <c r="A51" s="21" t="s">
        <v>69</v>
      </c>
      <c r="B51" s="17"/>
      <c r="C51" s="17"/>
      <c r="D51" s="17"/>
      <c r="E51" s="17"/>
      <c r="F51" s="17"/>
      <c r="G51" s="17"/>
      <c r="H51" s="17"/>
      <c r="I51" s="17"/>
      <c r="J51" s="17"/>
      <c r="K51" s="17"/>
      <c r="L51" s="17"/>
      <c r="M51" s="17"/>
      <c r="N51" s="18"/>
      <c r="O51" s="18"/>
      <c r="P51" s="18"/>
      <c r="Q51" s="18"/>
      <c r="R51" s="18"/>
      <c r="S51" s="18"/>
      <c r="T51" s="18"/>
      <c r="U51" s="18"/>
      <c r="V51" s="18"/>
      <c r="W51" s="18"/>
      <c r="X51" s="18"/>
      <c r="Y51" s="18"/>
      <c r="Z51" s="18"/>
    </row>
    <row r="52" spans="1:26" x14ac:dyDescent="0.55000000000000004">
      <c r="A52" s="17"/>
      <c r="B52" s="17"/>
      <c r="C52" s="17"/>
      <c r="D52" s="17"/>
      <c r="E52" s="17"/>
      <c r="F52" s="17"/>
      <c r="G52" s="17"/>
      <c r="H52" s="17"/>
      <c r="I52" s="17"/>
      <c r="J52" s="17"/>
      <c r="K52" s="17"/>
      <c r="L52" s="17"/>
      <c r="M52" s="17"/>
      <c r="N52" s="18"/>
      <c r="O52" s="18"/>
      <c r="P52" s="18"/>
      <c r="Q52" s="18"/>
      <c r="R52" s="18"/>
      <c r="S52" s="18"/>
      <c r="T52" s="18"/>
      <c r="U52" s="18"/>
      <c r="V52" s="18"/>
      <c r="W52" s="18"/>
      <c r="X52" s="18"/>
      <c r="Y52" s="18"/>
      <c r="Z52" s="18"/>
    </row>
    <row r="53" spans="1:26" x14ac:dyDescent="0.55000000000000004">
      <c r="A53" s="17"/>
      <c r="B53" s="17"/>
      <c r="C53" s="17"/>
      <c r="D53" s="17"/>
      <c r="E53" s="17"/>
      <c r="F53" s="17"/>
      <c r="G53" s="17"/>
      <c r="H53" s="17"/>
      <c r="I53" s="17"/>
      <c r="J53" s="17"/>
      <c r="K53" s="17"/>
      <c r="L53" s="17"/>
      <c r="M53" s="17"/>
      <c r="N53" s="18"/>
      <c r="O53" s="18"/>
      <c r="P53" s="18"/>
      <c r="Q53" s="18"/>
      <c r="R53" s="18"/>
      <c r="S53" s="18"/>
      <c r="T53" s="18"/>
      <c r="U53" s="18"/>
      <c r="V53" s="18"/>
      <c r="W53" s="18"/>
      <c r="X53" s="18"/>
      <c r="Y53" s="18"/>
      <c r="Z53" s="18"/>
    </row>
    <row r="54" spans="1:26" x14ac:dyDescent="0.55000000000000004">
      <c r="A54" s="17"/>
      <c r="B54" s="17"/>
      <c r="C54" s="17"/>
      <c r="D54" s="17"/>
      <c r="E54" s="17"/>
      <c r="F54" s="17"/>
      <c r="G54" s="17"/>
      <c r="H54" s="17"/>
      <c r="I54" s="17"/>
      <c r="J54" s="17"/>
      <c r="K54" s="17"/>
      <c r="L54" s="17"/>
      <c r="M54" s="17"/>
      <c r="N54" s="18"/>
      <c r="O54" s="18"/>
      <c r="P54" s="18"/>
      <c r="Q54" s="18"/>
      <c r="R54" s="18"/>
      <c r="S54" s="18"/>
      <c r="T54" s="18"/>
      <c r="U54" s="18"/>
      <c r="V54" s="18"/>
      <c r="W54" s="18"/>
      <c r="X54" s="18"/>
      <c r="Y54" s="18"/>
      <c r="Z54" s="18"/>
    </row>
    <row r="55" spans="1:26" x14ac:dyDescent="0.55000000000000004">
      <c r="A55" s="17"/>
      <c r="B55" s="17"/>
      <c r="C55" s="17"/>
      <c r="D55" s="17"/>
      <c r="E55" s="17"/>
      <c r="F55" s="17"/>
      <c r="G55" s="17"/>
      <c r="H55" s="17"/>
      <c r="I55" s="17"/>
      <c r="J55" s="17"/>
      <c r="K55" s="17"/>
      <c r="L55" s="17"/>
      <c r="M55" s="17"/>
      <c r="N55" s="18"/>
      <c r="O55" s="18"/>
      <c r="P55" s="18"/>
      <c r="Q55" s="18"/>
      <c r="R55" s="18"/>
      <c r="S55" s="18"/>
      <c r="T55" s="18"/>
      <c r="U55" s="18"/>
      <c r="V55" s="18"/>
      <c r="W55" s="18"/>
      <c r="X55" s="18"/>
      <c r="Y55" s="18"/>
      <c r="Z55" s="18"/>
    </row>
    <row r="56" spans="1:26" x14ac:dyDescent="0.55000000000000004">
      <c r="A56" s="17"/>
      <c r="B56" s="17"/>
      <c r="C56" s="17"/>
      <c r="D56" s="17"/>
      <c r="E56" s="17"/>
      <c r="F56" s="17"/>
      <c r="G56" s="17"/>
      <c r="H56" s="17"/>
      <c r="I56" s="17"/>
      <c r="J56" s="17"/>
      <c r="K56" s="17"/>
      <c r="L56" s="17"/>
      <c r="M56" s="17"/>
      <c r="N56" s="18"/>
      <c r="O56" s="18"/>
      <c r="P56" s="18"/>
      <c r="Q56" s="18"/>
      <c r="R56" s="18"/>
      <c r="S56" s="18"/>
      <c r="T56" s="18"/>
      <c r="U56" s="18"/>
      <c r="V56" s="18"/>
      <c r="W56" s="18"/>
      <c r="X56" s="18"/>
      <c r="Y56" s="18"/>
      <c r="Z56" s="18"/>
    </row>
    <row r="57" spans="1:26" x14ac:dyDescent="0.55000000000000004">
      <c r="A57" s="17"/>
      <c r="B57" s="17"/>
      <c r="C57" s="17"/>
      <c r="D57" s="17"/>
      <c r="E57" s="17"/>
      <c r="F57" s="17"/>
      <c r="G57" s="17"/>
      <c r="H57" s="17"/>
      <c r="I57" s="17"/>
      <c r="J57" s="17"/>
      <c r="K57" s="17"/>
      <c r="L57" s="17"/>
      <c r="M57" s="17"/>
      <c r="N57" s="18"/>
      <c r="O57" s="18"/>
      <c r="P57" s="18"/>
      <c r="Q57" s="18"/>
      <c r="R57" s="18"/>
      <c r="S57" s="18"/>
      <c r="T57" s="18"/>
      <c r="U57" s="18"/>
      <c r="V57" s="18"/>
      <c r="W57" s="18"/>
      <c r="X57" s="18"/>
      <c r="Y57" s="18"/>
      <c r="Z57" s="18"/>
    </row>
    <row r="58" spans="1:26" x14ac:dyDescent="0.55000000000000004">
      <c r="A58" s="17"/>
      <c r="B58" s="17"/>
      <c r="C58" s="17"/>
      <c r="D58" s="17"/>
      <c r="E58" s="17"/>
      <c r="F58" s="17"/>
      <c r="G58" s="17"/>
      <c r="H58" s="17"/>
      <c r="I58" s="17"/>
      <c r="J58" s="17"/>
      <c r="K58" s="17"/>
      <c r="L58" s="17"/>
      <c r="M58" s="17"/>
      <c r="N58" s="18"/>
      <c r="O58" s="18"/>
      <c r="P58" s="18"/>
      <c r="Q58" s="18"/>
      <c r="R58" s="18"/>
      <c r="S58" s="18"/>
      <c r="T58" s="18"/>
      <c r="U58" s="18"/>
      <c r="V58" s="18"/>
      <c r="W58" s="18"/>
      <c r="X58" s="18"/>
      <c r="Y58" s="18"/>
      <c r="Z58" s="18"/>
    </row>
    <row r="59" spans="1:26" x14ac:dyDescent="0.55000000000000004">
      <c r="A59" s="17"/>
      <c r="B59" s="17"/>
      <c r="C59" s="17"/>
      <c r="D59" s="17"/>
      <c r="E59" s="17"/>
      <c r="F59" s="17"/>
      <c r="G59" s="17"/>
      <c r="H59" s="17"/>
      <c r="I59" s="17"/>
      <c r="J59" s="17"/>
      <c r="K59" s="17"/>
      <c r="L59" s="17"/>
      <c r="M59" s="17"/>
      <c r="N59" s="18"/>
      <c r="O59" s="18"/>
      <c r="P59" s="18"/>
      <c r="Q59" s="18"/>
      <c r="R59" s="18"/>
      <c r="S59" s="18"/>
      <c r="T59" s="18"/>
      <c r="U59" s="18"/>
      <c r="V59" s="18"/>
      <c r="W59" s="18"/>
      <c r="X59" s="18"/>
      <c r="Y59" s="18"/>
      <c r="Z59" s="18"/>
    </row>
    <row r="60" spans="1:26" x14ac:dyDescent="0.55000000000000004">
      <c r="A60" s="17"/>
      <c r="B60" s="17"/>
      <c r="C60" s="17"/>
      <c r="D60" s="17"/>
      <c r="E60" s="17"/>
      <c r="F60" s="17"/>
      <c r="G60" s="17"/>
      <c r="H60" s="17"/>
      <c r="I60" s="17"/>
      <c r="J60" s="17"/>
      <c r="K60" s="17"/>
      <c r="L60" s="17"/>
      <c r="M60" s="17"/>
      <c r="N60" s="18"/>
      <c r="O60" s="18"/>
      <c r="P60" s="18"/>
      <c r="Q60" s="18"/>
      <c r="R60" s="18"/>
      <c r="S60" s="18"/>
      <c r="T60" s="18"/>
      <c r="U60" s="18"/>
      <c r="V60" s="18"/>
      <c r="W60" s="18"/>
      <c r="X60" s="18"/>
      <c r="Y60" s="18"/>
      <c r="Z60" s="18"/>
    </row>
    <row r="61" spans="1:26" x14ac:dyDescent="0.55000000000000004">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x14ac:dyDescent="0.55000000000000004">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x14ac:dyDescent="0.55000000000000004">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x14ac:dyDescent="0.5500000000000000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x14ac:dyDescent="0.55000000000000004">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x14ac:dyDescent="0.55000000000000004">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x14ac:dyDescent="0.55000000000000004">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x14ac:dyDescent="0.55000000000000004">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x14ac:dyDescent="0.55000000000000004">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x14ac:dyDescent="0.55000000000000004">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x14ac:dyDescent="0.55000000000000004">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x14ac:dyDescent="0.55000000000000004">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x14ac:dyDescent="0.55000000000000004">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x14ac:dyDescent="0.5500000000000000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x14ac:dyDescent="0.55000000000000004">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x14ac:dyDescent="0.55000000000000004">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x14ac:dyDescent="0.55000000000000004">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x14ac:dyDescent="0.55000000000000004">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x14ac:dyDescent="0.55000000000000004">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x14ac:dyDescent="0.55000000000000004">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x14ac:dyDescent="0.55000000000000004">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x14ac:dyDescent="0.55000000000000004">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x14ac:dyDescent="0.55000000000000004">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x14ac:dyDescent="0.5500000000000000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x14ac:dyDescent="0.55000000000000004">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x14ac:dyDescent="0.55000000000000004">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x14ac:dyDescent="0.55000000000000004">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x14ac:dyDescent="0.55000000000000004">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x14ac:dyDescent="0.55000000000000004">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x14ac:dyDescent="0.55000000000000004">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x14ac:dyDescent="0.55000000000000004">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x14ac:dyDescent="0.55000000000000004">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x14ac:dyDescent="0.55000000000000004">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x14ac:dyDescent="0.5500000000000000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x14ac:dyDescent="0.55000000000000004">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x14ac:dyDescent="0.55000000000000004">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x14ac:dyDescent="0.55000000000000004">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x14ac:dyDescent="0.55000000000000004">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x14ac:dyDescent="0.55000000000000004">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x14ac:dyDescent="0.55000000000000004">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x14ac:dyDescent="0.55000000000000004">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x14ac:dyDescent="0.55000000000000004">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x14ac:dyDescent="0.55000000000000004">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x14ac:dyDescent="0.550000000000000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x14ac:dyDescent="0.55000000000000004">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x14ac:dyDescent="0.55000000000000004">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x14ac:dyDescent="0.55000000000000004">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x14ac:dyDescent="0.55000000000000004">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x14ac:dyDescent="0.55000000000000004">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x14ac:dyDescent="0.55000000000000004">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x14ac:dyDescent="0.55000000000000004">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x14ac:dyDescent="0.55000000000000004">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x14ac:dyDescent="0.55000000000000004">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x14ac:dyDescent="0.5500000000000000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x14ac:dyDescent="0.55000000000000004">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x14ac:dyDescent="0.55000000000000004">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x14ac:dyDescent="0.55000000000000004">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x14ac:dyDescent="0.55000000000000004">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x14ac:dyDescent="0.55000000000000004">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x14ac:dyDescent="0.55000000000000004">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x14ac:dyDescent="0.55000000000000004">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x14ac:dyDescent="0.55000000000000004">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x14ac:dyDescent="0.55000000000000004">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x14ac:dyDescent="0.5500000000000000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x14ac:dyDescent="0.55000000000000004">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x14ac:dyDescent="0.55000000000000004">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x14ac:dyDescent="0.55000000000000004">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x14ac:dyDescent="0.55000000000000004">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x14ac:dyDescent="0.55000000000000004">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x14ac:dyDescent="0.55000000000000004">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x14ac:dyDescent="0.55000000000000004">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x14ac:dyDescent="0.55000000000000004">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x14ac:dyDescent="0.55000000000000004">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x14ac:dyDescent="0.5500000000000000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x14ac:dyDescent="0.55000000000000004">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x14ac:dyDescent="0.55000000000000004">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x14ac:dyDescent="0.55000000000000004">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x14ac:dyDescent="0.55000000000000004">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x14ac:dyDescent="0.55000000000000004">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x14ac:dyDescent="0.55000000000000004">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x14ac:dyDescent="0.55000000000000004">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x14ac:dyDescent="0.55000000000000004">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x14ac:dyDescent="0.55000000000000004">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x14ac:dyDescent="0.5500000000000000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x14ac:dyDescent="0.55000000000000004">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x14ac:dyDescent="0.55000000000000004">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x14ac:dyDescent="0.55000000000000004">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x14ac:dyDescent="0.55000000000000004">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x14ac:dyDescent="0.55000000000000004">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x14ac:dyDescent="0.55000000000000004">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x14ac:dyDescent="0.55000000000000004">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x14ac:dyDescent="0.55000000000000004">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x14ac:dyDescent="0.55000000000000004">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x14ac:dyDescent="0.5500000000000000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x14ac:dyDescent="0.55000000000000004">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x14ac:dyDescent="0.55000000000000004">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x14ac:dyDescent="0.55000000000000004">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x14ac:dyDescent="0.55000000000000004">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x14ac:dyDescent="0.55000000000000004">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x14ac:dyDescent="0.55000000000000004">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x14ac:dyDescent="0.55000000000000004">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x14ac:dyDescent="0.55000000000000004">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x14ac:dyDescent="0.55000000000000004">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x14ac:dyDescent="0.5500000000000000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x14ac:dyDescent="0.55000000000000004">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x14ac:dyDescent="0.55000000000000004">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x14ac:dyDescent="0.55000000000000004">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x14ac:dyDescent="0.55000000000000004">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x14ac:dyDescent="0.55000000000000004">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x14ac:dyDescent="0.55000000000000004">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x14ac:dyDescent="0.55000000000000004">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x14ac:dyDescent="0.55000000000000004">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x14ac:dyDescent="0.55000000000000004">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x14ac:dyDescent="0.5500000000000000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x14ac:dyDescent="0.55000000000000004">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x14ac:dyDescent="0.55000000000000004">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x14ac:dyDescent="0.55000000000000004">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x14ac:dyDescent="0.55000000000000004">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x14ac:dyDescent="0.55000000000000004">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x14ac:dyDescent="0.55000000000000004">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x14ac:dyDescent="0.55000000000000004">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x14ac:dyDescent="0.55000000000000004">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x14ac:dyDescent="0.55000000000000004">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x14ac:dyDescent="0.5500000000000000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x14ac:dyDescent="0.55000000000000004">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x14ac:dyDescent="0.55000000000000004">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x14ac:dyDescent="0.55000000000000004">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x14ac:dyDescent="0.55000000000000004">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x14ac:dyDescent="0.55000000000000004">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x14ac:dyDescent="0.55000000000000004">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x14ac:dyDescent="0.55000000000000004">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x14ac:dyDescent="0.55000000000000004">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x14ac:dyDescent="0.55000000000000004">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x14ac:dyDescent="0.5500000000000000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x14ac:dyDescent="0.55000000000000004">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x14ac:dyDescent="0.55000000000000004">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x14ac:dyDescent="0.55000000000000004">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x14ac:dyDescent="0.55000000000000004">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x14ac:dyDescent="0.55000000000000004">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x14ac:dyDescent="0.55000000000000004">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x14ac:dyDescent="0.55000000000000004">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x14ac:dyDescent="0.55000000000000004">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x14ac:dyDescent="0.55000000000000004">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x14ac:dyDescent="0.550000000000000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x14ac:dyDescent="0.55000000000000004">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x14ac:dyDescent="0.55000000000000004">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x14ac:dyDescent="0.55000000000000004">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x14ac:dyDescent="0.55000000000000004">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x14ac:dyDescent="0.55000000000000004">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x14ac:dyDescent="0.55000000000000004">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x14ac:dyDescent="0.55000000000000004">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x14ac:dyDescent="0.55000000000000004">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x14ac:dyDescent="0.55000000000000004">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x14ac:dyDescent="0.5500000000000000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x14ac:dyDescent="0.55000000000000004">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x14ac:dyDescent="0.55000000000000004">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x14ac:dyDescent="0.55000000000000004">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x14ac:dyDescent="0.55000000000000004">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x14ac:dyDescent="0.55000000000000004">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x14ac:dyDescent="0.55000000000000004">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x14ac:dyDescent="0.55000000000000004">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x14ac:dyDescent="0.55000000000000004">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x14ac:dyDescent="0.55000000000000004">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x14ac:dyDescent="0.5500000000000000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x14ac:dyDescent="0.55000000000000004">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x14ac:dyDescent="0.55000000000000004">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x14ac:dyDescent="0.55000000000000004">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x14ac:dyDescent="0.55000000000000004">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x14ac:dyDescent="0.55000000000000004">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x14ac:dyDescent="0.55000000000000004">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x14ac:dyDescent="0.55000000000000004">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x14ac:dyDescent="0.55000000000000004">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x14ac:dyDescent="0.55000000000000004">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x14ac:dyDescent="0.5500000000000000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x14ac:dyDescent="0.55000000000000004">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x14ac:dyDescent="0.55000000000000004">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x14ac:dyDescent="0.55000000000000004">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x14ac:dyDescent="0.55000000000000004">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x14ac:dyDescent="0.55000000000000004">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x14ac:dyDescent="0.55000000000000004">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x14ac:dyDescent="0.55000000000000004">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x14ac:dyDescent="0.55000000000000004">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x14ac:dyDescent="0.55000000000000004">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x14ac:dyDescent="0.5500000000000000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x14ac:dyDescent="0.55000000000000004">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x14ac:dyDescent="0.55000000000000004">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x14ac:dyDescent="0.55000000000000004">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x14ac:dyDescent="0.55000000000000004">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x14ac:dyDescent="0.55000000000000004">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x14ac:dyDescent="0.55000000000000004">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x14ac:dyDescent="0.55000000000000004">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x14ac:dyDescent="0.55000000000000004">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x14ac:dyDescent="0.55000000000000004">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x14ac:dyDescent="0.5500000000000000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x14ac:dyDescent="0.55000000000000004">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x14ac:dyDescent="0.55000000000000004">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x14ac:dyDescent="0.55000000000000004">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x14ac:dyDescent="0.55000000000000004">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x14ac:dyDescent="0.55000000000000004">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x14ac:dyDescent="0.55000000000000004">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x14ac:dyDescent="0.55000000000000004">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x14ac:dyDescent="0.55000000000000004">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x14ac:dyDescent="0.55000000000000004">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x14ac:dyDescent="0.5500000000000000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x14ac:dyDescent="0.55000000000000004">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x14ac:dyDescent="0.55000000000000004">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x14ac:dyDescent="0.55000000000000004">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x14ac:dyDescent="0.55000000000000004">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x14ac:dyDescent="0.55000000000000004">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x14ac:dyDescent="0.55000000000000004">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x14ac:dyDescent="0.55000000000000004">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x14ac:dyDescent="0.55000000000000004">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x14ac:dyDescent="0.55000000000000004">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x14ac:dyDescent="0.5500000000000000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x14ac:dyDescent="0.55000000000000004">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x14ac:dyDescent="0.55000000000000004">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x14ac:dyDescent="0.55000000000000004">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x14ac:dyDescent="0.55000000000000004">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x14ac:dyDescent="0.55000000000000004">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x14ac:dyDescent="0.55000000000000004">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x14ac:dyDescent="0.55000000000000004">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x14ac:dyDescent="0.55000000000000004">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x14ac:dyDescent="0.55000000000000004">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x14ac:dyDescent="0.5500000000000000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x14ac:dyDescent="0.55000000000000004">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x14ac:dyDescent="0.55000000000000004">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x14ac:dyDescent="0.55000000000000004">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x14ac:dyDescent="0.55000000000000004">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x14ac:dyDescent="0.55000000000000004">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x14ac:dyDescent="0.55000000000000004">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x14ac:dyDescent="0.55000000000000004">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x14ac:dyDescent="0.55000000000000004">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x14ac:dyDescent="0.55000000000000004">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x14ac:dyDescent="0.5500000000000000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x14ac:dyDescent="0.55000000000000004">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x14ac:dyDescent="0.55000000000000004">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x14ac:dyDescent="0.55000000000000004">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x14ac:dyDescent="0.55000000000000004">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x14ac:dyDescent="0.55000000000000004">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x14ac:dyDescent="0.55000000000000004">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x14ac:dyDescent="0.55000000000000004">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x14ac:dyDescent="0.55000000000000004">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x14ac:dyDescent="0.55000000000000004">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x14ac:dyDescent="0.550000000000000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x14ac:dyDescent="0.55000000000000004">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x14ac:dyDescent="0.55000000000000004">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x14ac:dyDescent="0.55000000000000004">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x14ac:dyDescent="0.55000000000000004">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x14ac:dyDescent="0.55000000000000004">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x14ac:dyDescent="0.55000000000000004">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x14ac:dyDescent="0.55000000000000004">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x14ac:dyDescent="0.55000000000000004">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x14ac:dyDescent="0.55000000000000004">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x14ac:dyDescent="0.5500000000000000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x14ac:dyDescent="0.55000000000000004">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x14ac:dyDescent="0.55000000000000004">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x14ac:dyDescent="0.55000000000000004">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x14ac:dyDescent="0.55000000000000004">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x14ac:dyDescent="0.55000000000000004">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x14ac:dyDescent="0.55000000000000004">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x14ac:dyDescent="0.55000000000000004">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x14ac:dyDescent="0.55000000000000004">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x14ac:dyDescent="0.55000000000000004">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x14ac:dyDescent="0.5500000000000000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x14ac:dyDescent="0.55000000000000004">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x14ac:dyDescent="0.55000000000000004">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x14ac:dyDescent="0.55000000000000004">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x14ac:dyDescent="0.55000000000000004">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x14ac:dyDescent="0.55000000000000004">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x14ac:dyDescent="0.55000000000000004">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x14ac:dyDescent="0.55000000000000004">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x14ac:dyDescent="0.55000000000000004">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x14ac:dyDescent="0.55000000000000004">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x14ac:dyDescent="0.5500000000000000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x14ac:dyDescent="0.55000000000000004">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x14ac:dyDescent="0.55000000000000004">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x14ac:dyDescent="0.55000000000000004">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x14ac:dyDescent="0.55000000000000004">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x14ac:dyDescent="0.55000000000000004">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x14ac:dyDescent="0.55000000000000004">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x14ac:dyDescent="0.55000000000000004">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x14ac:dyDescent="0.55000000000000004">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x14ac:dyDescent="0.55000000000000004">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x14ac:dyDescent="0.5500000000000000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x14ac:dyDescent="0.55000000000000004">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x14ac:dyDescent="0.55000000000000004">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x14ac:dyDescent="0.55000000000000004">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x14ac:dyDescent="0.55000000000000004">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x14ac:dyDescent="0.55000000000000004">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x14ac:dyDescent="0.55000000000000004">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x14ac:dyDescent="0.55000000000000004">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x14ac:dyDescent="0.55000000000000004">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x14ac:dyDescent="0.55000000000000004">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x14ac:dyDescent="0.5500000000000000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x14ac:dyDescent="0.55000000000000004">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x14ac:dyDescent="0.55000000000000004">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x14ac:dyDescent="0.55000000000000004">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x14ac:dyDescent="0.55000000000000004">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x14ac:dyDescent="0.55000000000000004">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x14ac:dyDescent="0.55000000000000004">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x14ac:dyDescent="0.55000000000000004">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x14ac:dyDescent="0.55000000000000004">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x14ac:dyDescent="0.55000000000000004">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x14ac:dyDescent="0.5500000000000000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x14ac:dyDescent="0.55000000000000004">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x14ac:dyDescent="0.55000000000000004">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x14ac:dyDescent="0.55000000000000004">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x14ac:dyDescent="0.55000000000000004">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x14ac:dyDescent="0.55000000000000004">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x14ac:dyDescent="0.55000000000000004">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x14ac:dyDescent="0.55000000000000004">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x14ac:dyDescent="0.55000000000000004">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x14ac:dyDescent="0.55000000000000004">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x14ac:dyDescent="0.5500000000000000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x14ac:dyDescent="0.55000000000000004">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x14ac:dyDescent="0.55000000000000004">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x14ac:dyDescent="0.55000000000000004">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x14ac:dyDescent="0.55000000000000004">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x14ac:dyDescent="0.55000000000000004">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x14ac:dyDescent="0.55000000000000004">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x14ac:dyDescent="0.55000000000000004">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x14ac:dyDescent="0.55000000000000004">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x14ac:dyDescent="0.55000000000000004">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x14ac:dyDescent="0.5500000000000000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x14ac:dyDescent="0.55000000000000004">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x14ac:dyDescent="0.55000000000000004">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x14ac:dyDescent="0.55000000000000004">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x14ac:dyDescent="0.55000000000000004">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x14ac:dyDescent="0.55000000000000004">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x14ac:dyDescent="0.55000000000000004">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x14ac:dyDescent="0.55000000000000004">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x14ac:dyDescent="0.55000000000000004">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x14ac:dyDescent="0.55000000000000004">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x14ac:dyDescent="0.5500000000000000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x14ac:dyDescent="0.55000000000000004">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x14ac:dyDescent="0.55000000000000004">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x14ac:dyDescent="0.55000000000000004">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x14ac:dyDescent="0.55000000000000004">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x14ac:dyDescent="0.55000000000000004">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x14ac:dyDescent="0.55000000000000004">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x14ac:dyDescent="0.55000000000000004">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x14ac:dyDescent="0.55000000000000004">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x14ac:dyDescent="0.55000000000000004">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x14ac:dyDescent="0.550000000000000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x14ac:dyDescent="0.55000000000000004">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x14ac:dyDescent="0.55000000000000004">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x14ac:dyDescent="0.55000000000000004">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x14ac:dyDescent="0.55000000000000004">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x14ac:dyDescent="0.55000000000000004">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x14ac:dyDescent="0.55000000000000004">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x14ac:dyDescent="0.55000000000000004">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x14ac:dyDescent="0.55000000000000004">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x14ac:dyDescent="0.55000000000000004">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x14ac:dyDescent="0.5500000000000000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x14ac:dyDescent="0.55000000000000004">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x14ac:dyDescent="0.55000000000000004">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x14ac:dyDescent="0.55000000000000004">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x14ac:dyDescent="0.55000000000000004">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x14ac:dyDescent="0.55000000000000004">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x14ac:dyDescent="0.55000000000000004">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x14ac:dyDescent="0.55000000000000004">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x14ac:dyDescent="0.55000000000000004">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x14ac:dyDescent="0.55000000000000004">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x14ac:dyDescent="0.5500000000000000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x14ac:dyDescent="0.55000000000000004">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x14ac:dyDescent="0.55000000000000004">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x14ac:dyDescent="0.55000000000000004">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x14ac:dyDescent="0.55000000000000004">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x14ac:dyDescent="0.55000000000000004">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x14ac:dyDescent="0.55000000000000004">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x14ac:dyDescent="0.55000000000000004">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x14ac:dyDescent="0.55000000000000004">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x14ac:dyDescent="0.55000000000000004">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x14ac:dyDescent="0.5500000000000000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x14ac:dyDescent="0.55000000000000004">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x14ac:dyDescent="0.55000000000000004">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x14ac:dyDescent="0.55000000000000004">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x14ac:dyDescent="0.55000000000000004">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x14ac:dyDescent="0.55000000000000004">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x14ac:dyDescent="0.55000000000000004">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x14ac:dyDescent="0.55000000000000004">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x14ac:dyDescent="0.55000000000000004">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x14ac:dyDescent="0.55000000000000004">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x14ac:dyDescent="0.5500000000000000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x14ac:dyDescent="0.55000000000000004">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x14ac:dyDescent="0.55000000000000004">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x14ac:dyDescent="0.55000000000000004">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x14ac:dyDescent="0.55000000000000004">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x14ac:dyDescent="0.55000000000000004">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x14ac:dyDescent="0.55000000000000004">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x14ac:dyDescent="0.55000000000000004">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x14ac:dyDescent="0.55000000000000004">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x14ac:dyDescent="0.55000000000000004">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x14ac:dyDescent="0.5500000000000000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x14ac:dyDescent="0.55000000000000004">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x14ac:dyDescent="0.55000000000000004">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x14ac:dyDescent="0.55000000000000004">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x14ac:dyDescent="0.55000000000000004">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x14ac:dyDescent="0.55000000000000004">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x14ac:dyDescent="0.55000000000000004">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x14ac:dyDescent="0.55000000000000004">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x14ac:dyDescent="0.55000000000000004">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x14ac:dyDescent="0.55000000000000004">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x14ac:dyDescent="0.5500000000000000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x14ac:dyDescent="0.55000000000000004">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x14ac:dyDescent="0.55000000000000004">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x14ac:dyDescent="0.55000000000000004">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x14ac:dyDescent="0.55000000000000004">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x14ac:dyDescent="0.55000000000000004">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x14ac:dyDescent="0.55000000000000004">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x14ac:dyDescent="0.55000000000000004">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x14ac:dyDescent="0.55000000000000004">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x14ac:dyDescent="0.55000000000000004">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x14ac:dyDescent="0.5500000000000000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x14ac:dyDescent="0.55000000000000004">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x14ac:dyDescent="0.55000000000000004">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x14ac:dyDescent="0.55000000000000004">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x14ac:dyDescent="0.55000000000000004">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x14ac:dyDescent="0.55000000000000004">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x14ac:dyDescent="0.55000000000000004">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x14ac:dyDescent="0.55000000000000004">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x14ac:dyDescent="0.55000000000000004">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x14ac:dyDescent="0.55000000000000004">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x14ac:dyDescent="0.5500000000000000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x14ac:dyDescent="0.55000000000000004">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x14ac:dyDescent="0.55000000000000004">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x14ac:dyDescent="0.55000000000000004">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x14ac:dyDescent="0.55000000000000004">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x14ac:dyDescent="0.55000000000000004">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x14ac:dyDescent="0.55000000000000004">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x14ac:dyDescent="0.55000000000000004">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x14ac:dyDescent="0.55000000000000004">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x14ac:dyDescent="0.55000000000000004">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x14ac:dyDescent="0.5500000000000000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x14ac:dyDescent="0.55000000000000004">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x14ac:dyDescent="0.55000000000000004">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x14ac:dyDescent="0.55000000000000004">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x14ac:dyDescent="0.55000000000000004">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x14ac:dyDescent="0.55000000000000004">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x14ac:dyDescent="0.55000000000000004">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x14ac:dyDescent="0.55000000000000004">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x14ac:dyDescent="0.55000000000000004">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x14ac:dyDescent="0.55000000000000004">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x14ac:dyDescent="0.550000000000000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x14ac:dyDescent="0.55000000000000004">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x14ac:dyDescent="0.55000000000000004">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x14ac:dyDescent="0.55000000000000004">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x14ac:dyDescent="0.55000000000000004">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x14ac:dyDescent="0.55000000000000004">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x14ac:dyDescent="0.55000000000000004">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x14ac:dyDescent="0.55000000000000004">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x14ac:dyDescent="0.55000000000000004">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x14ac:dyDescent="0.55000000000000004">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x14ac:dyDescent="0.5500000000000000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x14ac:dyDescent="0.55000000000000004">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x14ac:dyDescent="0.55000000000000004">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x14ac:dyDescent="0.55000000000000004">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x14ac:dyDescent="0.55000000000000004">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x14ac:dyDescent="0.55000000000000004">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x14ac:dyDescent="0.55000000000000004">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x14ac:dyDescent="0.55000000000000004">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x14ac:dyDescent="0.55000000000000004">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x14ac:dyDescent="0.55000000000000004">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x14ac:dyDescent="0.5500000000000000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x14ac:dyDescent="0.55000000000000004">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x14ac:dyDescent="0.55000000000000004">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x14ac:dyDescent="0.55000000000000004">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x14ac:dyDescent="0.55000000000000004">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x14ac:dyDescent="0.55000000000000004">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x14ac:dyDescent="0.55000000000000004">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x14ac:dyDescent="0.55000000000000004">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x14ac:dyDescent="0.55000000000000004">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x14ac:dyDescent="0.55000000000000004">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x14ac:dyDescent="0.5500000000000000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x14ac:dyDescent="0.55000000000000004">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x14ac:dyDescent="0.55000000000000004">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x14ac:dyDescent="0.55000000000000004">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x14ac:dyDescent="0.55000000000000004">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x14ac:dyDescent="0.55000000000000004">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x14ac:dyDescent="0.55000000000000004">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x14ac:dyDescent="0.55000000000000004">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x14ac:dyDescent="0.55000000000000004">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x14ac:dyDescent="0.55000000000000004">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x14ac:dyDescent="0.5500000000000000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x14ac:dyDescent="0.55000000000000004">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x14ac:dyDescent="0.55000000000000004">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x14ac:dyDescent="0.55000000000000004">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x14ac:dyDescent="0.55000000000000004">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x14ac:dyDescent="0.55000000000000004">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x14ac:dyDescent="0.55000000000000004">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x14ac:dyDescent="0.55000000000000004">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x14ac:dyDescent="0.55000000000000004">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x14ac:dyDescent="0.55000000000000004">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x14ac:dyDescent="0.5500000000000000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x14ac:dyDescent="0.55000000000000004">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x14ac:dyDescent="0.55000000000000004">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x14ac:dyDescent="0.55000000000000004">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x14ac:dyDescent="0.55000000000000004">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x14ac:dyDescent="0.55000000000000004">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x14ac:dyDescent="0.55000000000000004">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x14ac:dyDescent="0.55000000000000004">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x14ac:dyDescent="0.55000000000000004">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x14ac:dyDescent="0.55000000000000004">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x14ac:dyDescent="0.5500000000000000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x14ac:dyDescent="0.55000000000000004">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x14ac:dyDescent="0.55000000000000004">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x14ac:dyDescent="0.55000000000000004">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x14ac:dyDescent="0.55000000000000004">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x14ac:dyDescent="0.55000000000000004">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x14ac:dyDescent="0.55000000000000004">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x14ac:dyDescent="0.55000000000000004">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x14ac:dyDescent="0.55000000000000004">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x14ac:dyDescent="0.55000000000000004">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x14ac:dyDescent="0.5500000000000000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x14ac:dyDescent="0.55000000000000004">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x14ac:dyDescent="0.55000000000000004">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x14ac:dyDescent="0.55000000000000004">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x14ac:dyDescent="0.55000000000000004">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x14ac:dyDescent="0.55000000000000004">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x14ac:dyDescent="0.55000000000000004">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x14ac:dyDescent="0.55000000000000004">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x14ac:dyDescent="0.55000000000000004">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x14ac:dyDescent="0.55000000000000004">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x14ac:dyDescent="0.5500000000000000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x14ac:dyDescent="0.55000000000000004">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x14ac:dyDescent="0.55000000000000004">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x14ac:dyDescent="0.55000000000000004">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x14ac:dyDescent="0.55000000000000004">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x14ac:dyDescent="0.55000000000000004">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x14ac:dyDescent="0.55000000000000004">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x14ac:dyDescent="0.55000000000000004">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x14ac:dyDescent="0.55000000000000004">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x14ac:dyDescent="0.55000000000000004">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x14ac:dyDescent="0.5500000000000000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x14ac:dyDescent="0.55000000000000004">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x14ac:dyDescent="0.55000000000000004">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x14ac:dyDescent="0.55000000000000004">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x14ac:dyDescent="0.55000000000000004">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x14ac:dyDescent="0.55000000000000004">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x14ac:dyDescent="0.55000000000000004">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x14ac:dyDescent="0.55000000000000004">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x14ac:dyDescent="0.55000000000000004">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x14ac:dyDescent="0.55000000000000004">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x14ac:dyDescent="0.550000000000000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x14ac:dyDescent="0.55000000000000004">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x14ac:dyDescent="0.55000000000000004">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x14ac:dyDescent="0.55000000000000004">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x14ac:dyDescent="0.55000000000000004">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x14ac:dyDescent="0.55000000000000004">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x14ac:dyDescent="0.55000000000000004">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x14ac:dyDescent="0.55000000000000004">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x14ac:dyDescent="0.55000000000000004">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x14ac:dyDescent="0.55000000000000004">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x14ac:dyDescent="0.5500000000000000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x14ac:dyDescent="0.55000000000000004">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x14ac:dyDescent="0.55000000000000004">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x14ac:dyDescent="0.55000000000000004">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x14ac:dyDescent="0.55000000000000004">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x14ac:dyDescent="0.55000000000000004">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x14ac:dyDescent="0.55000000000000004">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x14ac:dyDescent="0.55000000000000004">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x14ac:dyDescent="0.55000000000000004">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x14ac:dyDescent="0.55000000000000004">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x14ac:dyDescent="0.5500000000000000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x14ac:dyDescent="0.55000000000000004">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x14ac:dyDescent="0.55000000000000004">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x14ac:dyDescent="0.55000000000000004">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x14ac:dyDescent="0.55000000000000004">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x14ac:dyDescent="0.55000000000000004">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x14ac:dyDescent="0.55000000000000004">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x14ac:dyDescent="0.55000000000000004">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x14ac:dyDescent="0.55000000000000004">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x14ac:dyDescent="0.55000000000000004">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x14ac:dyDescent="0.5500000000000000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x14ac:dyDescent="0.55000000000000004">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x14ac:dyDescent="0.55000000000000004">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x14ac:dyDescent="0.55000000000000004">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x14ac:dyDescent="0.55000000000000004">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x14ac:dyDescent="0.55000000000000004">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x14ac:dyDescent="0.55000000000000004">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x14ac:dyDescent="0.55000000000000004">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x14ac:dyDescent="0.55000000000000004">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x14ac:dyDescent="0.55000000000000004">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x14ac:dyDescent="0.5500000000000000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x14ac:dyDescent="0.55000000000000004">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x14ac:dyDescent="0.55000000000000004">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x14ac:dyDescent="0.55000000000000004">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x14ac:dyDescent="0.55000000000000004">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x14ac:dyDescent="0.55000000000000004">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x14ac:dyDescent="0.55000000000000004">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x14ac:dyDescent="0.55000000000000004">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x14ac:dyDescent="0.55000000000000004">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x14ac:dyDescent="0.55000000000000004">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x14ac:dyDescent="0.5500000000000000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x14ac:dyDescent="0.55000000000000004">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x14ac:dyDescent="0.55000000000000004">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x14ac:dyDescent="0.55000000000000004">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x14ac:dyDescent="0.55000000000000004">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x14ac:dyDescent="0.55000000000000004">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x14ac:dyDescent="0.55000000000000004">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x14ac:dyDescent="0.55000000000000004">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x14ac:dyDescent="0.55000000000000004">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x14ac:dyDescent="0.55000000000000004">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x14ac:dyDescent="0.5500000000000000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x14ac:dyDescent="0.55000000000000004">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x14ac:dyDescent="0.55000000000000004">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x14ac:dyDescent="0.55000000000000004">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x14ac:dyDescent="0.55000000000000004">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x14ac:dyDescent="0.55000000000000004">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x14ac:dyDescent="0.55000000000000004">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x14ac:dyDescent="0.55000000000000004">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x14ac:dyDescent="0.55000000000000004">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x14ac:dyDescent="0.55000000000000004">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x14ac:dyDescent="0.5500000000000000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x14ac:dyDescent="0.55000000000000004">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x14ac:dyDescent="0.55000000000000004">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x14ac:dyDescent="0.55000000000000004">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x14ac:dyDescent="0.55000000000000004">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x14ac:dyDescent="0.55000000000000004">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x14ac:dyDescent="0.55000000000000004">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x14ac:dyDescent="0.55000000000000004">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x14ac:dyDescent="0.55000000000000004">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x14ac:dyDescent="0.55000000000000004">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x14ac:dyDescent="0.5500000000000000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x14ac:dyDescent="0.55000000000000004">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x14ac:dyDescent="0.55000000000000004">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x14ac:dyDescent="0.55000000000000004">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x14ac:dyDescent="0.55000000000000004">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x14ac:dyDescent="0.55000000000000004">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x14ac:dyDescent="0.55000000000000004">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x14ac:dyDescent="0.55000000000000004">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x14ac:dyDescent="0.55000000000000004">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x14ac:dyDescent="0.55000000000000004">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x14ac:dyDescent="0.5500000000000000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x14ac:dyDescent="0.55000000000000004">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x14ac:dyDescent="0.55000000000000004">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x14ac:dyDescent="0.55000000000000004">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x14ac:dyDescent="0.55000000000000004">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x14ac:dyDescent="0.55000000000000004">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x14ac:dyDescent="0.55000000000000004">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x14ac:dyDescent="0.55000000000000004">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x14ac:dyDescent="0.55000000000000004">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x14ac:dyDescent="0.55000000000000004">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x14ac:dyDescent="0.550000000000000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x14ac:dyDescent="0.55000000000000004">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x14ac:dyDescent="0.55000000000000004">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x14ac:dyDescent="0.55000000000000004">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x14ac:dyDescent="0.55000000000000004">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x14ac:dyDescent="0.55000000000000004">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x14ac:dyDescent="0.55000000000000004">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x14ac:dyDescent="0.55000000000000004">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x14ac:dyDescent="0.55000000000000004">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x14ac:dyDescent="0.55000000000000004">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x14ac:dyDescent="0.5500000000000000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x14ac:dyDescent="0.55000000000000004">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x14ac:dyDescent="0.55000000000000004">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x14ac:dyDescent="0.55000000000000004">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x14ac:dyDescent="0.55000000000000004">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x14ac:dyDescent="0.55000000000000004">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x14ac:dyDescent="0.55000000000000004">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x14ac:dyDescent="0.55000000000000004">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x14ac:dyDescent="0.55000000000000004">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x14ac:dyDescent="0.55000000000000004">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x14ac:dyDescent="0.5500000000000000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x14ac:dyDescent="0.55000000000000004">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x14ac:dyDescent="0.55000000000000004">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x14ac:dyDescent="0.55000000000000004">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x14ac:dyDescent="0.55000000000000004">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x14ac:dyDescent="0.55000000000000004">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x14ac:dyDescent="0.55000000000000004">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x14ac:dyDescent="0.55000000000000004">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x14ac:dyDescent="0.55000000000000004">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x14ac:dyDescent="0.55000000000000004">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x14ac:dyDescent="0.5500000000000000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x14ac:dyDescent="0.55000000000000004">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x14ac:dyDescent="0.55000000000000004">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x14ac:dyDescent="0.55000000000000004">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x14ac:dyDescent="0.55000000000000004">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x14ac:dyDescent="0.55000000000000004">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x14ac:dyDescent="0.55000000000000004">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x14ac:dyDescent="0.55000000000000004">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x14ac:dyDescent="0.55000000000000004">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x14ac:dyDescent="0.55000000000000004">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x14ac:dyDescent="0.5500000000000000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x14ac:dyDescent="0.55000000000000004">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x14ac:dyDescent="0.55000000000000004">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x14ac:dyDescent="0.55000000000000004">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x14ac:dyDescent="0.55000000000000004">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x14ac:dyDescent="0.55000000000000004">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x14ac:dyDescent="0.55000000000000004">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x14ac:dyDescent="0.55000000000000004">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x14ac:dyDescent="0.55000000000000004">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x14ac:dyDescent="0.55000000000000004">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x14ac:dyDescent="0.5500000000000000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x14ac:dyDescent="0.55000000000000004">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x14ac:dyDescent="0.55000000000000004">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x14ac:dyDescent="0.55000000000000004">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x14ac:dyDescent="0.55000000000000004">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x14ac:dyDescent="0.55000000000000004">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x14ac:dyDescent="0.55000000000000004">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x14ac:dyDescent="0.55000000000000004">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x14ac:dyDescent="0.55000000000000004">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x14ac:dyDescent="0.55000000000000004">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x14ac:dyDescent="0.5500000000000000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x14ac:dyDescent="0.55000000000000004">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x14ac:dyDescent="0.55000000000000004">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x14ac:dyDescent="0.55000000000000004">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x14ac:dyDescent="0.55000000000000004">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x14ac:dyDescent="0.55000000000000004">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x14ac:dyDescent="0.55000000000000004">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x14ac:dyDescent="0.55000000000000004">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x14ac:dyDescent="0.55000000000000004">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x14ac:dyDescent="0.55000000000000004">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x14ac:dyDescent="0.5500000000000000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x14ac:dyDescent="0.55000000000000004">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x14ac:dyDescent="0.55000000000000004">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x14ac:dyDescent="0.55000000000000004">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x14ac:dyDescent="0.55000000000000004">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x14ac:dyDescent="0.55000000000000004">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x14ac:dyDescent="0.55000000000000004">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x14ac:dyDescent="0.55000000000000004">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x14ac:dyDescent="0.55000000000000004">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x14ac:dyDescent="0.55000000000000004">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x14ac:dyDescent="0.5500000000000000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x14ac:dyDescent="0.55000000000000004">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x14ac:dyDescent="0.55000000000000004">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x14ac:dyDescent="0.55000000000000004">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x14ac:dyDescent="0.55000000000000004">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x14ac:dyDescent="0.55000000000000004">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x14ac:dyDescent="0.55000000000000004">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x14ac:dyDescent="0.55000000000000004">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x14ac:dyDescent="0.55000000000000004">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x14ac:dyDescent="0.55000000000000004">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x14ac:dyDescent="0.5500000000000000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x14ac:dyDescent="0.55000000000000004">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x14ac:dyDescent="0.55000000000000004">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x14ac:dyDescent="0.55000000000000004">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x14ac:dyDescent="0.55000000000000004">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x14ac:dyDescent="0.55000000000000004">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x14ac:dyDescent="0.55000000000000004">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x14ac:dyDescent="0.55000000000000004">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x14ac:dyDescent="0.55000000000000004">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x14ac:dyDescent="0.55000000000000004">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x14ac:dyDescent="0.550000000000000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x14ac:dyDescent="0.55000000000000004">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x14ac:dyDescent="0.55000000000000004">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x14ac:dyDescent="0.55000000000000004">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x14ac:dyDescent="0.55000000000000004">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x14ac:dyDescent="0.55000000000000004">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x14ac:dyDescent="0.55000000000000004">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x14ac:dyDescent="0.55000000000000004">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x14ac:dyDescent="0.55000000000000004">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x14ac:dyDescent="0.55000000000000004">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x14ac:dyDescent="0.5500000000000000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x14ac:dyDescent="0.55000000000000004">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x14ac:dyDescent="0.55000000000000004">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x14ac:dyDescent="0.55000000000000004">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x14ac:dyDescent="0.55000000000000004">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x14ac:dyDescent="0.55000000000000004">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x14ac:dyDescent="0.55000000000000004">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x14ac:dyDescent="0.55000000000000004">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x14ac:dyDescent="0.55000000000000004">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x14ac:dyDescent="0.55000000000000004">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x14ac:dyDescent="0.5500000000000000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x14ac:dyDescent="0.55000000000000004">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x14ac:dyDescent="0.55000000000000004">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x14ac:dyDescent="0.55000000000000004">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x14ac:dyDescent="0.55000000000000004">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x14ac:dyDescent="0.55000000000000004">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x14ac:dyDescent="0.55000000000000004">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x14ac:dyDescent="0.55000000000000004">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x14ac:dyDescent="0.55000000000000004">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x14ac:dyDescent="0.55000000000000004">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x14ac:dyDescent="0.5500000000000000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x14ac:dyDescent="0.55000000000000004">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x14ac:dyDescent="0.55000000000000004">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x14ac:dyDescent="0.55000000000000004">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x14ac:dyDescent="0.55000000000000004">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x14ac:dyDescent="0.55000000000000004">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x14ac:dyDescent="0.55000000000000004">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x14ac:dyDescent="0.55000000000000004">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x14ac:dyDescent="0.55000000000000004">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x14ac:dyDescent="0.55000000000000004">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x14ac:dyDescent="0.5500000000000000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x14ac:dyDescent="0.55000000000000004">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x14ac:dyDescent="0.55000000000000004">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x14ac:dyDescent="0.55000000000000004">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x14ac:dyDescent="0.55000000000000004">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x14ac:dyDescent="0.55000000000000004">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x14ac:dyDescent="0.55000000000000004">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x14ac:dyDescent="0.55000000000000004">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x14ac:dyDescent="0.55000000000000004">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x14ac:dyDescent="0.55000000000000004">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x14ac:dyDescent="0.5500000000000000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x14ac:dyDescent="0.55000000000000004">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x14ac:dyDescent="0.55000000000000004">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x14ac:dyDescent="0.55000000000000004">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x14ac:dyDescent="0.55000000000000004">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x14ac:dyDescent="0.55000000000000004">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x14ac:dyDescent="0.55000000000000004">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x14ac:dyDescent="0.55000000000000004">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x14ac:dyDescent="0.55000000000000004">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x14ac:dyDescent="0.55000000000000004">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x14ac:dyDescent="0.5500000000000000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x14ac:dyDescent="0.55000000000000004">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x14ac:dyDescent="0.55000000000000004">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x14ac:dyDescent="0.55000000000000004">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x14ac:dyDescent="0.55000000000000004">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x14ac:dyDescent="0.55000000000000004">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x14ac:dyDescent="0.55000000000000004">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x14ac:dyDescent="0.55000000000000004">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x14ac:dyDescent="0.55000000000000004">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x14ac:dyDescent="0.55000000000000004">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x14ac:dyDescent="0.5500000000000000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x14ac:dyDescent="0.55000000000000004">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x14ac:dyDescent="0.55000000000000004">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x14ac:dyDescent="0.55000000000000004">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x14ac:dyDescent="0.55000000000000004">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x14ac:dyDescent="0.55000000000000004">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x14ac:dyDescent="0.55000000000000004">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x14ac:dyDescent="0.55000000000000004">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x14ac:dyDescent="0.55000000000000004">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x14ac:dyDescent="0.55000000000000004">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x14ac:dyDescent="0.5500000000000000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x14ac:dyDescent="0.55000000000000004">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x14ac:dyDescent="0.55000000000000004">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x14ac:dyDescent="0.55000000000000004">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x14ac:dyDescent="0.55000000000000004">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x14ac:dyDescent="0.55000000000000004">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x14ac:dyDescent="0.55000000000000004">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x14ac:dyDescent="0.55000000000000004">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x14ac:dyDescent="0.55000000000000004">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x14ac:dyDescent="0.55000000000000004">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x14ac:dyDescent="0.5500000000000000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x14ac:dyDescent="0.55000000000000004">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x14ac:dyDescent="0.55000000000000004">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x14ac:dyDescent="0.55000000000000004">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x14ac:dyDescent="0.55000000000000004">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x14ac:dyDescent="0.55000000000000004">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x14ac:dyDescent="0.55000000000000004">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x14ac:dyDescent="0.55000000000000004">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x14ac:dyDescent="0.55000000000000004">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x14ac:dyDescent="0.55000000000000004">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x14ac:dyDescent="0.550000000000000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x14ac:dyDescent="0.55000000000000004">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x14ac:dyDescent="0.55000000000000004">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x14ac:dyDescent="0.55000000000000004">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x14ac:dyDescent="0.55000000000000004">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x14ac:dyDescent="0.55000000000000004">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x14ac:dyDescent="0.55000000000000004">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x14ac:dyDescent="0.55000000000000004">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x14ac:dyDescent="0.55000000000000004">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x14ac:dyDescent="0.55000000000000004">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x14ac:dyDescent="0.5500000000000000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x14ac:dyDescent="0.55000000000000004">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x14ac:dyDescent="0.55000000000000004">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x14ac:dyDescent="0.55000000000000004">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x14ac:dyDescent="0.55000000000000004">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x14ac:dyDescent="0.55000000000000004">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x14ac:dyDescent="0.55000000000000004">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x14ac:dyDescent="0.55000000000000004">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x14ac:dyDescent="0.55000000000000004">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x14ac:dyDescent="0.55000000000000004">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x14ac:dyDescent="0.5500000000000000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x14ac:dyDescent="0.55000000000000004">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x14ac:dyDescent="0.55000000000000004">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x14ac:dyDescent="0.55000000000000004">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x14ac:dyDescent="0.55000000000000004">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x14ac:dyDescent="0.55000000000000004">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x14ac:dyDescent="0.55000000000000004">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x14ac:dyDescent="0.55000000000000004">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x14ac:dyDescent="0.55000000000000004">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x14ac:dyDescent="0.55000000000000004">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x14ac:dyDescent="0.5500000000000000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x14ac:dyDescent="0.55000000000000004">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x14ac:dyDescent="0.55000000000000004">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x14ac:dyDescent="0.55000000000000004">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x14ac:dyDescent="0.55000000000000004">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x14ac:dyDescent="0.55000000000000004">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x14ac:dyDescent="0.55000000000000004">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x14ac:dyDescent="0.55000000000000004">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x14ac:dyDescent="0.55000000000000004">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x14ac:dyDescent="0.55000000000000004">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x14ac:dyDescent="0.5500000000000000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x14ac:dyDescent="0.55000000000000004">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x14ac:dyDescent="0.55000000000000004">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x14ac:dyDescent="0.55000000000000004">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x14ac:dyDescent="0.55000000000000004">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x14ac:dyDescent="0.55000000000000004">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x14ac:dyDescent="0.55000000000000004">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x14ac:dyDescent="0.55000000000000004">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x14ac:dyDescent="0.55000000000000004">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x14ac:dyDescent="0.55000000000000004">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x14ac:dyDescent="0.5500000000000000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x14ac:dyDescent="0.55000000000000004">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x14ac:dyDescent="0.55000000000000004">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x14ac:dyDescent="0.55000000000000004">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x14ac:dyDescent="0.55000000000000004">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x14ac:dyDescent="0.55000000000000004">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x14ac:dyDescent="0.55000000000000004">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x14ac:dyDescent="0.55000000000000004">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x14ac:dyDescent="0.55000000000000004">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x14ac:dyDescent="0.55000000000000004">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x14ac:dyDescent="0.5500000000000000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sheetData>
  <hyperlinks>
    <hyperlink ref="A17" r:id="rId1" xr:uid="{00000000-0004-0000-0100-000000000000}"/>
    <hyperlink ref="A51" r:id="rId2" xr:uid="{00000000-0004-0000-0100-00000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1002"/>
  <sheetViews>
    <sheetView workbookViewId="0"/>
  </sheetViews>
  <sheetFormatPr defaultColWidth="14.47265625" defaultRowHeight="15" customHeight="1" x14ac:dyDescent="0.55000000000000004"/>
  <cols>
    <col min="1" max="1" width="255.68359375" customWidth="1"/>
    <col min="2" max="21" width="8.83984375" customWidth="1"/>
  </cols>
  <sheetData>
    <row r="1" spans="1:26" ht="15.75" customHeight="1" x14ac:dyDescent="0.55000000000000004">
      <c r="A1" s="22" t="s">
        <v>70</v>
      </c>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55000000000000004">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55000000000000004">
      <c r="A3" s="255" t="s">
        <v>3883</v>
      </c>
      <c r="B3" s="3"/>
      <c r="C3" s="3"/>
      <c r="D3" s="3"/>
      <c r="E3" s="3"/>
      <c r="F3" s="3"/>
      <c r="G3" s="3"/>
      <c r="H3" s="3"/>
      <c r="I3" s="3"/>
      <c r="J3" s="3"/>
      <c r="K3" s="3"/>
      <c r="L3" s="3"/>
      <c r="M3" s="3"/>
      <c r="N3" s="3"/>
      <c r="O3" s="3"/>
      <c r="P3" s="3"/>
      <c r="Q3" s="3"/>
      <c r="R3" s="3"/>
      <c r="S3" s="3"/>
      <c r="T3" s="3"/>
      <c r="U3" s="3"/>
      <c r="V3" s="3"/>
      <c r="W3" s="3"/>
      <c r="X3" s="3"/>
      <c r="Y3" s="3"/>
      <c r="Z3" s="3"/>
    </row>
    <row r="4" spans="1:26" ht="15.75" customHeight="1" x14ac:dyDescent="0.55000000000000004">
      <c r="A4" s="3"/>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55000000000000004">
      <c r="A5" s="3" t="s">
        <v>71</v>
      </c>
      <c r="B5" s="3"/>
      <c r="C5" s="3"/>
      <c r="D5" s="3"/>
      <c r="E5" s="3"/>
      <c r="F5" s="3"/>
      <c r="G5" s="3"/>
      <c r="H5" s="3"/>
      <c r="I5" s="3"/>
      <c r="J5" s="3"/>
      <c r="K5" s="3"/>
      <c r="L5" s="3"/>
      <c r="M5" s="3"/>
      <c r="N5" s="3"/>
      <c r="O5" s="3"/>
      <c r="P5" s="3"/>
      <c r="Q5" s="3"/>
      <c r="R5" s="3"/>
      <c r="S5" s="3"/>
      <c r="T5" s="3"/>
      <c r="U5" s="3"/>
      <c r="V5" s="3"/>
      <c r="W5" s="3"/>
      <c r="X5" s="3"/>
      <c r="Y5" s="3"/>
      <c r="Z5" s="3"/>
    </row>
    <row r="6" spans="1:26" ht="15.75" customHeight="1" x14ac:dyDescent="0.55000000000000004">
      <c r="A6" s="3"/>
      <c r="B6" s="3"/>
      <c r="C6" s="3"/>
      <c r="D6" s="3"/>
      <c r="E6" s="3"/>
      <c r="F6" s="3"/>
      <c r="G6" s="3"/>
      <c r="H6" s="3"/>
      <c r="I6" s="3"/>
      <c r="J6" s="3"/>
      <c r="K6" s="3"/>
      <c r="L6" s="3"/>
      <c r="M6" s="3"/>
      <c r="N6" s="3"/>
      <c r="O6" s="3"/>
      <c r="P6" s="3"/>
      <c r="Q6" s="3"/>
      <c r="R6" s="3"/>
      <c r="S6" s="3"/>
      <c r="T6" s="3"/>
      <c r="U6" s="3"/>
      <c r="V6" s="3"/>
      <c r="W6" s="3"/>
      <c r="X6" s="3"/>
      <c r="Y6" s="3"/>
      <c r="Z6" s="3"/>
    </row>
    <row r="7" spans="1:26" ht="15.75" customHeight="1" x14ac:dyDescent="0.55000000000000004">
      <c r="A7" s="3" t="s">
        <v>72</v>
      </c>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55000000000000004">
      <c r="A8" s="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55000000000000004">
      <c r="A9" s="3" t="s">
        <v>73</v>
      </c>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55000000000000004">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55000000000000004">
      <c r="A11" s="3" t="s">
        <v>74</v>
      </c>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55000000000000004">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55000000000000004">
      <c r="A13" s="3" t="s">
        <v>75</v>
      </c>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55000000000000004">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55000000000000004">
      <c r="A15" s="2" t="s">
        <v>76</v>
      </c>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55000000000000004">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55000000000000004">
      <c r="A17" s="255" t="s">
        <v>3881</v>
      </c>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55000000000000004">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55000000000000004">
      <c r="A19" s="3" t="s">
        <v>77</v>
      </c>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55000000000000004">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55000000000000004">
      <c r="A21" s="3" t="s">
        <v>78</v>
      </c>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55000000000000004">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55000000000000004">
      <c r="A23" s="3" t="s">
        <v>79</v>
      </c>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55000000000000004">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55000000000000004">
      <c r="A25" s="3" t="s">
        <v>80</v>
      </c>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55000000000000004">
      <c r="A26" s="3" t="s">
        <v>81</v>
      </c>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55000000000000004">
      <c r="A27" s="3" t="s">
        <v>82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55000000000000004">
      <c r="A28" s="3" t="s">
        <v>83</v>
      </c>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55000000000000004">
      <c r="A29" s="3" t="s">
        <v>84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55000000000000004">
      <c r="A30" s="3" t="s">
        <v>85</v>
      </c>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55000000000000004">
      <c r="A31" s="3" t="s">
        <v>86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55000000000000004">
      <c r="A32" s="3" t="s">
        <v>87</v>
      </c>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55000000000000004">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55000000000000004">
      <c r="A34" s="3" t="s">
        <v>88</v>
      </c>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55000000000000004">
      <c r="A35" s="3" t="s">
        <v>89</v>
      </c>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55000000000000004">
      <c r="A36" s="3" t="s">
        <v>90</v>
      </c>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55000000000000004">
      <c r="A37" s="3" t="s">
        <v>91</v>
      </c>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55000000000000004">
      <c r="A38" s="3" t="s">
        <v>92</v>
      </c>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55000000000000004">
      <c r="A39" s="3" t="s">
        <v>93</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55000000000000004">
      <c r="A40" s="3" t="s">
        <v>94</v>
      </c>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55000000000000004">
      <c r="A41" s="3" t="s">
        <v>87</v>
      </c>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550000000000000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55000000000000004">
      <c r="A43" s="255" t="s">
        <v>3882</v>
      </c>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55000000000000004">
      <c r="A44" s="3" t="s">
        <v>95</v>
      </c>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55000000000000004">
      <c r="A45" s="3" t="s">
        <v>96</v>
      </c>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55000000000000004">
      <c r="A46" s="3" t="s">
        <v>97</v>
      </c>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55000000000000004">
      <c r="A47" s="3" t="s">
        <v>98</v>
      </c>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55000000000000004">
      <c r="A48" s="3" t="s">
        <v>99</v>
      </c>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55000000000000004">
      <c r="A49" s="3" t="s">
        <v>100</v>
      </c>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55000000000000004">
      <c r="A50" s="3" t="s">
        <v>101</v>
      </c>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55000000000000004">
      <c r="A51" s="3" t="s">
        <v>102</v>
      </c>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55000000000000004">
      <c r="A52" s="3" t="s">
        <v>103</v>
      </c>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550000000000000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55000000000000004">
      <c r="A54" s="3" t="s">
        <v>104</v>
      </c>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550000000000000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55000000000000004">
      <c r="A56" s="3" t="s">
        <v>105</v>
      </c>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550000000000000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55000000000000004">
      <c r="A58" s="3" t="s">
        <v>106</v>
      </c>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55000000000000004">
      <c r="A59" s="3" t="s">
        <v>107</v>
      </c>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55000000000000004">
      <c r="A60" s="3" t="s">
        <v>108</v>
      </c>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55000000000000004">
      <c r="A61" s="3" t="s">
        <v>109</v>
      </c>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55000000000000004">
      <c r="A62" s="3" t="s">
        <v>110</v>
      </c>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55000000000000004">
      <c r="A63" s="3" t="s">
        <v>111</v>
      </c>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55000000000000004">
      <c r="A64" s="3" t="s">
        <v>112</v>
      </c>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55000000000000004">
      <c r="A65" s="3" t="s">
        <v>113</v>
      </c>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55000000000000004">
      <c r="A66" s="3" t="s">
        <v>114</v>
      </c>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55000000000000004">
      <c r="A67" s="3" t="s">
        <v>115</v>
      </c>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55000000000000004">
      <c r="A68" s="3" t="s">
        <v>116</v>
      </c>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550000000000000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55000000000000004">
      <c r="A70" s="3" t="s">
        <v>117</v>
      </c>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55000000000000004">
      <c r="A71" s="3" t="s">
        <v>108</v>
      </c>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55000000000000004">
      <c r="A72" s="3" t="s">
        <v>118</v>
      </c>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55000000000000004">
      <c r="A73" s="3" t="s">
        <v>119</v>
      </c>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55000000000000004">
      <c r="A74" s="3" t="s">
        <v>120</v>
      </c>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55000000000000004">
      <c r="A75" s="3" t="s">
        <v>121</v>
      </c>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55000000000000004">
      <c r="A76" s="3" t="s">
        <v>122</v>
      </c>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55000000000000004">
      <c r="A77" s="3" t="s">
        <v>123</v>
      </c>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55000000000000004">
      <c r="A78" s="3" t="s">
        <v>124</v>
      </c>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55000000000000004">
      <c r="A79" s="3" t="s">
        <v>125</v>
      </c>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55000000000000004">
      <c r="A80" s="3" t="s">
        <v>126</v>
      </c>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550000000000000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55000000000000004">
      <c r="A82" s="3" t="s">
        <v>127</v>
      </c>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55000000000000004">
      <c r="A83" s="3" t="s">
        <v>128</v>
      </c>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55000000000000004">
      <c r="A84" s="3" t="s">
        <v>129</v>
      </c>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55000000000000004">
      <c r="A85" s="3" t="s">
        <v>130</v>
      </c>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550000000000000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55000000000000004">
      <c r="A87" s="3" t="s">
        <v>131</v>
      </c>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550000000000000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55000000000000004">
      <c r="A89" s="3" t="s">
        <v>132</v>
      </c>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550000000000000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55000000000000004">
      <c r="A91" s="3" t="s">
        <v>133</v>
      </c>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550000000000000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55000000000000004">
      <c r="A93" s="22" t="s">
        <v>134</v>
      </c>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550000000000000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55000000000000004">
      <c r="A95" s="2" t="s">
        <v>135</v>
      </c>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55000000000000004">
      <c r="A96" s="3" t="s">
        <v>136</v>
      </c>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550000000000000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55000000000000004">
      <c r="A98" s="22" t="s">
        <v>137</v>
      </c>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550000000000000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55000000000000004">
      <c r="A100" s="2" t="s">
        <v>138</v>
      </c>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550000000000000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55000000000000004">
      <c r="A102" s="2" t="s">
        <v>139</v>
      </c>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55000000000000004">
      <c r="A103" s="3" t="s">
        <v>140</v>
      </c>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55000000000000004">
      <c r="A104" s="3" t="s">
        <v>141</v>
      </c>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55000000000000004">
      <c r="A105" s="3" t="s">
        <v>142</v>
      </c>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55000000000000004">
      <c r="A106" s="3" t="s">
        <v>143</v>
      </c>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55000000000000004">
      <c r="A107" s="23" t="s">
        <v>144</v>
      </c>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550000000000000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55000000000000004">
      <c r="A109" s="22" t="s">
        <v>145</v>
      </c>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550000000000000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55000000000000004">
      <c r="A111" s="23"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55000000000000004">
      <c r="A112" s="23"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55000000000000004">
      <c r="A113" s="23" t="s">
        <v>144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55000000000000004">
      <c r="A114" s="2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55000000000000004">
      <c r="A115" s="24" t="s">
        <v>148</v>
      </c>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55000000000000004">
      <c r="A116" s="25" t="s">
        <v>149</v>
      </c>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55000000000000004">
      <c r="A117" s="25" t="s">
        <v>150</v>
      </c>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55000000000000004">
      <c r="A118" s="25" t="s">
        <v>151</v>
      </c>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550000000000000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55000000000000004">
      <c r="A120" s="24" t="s">
        <v>152</v>
      </c>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55000000000000004">
      <c r="A121" s="25" t="s">
        <v>153</v>
      </c>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55000000000000004">
      <c r="A122" s="25" t="s">
        <v>154</v>
      </c>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55000000000000004">
      <c r="A123" s="25" t="s">
        <v>155</v>
      </c>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55000000000000004">
      <c r="A124" s="25" t="s">
        <v>156</v>
      </c>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55000000000000004">
      <c r="A125" s="25" t="s">
        <v>157</v>
      </c>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55000000000000004">
      <c r="A126" s="25" t="s">
        <v>158</v>
      </c>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55000000000000004">
      <c r="A127" s="25" t="s">
        <v>159</v>
      </c>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55000000000000004">
      <c r="A128" s="25" t="s">
        <v>160</v>
      </c>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55000000000000004">
      <c r="A129" s="25" t="s">
        <v>161</v>
      </c>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55000000000000004">
      <c r="A130" s="25" t="s">
        <v>162</v>
      </c>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55000000000000004">
      <c r="A131" s="25" t="s">
        <v>163</v>
      </c>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55000000000000004">
      <c r="A132" s="25" t="s">
        <v>164</v>
      </c>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550000000000000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55000000000000004">
      <c r="A134" s="24" t="s">
        <v>165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55000000000000004">
      <c r="A135" s="25" t="s">
        <v>166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55000000000000004">
      <c r="A136" s="25" t="s">
        <v>167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55000000000000004">
      <c r="A137" s="25" t="s">
        <v>168</v>
      </c>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55000000000000004">
      <c r="A138" s="25" t="s">
        <v>169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55000000000000004">
      <c r="A139" s="25" t="s">
        <v>170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550000000000000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55000000000000004">
      <c r="A141" s="24" t="s">
        <v>171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55000000000000004">
      <c r="A142" s="25" t="s">
        <v>172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55000000000000004">
      <c r="A143" s="25" t="s">
        <v>173</v>
      </c>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55000000000000004">
      <c r="A144" s="25" t="s">
        <v>174</v>
      </c>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55000000000000004">
      <c r="A145" s="25" t="s">
        <v>175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55000000000000004">
      <c r="A146" s="25" t="s">
        <v>176</v>
      </c>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55000000000000004">
      <c r="A147" s="25" t="s">
        <v>177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55000000000000004">
      <c r="A148" s="25" t="s">
        <v>178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55000000000000004">
      <c r="A149" s="25" t="s">
        <v>179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550000000000000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55000000000000004">
      <c r="A151" s="24" t="s">
        <v>180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55000000000000004">
      <c r="A152" s="25" t="s">
        <v>181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55000000000000004">
      <c r="A153" s="25" t="s">
        <v>182</v>
      </c>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55000000000000004">
      <c r="A154" s="25" t="s">
        <v>183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55000000000000004">
      <c r="A155" s="25" t="s">
        <v>184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55000000000000004">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55000000000000004">
      <c r="A157" s="24" t="s">
        <v>185</v>
      </c>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55000000000000004">
      <c r="A158" s="3" t="s">
        <v>186</v>
      </c>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550000000000000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55000000000000004">
      <c r="A160" s="24" t="s">
        <v>187</v>
      </c>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55000000000000004">
      <c r="A161" s="25" t="s">
        <v>188</v>
      </c>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55000000000000004">
      <c r="A162" s="25" t="s">
        <v>189</v>
      </c>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55000000000000004">
      <c r="A163" s="25" t="s">
        <v>190</v>
      </c>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55000000000000004">
      <c r="A164" s="25" t="s">
        <v>191</v>
      </c>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550000000000000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55000000000000004">
      <c r="A166" s="24" t="s">
        <v>192</v>
      </c>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55000000000000004">
      <c r="A167" s="25" t="s">
        <v>193</v>
      </c>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55000000000000004">
      <c r="A168" s="25" t="s">
        <v>194</v>
      </c>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55000000000000004">
      <c r="A169" s="25" t="s">
        <v>195</v>
      </c>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550000000000000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55000000000000004">
      <c r="A171" s="24" t="s">
        <v>196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55000000000000004">
      <c r="A172" s="25" t="s">
        <v>197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55000000000000004">
      <c r="A173" s="25" t="s">
        <v>198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55000000000000004">
      <c r="A174" s="25" t="s">
        <v>199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550000000000000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55000000000000004">
      <c r="A176" s="24" t="s">
        <v>200</v>
      </c>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55000000000000004">
      <c r="A177" s="25" t="s">
        <v>201</v>
      </c>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55000000000000004">
      <c r="A178" s="25" t="s">
        <v>202</v>
      </c>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55000000000000004">
      <c r="A179" s="25" t="s">
        <v>203</v>
      </c>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55000000000000004">
      <c r="A180" s="25" t="s">
        <v>204</v>
      </c>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55000000000000004">
      <c r="A181" s="25" t="s">
        <v>205</v>
      </c>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550000000000000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55000000000000004">
      <c r="A183" s="2" t="s">
        <v>206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550000000000000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55000000000000004">
      <c r="A185" s="22" t="s">
        <v>207</v>
      </c>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550000000000000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550000000000000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550000000000000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550000000000000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550000000000000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550000000000000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550000000000000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550000000000000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550000000000000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550000000000000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550000000000000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550000000000000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550000000000000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550000000000000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550000000000000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550000000000000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550000000000000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550000000000000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550000000000000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550000000000000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550000000000000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550000000000000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550000000000000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550000000000000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550000000000000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550000000000000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550000000000000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550000000000000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550000000000000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550000000000000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550000000000000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550000000000000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550000000000000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550000000000000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550000000000000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550000000000000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550000000000000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550000000000000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550000000000000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550000000000000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550000000000000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550000000000000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550000000000000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550000000000000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550000000000000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550000000000000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550000000000000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550000000000000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550000000000000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550000000000000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550000000000000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550000000000000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550000000000000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550000000000000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550000000000000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550000000000000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550000000000000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550000000000000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550000000000000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550000000000000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550000000000000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550000000000000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550000000000000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550000000000000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550000000000000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550000000000000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550000000000000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550000000000000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550000000000000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550000000000000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550000000000000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550000000000000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550000000000000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550000000000000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550000000000000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550000000000000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550000000000000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550000000000000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550000000000000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550000000000000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550000000000000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550000000000000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550000000000000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550000000000000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550000000000000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550000000000000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550000000000000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550000000000000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550000000000000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550000000000000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550000000000000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550000000000000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550000000000000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550000000000000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550000000000000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550000000000000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550000000000000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550000000000000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550000000000000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550000000000000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550000000000000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550000000000000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550000000000000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550000000000000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550000000000000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550000000000000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550000000000000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550000000000000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550000000000000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550000000000000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550000000000000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550000000000000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550000000000000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550000000000000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550000000000000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550000000000000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550000000000000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550000000000000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550000000000000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550000000000000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550000000000000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550000000000000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550000000000000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550000000000000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550000000000000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550000000000000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550000000000000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550000000000000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550000000000000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550000000000000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550000000000000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550000000000000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550000000000000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550000000000000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550000000000000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550000000000000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550000000000000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550000000000000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550000000000000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550000000000000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550000000000000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550000000000000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550000000000000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550000000000000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550000000000000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550000000000000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550000000000000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550000000000000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550000000000000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550000000000000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550000000000000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550000000000000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550000000000000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550000000000000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550000000000000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550000000000000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550000000000000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550000000000000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550000000000000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550000000000000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550000000000000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550000000000000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550000000000000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550000000000000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550000000000000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550000000000000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550000000000000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550000000000000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550000000000000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550000000000000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550000000000000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550000000000000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550000000000000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550000000000000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550000000000000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550000000000000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550000000000000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550000000000000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550000000000000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550000000000000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550000000000000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550000000000000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550000000000000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550000000000000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550000000000000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550000000000000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550000000000000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550000000000000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550000000000000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550000000000000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550000000000000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550000000000000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550000000000000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550000000000000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550000000000000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550000000000000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550000000000000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550000000000000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550000000000000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550000000000000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550000000000000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550000000000000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550000000000000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550000000000000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550000000000000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550000000000000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550000000000000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550000000000000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550000000000000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550000000000000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550000000000000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550000000000000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550000000000000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550000000000000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550000000000000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550000000000000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550000000000000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550000000000000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550000000000000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550000000000000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550000000000000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550000000000000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550000000000000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550000000000000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550000000000000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550000000000000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550000000000000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550000000000000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550000000000000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550000000000000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550000000000000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550000000000000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550000000000000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550000000000000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550000000000000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550000000000000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550000000000000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550000000000000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550000000000000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550000000000000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550000000000000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550000000000000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550000000000000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550000000000000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550000000000000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550000000000000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550000000000000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550000000000000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550000000000000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550000000000000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550000000000000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550000000000000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550000000000000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550000000000000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550000000000000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550000000000000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550000000000000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550000000000000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550000000000000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550000000000000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550000000000000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550000000000000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550000000000000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550000000000000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550000000000000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550000000000000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550000000000000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550000000000000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550000000000000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550000000000000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550000000000000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550000000000000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550000000000000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550000000000000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550000000000000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550000000000000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550000000000000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550000000000000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550000000000000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550000000000000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550000000000000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550000000000000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550000000000000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550000000000000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550000000000000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550000000000000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550000000000000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550000000000000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550000000000000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550000000000000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550000000000000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550000000000000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550000000000000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550000000000000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550000000000000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550000000000000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550000000000000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550000000000000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550000000000000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550000000000000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550000000000000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550000000000000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550000000000000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550000000000000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550000000000000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550000000000000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550000000000000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550000000000000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550000000000000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550000000000000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550000000000000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550000000000000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550000000000000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550000000000000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550000000000000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550000000000000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550000000000000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550000000000000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550000000000000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550000000000000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550000000000000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550000000000000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550000000000000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550000000000000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550000000000000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550000000000000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550000000000000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550000000000000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550000000000000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550000000000000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550000000000000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550000000000000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550000000000000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550000000000000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550000000000000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550000000000000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550000000000000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550000000000000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550000000000000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550000000000000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550000000000000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550000000000000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550000000000000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550000000000000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550000000000000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550000000000000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550000000000000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550000000000000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550000000000000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550000000000000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550000000000000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550000000000000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550000000000000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550000000000000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550000000000000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550000000000000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550000000000000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550000000000000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550000000000000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550000000000000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550000000000000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550000000000000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550000000000000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550000000000000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550000000000000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550000000000000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550000000000000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550000000000000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550000000000000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550000000000000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550000000000000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550000000000000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550000000000000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550000000000000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550000000000000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550000000000000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550000000000000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550000000000000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550000000000000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550000000000000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550000000000000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550000000000000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550000000000000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550000000000000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550000000000000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550000000000000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550000000000000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550000000000000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550000000000000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550000000000000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550000000000000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550000000000000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550000000000000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550000000000000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550000000000000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550000000000000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550000000000000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550000000000000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550000000000000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550000000000000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550000000000000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550000000000000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550000000000000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550000000000000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550000000000000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550000000000000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550000000000000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550000000000000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550000000000000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550000000000000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550000000000000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550000000000000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550000000000000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550000000000000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550000000000000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550000000000000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550000000000000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550000000000000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550000000000000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550000000000000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550000000000000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550000000000000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550000000000000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550000000000000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550000000000000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550000000000000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550000000000000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550000000000000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550000000000000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550000000000000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550000000000000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550000000000000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550000000000000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550000000000000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550000000000000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550000000000000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550000000000000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550000000000000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550000000000000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550000000000000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550000000000000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550000000000000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550000000000000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550000000000000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550000000000000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550000000000000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550000000000000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550000000000000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550000000000000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550000000000000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550000000000000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550000000000000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550000000000000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550000000000000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550000000000000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550000000000000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550000000000000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550000000000000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550000000000000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550000000000000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550000000000000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550000000000000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550000000000000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550000000000000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550000000000000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550000000000000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550000000000000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550000000000000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550000000000000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550000000000000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550000000000000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550000000000000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550000000000000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550000000000000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550000000000000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550000000000000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550000000000000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550000000000000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550000000000000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550000000000000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550000000000000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550000000000000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550000000000000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550000000000000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550000000000000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550000000000000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550000000000000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550000000000000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550000000000000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550000000000000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550000000000000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550000000000000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550000000000000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550000000000000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550000000000000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550000000000000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550000000000000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550000000000000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550000000000000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550000000000000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550000000000000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550000000000000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550000000000000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550000000000000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550000000000000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550000000000000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550000000000000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550000000000000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550000000000000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550000000000000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550000000000000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550000000000000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550000000000000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550000000000000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550000000000000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550000000000000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550000000000000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550000000000000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550000000000000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550000000000000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550000000000000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550000000000000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550000000000000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550000000000000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550000000000000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550000000000000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550000000000000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550000000000000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550000000000000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550000000000000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550000000000000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550000000000000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550000000000000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550000000000000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550000000000000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550000000000000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550000000000000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550000000000000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550000000000000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550000000000000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550000000000000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550000000000000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550000000000000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550000000000000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550000000000000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550000000000000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550000000000000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550000000000000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550000000000000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550000000000000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550000000000000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550000000000000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550000000000000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550000000000000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550000000000000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550000000000000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550000000000000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550000000000000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550000000000000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550000000000000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550000000000000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550000000000000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550000000000000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550000000000000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550000000000000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550000000000000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550000000000000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550000000000000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550000000000000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550000000000000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550000000000000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550000000000000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550000000000000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550000000000000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550000000000000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550000000000000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550000000000000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550000000000000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550000000000000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550000000000000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550000000000000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550000000000000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550000000000000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550000000000000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550000000000000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550000000000000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550000000000000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550000000000000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550000000000000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550000000000000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550000000000000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550000000000000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550000000000000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550000000000000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550000000000000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550000000000000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550000000000000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550000000000000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550000000000000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550000000000000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550000000000000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550000000000000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550000000000000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550000000000000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550000000000000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550000000000000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550000000000000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550000000000000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550000000000000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550000000000000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550000000000000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550000000000000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550000000000000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550000000000000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550000000000000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550000000000000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550000000000000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550000000000000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550000000000000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550000000000000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550000000000000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550000000000000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550000000000000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550000000000000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550000000000000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550000000000000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550000000000000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550000000000000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550000000000000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550000000000000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550000000000000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550000000000000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550000000000000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550000000000000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550000000000000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550000000000000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550000000000000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550000000000000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550000000000000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550000000000000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550000000000000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550000000000000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550000000000000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550000000000000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550000000000000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550000000000000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550000000000000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550000000000000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550000000000000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550000000000000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550000000000000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550000000000000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550000000000000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550000000000000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550000000000000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550000000000000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550000000000000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550000000000000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550000000000000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550000000000000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550000000000000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550000000000000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550000000000000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550000000000000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550000000000000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550000000000000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550000000000000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550000000000000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550000000000000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550000000000000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550000000000000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550000000000000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550000000000000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550000000000000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550000000000000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550000000000000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550000000000000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550000000000000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550000000000000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550000000000000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550000000000000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550000000000000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550000000000000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550000000000000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550000000000000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550000000000000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550000000000000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550000000000000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550000000000000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550000000000000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550000000000000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550000000000000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550000000000000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550000000000000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550000000000000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550000000000000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550000000000000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550000000000000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550000000000000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550000000000000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550000000000000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550000000000000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550000000000000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550000000000000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550000000000000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550000000000000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550000000000000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550000000000000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550000000000000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550000000000000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550000000000000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550000000000000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550000000000000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550000000000000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550000000000000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550000000000000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550000000000000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550000000000000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550000000000000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550000000000000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550000000000000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550000000000000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550000000000000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550000000000000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550000000000000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550000000000000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550000000000000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550000000000000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550000000000000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550000000000000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550000000000000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550000000000000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550000000000000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550000000000000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550000000000000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550000000000000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550000000000000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550000000000000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550000000000000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550000000000000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550000000000000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550000000000000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550000000000000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550000000000000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550000000000000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550000000000000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550000000000000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550000000000000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550000000000000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550000000000000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550000000000000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550000000000000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550000000000000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550000000000000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550000000000000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550000000000000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550000000000000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550000000000000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550000000000000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550000000000000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550000000000000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550000000000000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550000000000000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550000000000000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550000000000000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550000000000000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550000000000000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550000000000000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550000000000000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550000000000000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550000000000000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550000000000000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550000000000000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550000000000000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550000000000000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550000000000000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550000000000000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550000000000000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550000000000000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550000000000000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550000000000000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550000000000000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550000000000000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550000000000000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550000000000000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550000000000000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550000000000000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550000000000000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550000000000000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550000000000000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550000000000000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550000000000000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550000000000000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550000000000000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550000000000000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550000000000000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550000000000000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550000000000000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550000000000000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550000000000000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550000000000000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550000000000000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550000000000000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550000000000000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550000000000000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550000000000000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550000000000000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550000000000000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550000000000000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5500000000000000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5500000000000000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5500000000000000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5500000000000000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5500000000000000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5500000000000000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55000000000000004">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55000000000000004">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BU389"/>
  <sheetViews>
    <sheetView workbookViewId="0"/>
  </sheetViews>
  <sheetFormatPr defaultColWidth="14.47265625" defaultRowHeight="15" customHeight="1" x14ac:dyDescent="0.55000000000000004"/>
  <cols>
    <col min="1" max="1" width="48.83984375" customWidth="1"/>
    <col min="2" max="2" width="37.47265625" customWidth="1"/>
    <col min="3" max="3" width="24.15625" customWidth="1"/>
    <col min="4" max="4" width="23.3125" customWidth="1"/>
    <col min="5" max="5" width="25.47265625" customWidth="1"/>
    <col min="6" max="7" width="23.47265625" customWidth="1"/>
    <col min="8" max="8" width="24.3125" customWidth="1"/>
    <col min="9" max="9" width="14.15625" customWidth="1"/>
    <col min="10" max="10" width="15.15625" customWidth="1"/>
    <col min="11" max="11" width="19.15625" customWidth="1"/>
    <col min="12" max="12" width="13.68359375" customWidth="1"/>
    <col min="13" max="14" width="12.3125" customWidth="1"/>
    <col min="15" max="15" width="8.68359375" customWidth="1"/>
    <col min="16" max="16" width="8" customWidth="1"/>
    <col min="17" max="17" width="7.15625" customWidth="1"/>
    <col min="18" max="18" width="9.68359375" customWidth="1"/>
    <col min="19" max="19" width="11.15625" customWidth="1"/>
    <col min="20" max="20" width="11.83984375" customWidth="1"/>
    <col min="21" max="21" width="8.47265625" customWidth="1"/>
    <col min="22" max="22" width="11.3125" customWidth="1"/>
    <col min="23" max="23" width="13.68359375" customWidth="1"/>
    <col min="24" max="24" width="11.15625" customWidth="1"/>
    <col min="25" max="25" width="12.3125" customWidth="1"/>
    <col min="26" max="26" width="12.83984375" customWidth="1"/>
    <col min="27" max="27" width="10.47265625" customWidth="1"/>
    <col min="28" max="28" width="10.83984375" customWidth="1"/>
    <col min="29" max="29" width="11.68359375" customWidth="1"/>
    <col min="30" max="30" width="10" customWidth="1"/>
    <col min="31" max="32" width="11.83984375" customWidth="1"/>
    <col min="33" max="33" width="12.3125" customWidth="1"/>
    <col min="34" max="34" width="11.68359375" customWidth="1"/>
    <col min="35" max="35" width="13.47265625" customWidth="1"/>
    <col min="36" max="36" width="13.15625" customWidth="1"/>
    <col min="37" max="37" width="7.15625" customWidth="1"/>
    <col min="38" max="38" width="12.15625" customWidth="1"/>
    <col min="39" max="39" width="9.68359375" customWidth="1"/>
    <col min="40" max="40" width="13.47265625" customWidth="1"/>
    <col min="41" max="41" width="13.3125" customWidth="1"/>
    <col min="42" max="43" width="13.47265625" customWidth="1"/>
    <col min="44" max="44" width="13" customWidth="1"/>
    <col min="45" max="45" width="8.3125" customWidth="1"/>
    <col min="46" max="46" width="7.15625" customWidth="1"/>
    <col min="47" max="47" width="10.47265625" customWidth="1"/>
    <col min="48" max="48" width="9.83984375" customWidth="1"/>
    <col min="49" max="49" width="12" customWidth="1"/>
    <col min="50" max="50" width="13.15625" customWidth="1"/>
    <col min="51" max="51" width="12.15625" customWidth="1"/>
    <col min="52" max="52" width="11.3125" customWidth="1"/>
    <col min="53" max="53" width="12" customWidth="1"/>
  </cols>
  <sheetData>
    <row r="1" spans="1:73" ht="15.75" customHeight="1" x14ac:dyDescent="0.6">
      <c r="A1" s="26" t="s">
        <v>208</v>
      </c>
      <c r="B1" s="26" t="s">
        <v>209</v>
      </c>
      <c r="C1" s="26" t="s">
        <v>210</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row>
    <row r="2" spans="1:73" ht="15.75" customHeight="1" x14ac:dyDescent="0.6">
      <c r="A2" s="29" t="s">
        <v>211</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row>
    <row r="3" spans="1:73" ht="15.75" customHeight="1" x14ac:dyDescent="0.6">
      <c r="A3" s="29" t="s">
        <v>212</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row>
    <row r="4" spans="1:73" ht="15.75" customHeight="1" x14ac:dyDescent="0.6">
      <c r="A4" s="29" t="s">
        <v>213</v>
      </c>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row>
    <row r="5" spans="1:73" ht="15.75" customHeight="1" x14ac:dyDescent="0.6">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row>
    <row r="6" spans="1:73" ht="15.75" customHeight="1" x14ac:dyDescent="0.6">
      <c r="A6" s="30" t="s">
        <v>214</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row>
    <row r="7" spans="1:73" ht="15.75" customHeight="1" x14ac:dyDescent="0.6">
      <c r="A7" s="30" t="s">
        <v>215</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row>
    <row r="8" spans="1:73" ht="15.75" customHeight="1" x14ac:dyDescent="0.6">
      <c r="A8" s="30" t="s">
        <v>216</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row>
    <row r="9" spans="1:73" ht="15.75" customHeight="1" x14ac:dyDescent="0.6">
      <c r="A9" s="30" t="s">
        <v>217</v>
      </c>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row>
    <row r="10" spans="1:73" ht="15.75" customHeight="1" x14ac:dyDescent="0.6">
      <c r="A10" s="30" t="s">
        <v>218</v>
      </c>
      <c r="B10" s="31"/>
      <c r="C10" s="31" t="s">
        <v>219</v>
      </c>
      <c r="D10" s="31" t="s">
        <v>220</v>
      </c>
      <c r="E10" s="31" t="s">
        <v>221</v>
      </c>
      <c r="F10" s="31" t="s">
        <v>222</v>
      </c>
      <c r="G10" s="31" t="s">
        <v>223</v>
      </c>
      <c r="H10" s="31" t="s">
        <v>224</v>
      </c>
      <c r="I10" s="31" t="s">
        <v>225</v>
      </c>
      <c r="J10" s="31" t="s">
        <v>226</v>
      </c>
      <c r="K10" s="31" t="s">
        <v>227</v>
      </c>
      <c r="L10" s="31" t="s">
        <v>228</v>
      </c>
      <c r="M10" s="31" t="s">
        <v>229</v>
      </c>
      <c r="N10" s="31" t="s">
        <v>230</v>
      </c>
      <c r="O10" s="32"/>
      <c r="P10" s="27"/>
      <c r="Q10" s="27"/>
      <c r="R10" s="27"/>
      <c r="S10" s="27"/>
      <c r="T10" s="27"/>
      <c r="U10" s="27"/>
      <c r="V10" s="27"/>
      <c r="W10" s="27"/>
      <c r="X10" s="27"/>
      <c r="Y10" s="27"/>
      <c r="Z10" s="27"/>
      <c r="AA10" s="27"/>
      <c r="AB10" s="27"/>
      <c r="AC10" s="27"/>
      <c r="AD10" s="27"/>
      <c r="AE10" s="27"/>
      <c r="AF10" s="27"/>
      <c r="AG10" s="27"/>
      <c r="AH10" s="27"/>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row>
    <row r="11" spans="1:73" ht="15.75" customHeight="1" x14ac:dyDescent="0.6">
      <c r="A11" s="30" t="s">
        <v>231</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row>
    <row r="12" spans="1:73" ht="15.75" customHeight="1" x14ac:dyDescent="0.6">
      <c r="A12" s="33"/>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row>
    <row r="13" spans="1:73" ht="15.75" customHeight="1" x14ac:dyDescent="0.6">
      <c r="A13" s="34" t="s">
        <v>232</v>
      </c>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35"/>
      <c r="AJ13" s="35"/>
      <c r="AK13" s="35"/>
      <c r="AL13" s="35"/>
      <c r="AM13" s="35"/>
      <c r="AN13" s="35"/>
      <c r="AO13" s="35"/>
      <c r="AP13" s="35"/>
      <c r="AQ13" s="35"/>
      <c r="AR13" s="35"/>
      <c r="AS13" s="35"/>
      <c r="AT13" s="35"/>
      <c r="AU13" s="35"/>
      <c r="AV13" s="35"/>
      <c r="AW13" s="35"/>
      <c r="AX13" s="35"/>
      <c r="AY13" s="35"/>
      <c r="AZ13" s="35"/>
      <c r="BA13" s="35"/>
      <c r="BB13" s="28"/>
      <c r="BC13" s="28"/>
      <c r="BD13" s="28"/>
      <c r="BE13" s="28"/>
      <c r="BF13" s="28"/>
      <c r="BG13" s="28"/>
      <c r="BH13" s="28"/>
      <c r="BI13" s="28"/>
      <c r="BJ13" s="28"/>
      <c r="BK13" s="28"/>
      <c r="BL13" s="28"/>
      <c r="BM13" s="28"/>
      <c r="BN13" s="28"/>
      <c r="BO13" s="28"/>
      <c r="BP13" s="28"/>
      <c r="BQ13" s="28"/>
      <c r="BR13" s="28"/>
      <c r="BS13" s="28"/>
      <c r="BT13" s="28"/>
      <c r="BU13" s="28"/>
    </row>
    <row r="14" spans="1:73" ht="15.75" customHeight="1" x14ac:dyDescent="0.6">
      <c r="A14" s="34" t="s">
        <v>233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35"/>
      <c r="AJ14" s="35"/>
      <c r="AK14" s="35"/>
      <c r="AL14" s="35"/>
      <c r="AM14" s="35"/>
      <c r="AN14" s="35"/>
      <c r="AO14" s="35"/>
      <c r="AP14" s="35"/>
      <c r="AQ14" s="35"/>
      <c r="AR14" s="35"/>
      <c r="AS14" s="35"/>
      <c r="AT14" s="35"/>
      <c r="AU14" s="35"/>
      <c r="AV14" s="35"/>
      <c r="AW14" s="35"/>
      <c r="AX14" s="35"/>
      <c r="AY14" s="35"/>
      <c r="AZ14" s="35"/>
      <c r="BA14" s="35"/>
      <c r="BB14" s="28"/>
      <c r="BC14" s="28"/>
      <c r="BD14" s="28"/>
      <c r="BE14" s="28"/>
      <c r="BF14" s="28"/>
      <c r="BG14" s="28"/>
      <c r="BH14" s="28"/>
      <c r="BI14" s="28"/>
      <c r="BJ14" s="28"/>
      <c r="BK14" s="28"/>
      <c r="BL14" s="28"/>
      <c r="BM14" s="28"/>
      <c r="BN14" s="28"/>
      <c r="BO14" s="28"/>
      <c r="BP14" s="28"/>
      <c r="BQ14" s="28"/>
      <c r="BR14" s="28"/>
      <c r="BS14" s="28"/>
      <c r="BT14" s="28"/>
      <c r="BU14" s="28"/>
    </row>
    <row r="15" spans="1:73" ht="15.75" customHeight="1" x14ac:dyDescent="0.6">
      <c r="A15" s="34" t="s">
        <v>234</v>
      </c>
      <c r="B15" s="36" t="s">
        <v>235</v>
      </c>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row>
    <row r="16" spans="1:73" ht="15.75" customHeight="1" x14ac:dyDescent="0.6">
      <c r="A16" s="34" t="s">
        <v>236</v>
      </c>
      <c r="B16" s="36" t="s">
        <v>237</v>
      </c>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row>
    <row r="17" spans="1:73" ht="15.75" customHeight="1" x14ac:dyDescent="0.55000000000000004">
      <c r="A17" s="34" t="s">
        <v>238</v>
      </c>
      <c r="B17" s="36" t="s">
        <v>239</v>
      </c>
      <c r="C17" s="36" t="s">
        <v>240</v>
      </c>
      <c r="D17" s="36" t="s">
        <v>241</v>
      </c>
      <c r="E17" s="36" t="s">
        <v>242</v>
      </c>
      <c r="F17" s="36" t="s">
        <v>243</v>
      </c>
      <c r="G17" s="36" t="s">
        <v>244</v>
      </c>
      <c r="H17" s="36" t="s">
        <v>245</v>
      </c>
      <c r="I17" s="36" t="s">
        <v>246</v>
      </c>
      <c r="J17" s="36" t="s">
        <v>247</v>
      </c>
      <c r="K17" s="36" t="s">
        <v>248</v>
      </c>
      <c r="L17" s="36" t="s">
        <v>249</v>
      </c>
      <c r="M17" s="36" t="s">
        <v>250</v>
      </c>
      <c r="N17" s="36" t="s">
        <v>251</v>
      </c>
      <c r="O17" s="36" t="s">
        <v>252</v>
      </c>
      <c r="P17" s="36" t="s">
        <v>253</v>
      </c>
      <c r="Q17" s="36" t="s">
        <v>254</v>
      </c>
      <c r="R17" s="36" t="s">
        <v>255</v>
      </c>
      <c r="S17" s="36" t="s">
        <v>256</v>
      </c>
      <c r="T17" s="36" t="s">
        <v>257</v>
      </c>
      <c r="U17" s="36" t="s">
        <v>258</v>
      </c>
      <c r="V17" s="36" t="s">
        <v>259</v>
      </c>
      <c r="W17" s="36" t="s">
        <v>260</v>
      </c>
      <c r="X17" s="36" t="s">
        <v>261</v>
      </c>
      <c r="Y17" s="36" t="s">
        <v>262</v>
      </c>
      <c r="Z17" s="36" t="s">
        <v>263</v>
      </c>
      <c r="AA17" s="36" t="s">
        <v>264</v>
      </c>
      <c r="AB17" s="36" t="s">
        <v>265</v>
      </c>
      <c r="AC17" s="36" t="s">
        <v>266</v>
      </c>
      <c r="AD17" s="36" t="s">
        <v>267</v>
      </c>
      <c r="AE17" s="36" t="s">
        <v>268</v>
      </c>
      <c r="AF17" s="36" t="s">
        <v>269</v>
      </c>
      <c r="AG17" s="36" t="s">
        <v>270</v>
      </c>
      <c r="AH17" s="36" t="s">
        <v>271</v>
      </c>
      <c r="AI17" s="36" t="s">
        <v>272</v>
      </c>
      <c r="AJ17" s="36" t="s">
        <v>273</v>
      </c>
      <c r="AK17" s="36" t="s">
        <v>274</v>
      </c>
      <c r="AL17" s="36" t="s">
        <v>275</v>
      </c>
      <c r="AM17" s="36" t="s">
        <v>276</v>
      </c>
      <c r="AN17" s="36" t="s">
        <v>277</v>
      </c>
      <c r="AO17" s="36" t="s">
        <v>278</v>
      </c>
      <c r="AP17" s="36" t="s">
        <v>279</v>
      </c>
      <c r="AQ17" s="36" t="s">
        <v>280</v>
      </c>
      <c r="AR17" s="36" t="s">
        <v>281</v>
      </c>
      <c r="AS17" s="36" t="s">
        <v>282</v>
      </c>
      <c r="AT17" s="36" t="s">
        <v>283</v>
      </c>
      <c r="AU17" s="36" t="s">
        <v>284</v>
      </c>
      <c r="AV17" s="36" t="s">
        <v>285</v>
      </c>
      <c r="AW17" s="36" t="s">
        <v>286</v>
      </c>
      <c r="AX17" s="36" t="s">
        <v>287</v>
      </c>
      <c r="AY17" s="36" t="s">
        <v>288</v>
      </c>
      <c r="AZ17" s="36" t="s">
        <v>289</v>
      </c>
      <c r="BA17" s="36" t="s">
        <v>290</v>
      </c>
      <c r="BB17" s="27"/>
      <c r="BC17" s="27"/>
      <c r="BD17" s="27"/>
      <c r="BE17" s="27"/>
      <c r="BF17" s="27"/>
      <c r="BG17" s="27"/>
      <c r="BH17" s="27"/>
      <c r="BI17" s="27"/>
      <c r="BJ17" s="27"/>
      <c r="BK17" s="27"/>
      <c r="BL17" s="27"/>
      <c r="BM17" s="27"/>
      <c r="BN17" s="27"/>
      <c r="BO17" s="27"/>
      <c r="BP17" s="27"/>
      <c r="BQ17" s="27"/>
      <c r="BR17" s="27"/>
      <c r="BS17" s="27"/>
      <c r="BT17" s="27"/>
      <c r="BU17" s="27"/>
    </row>
    <row r="18" spans="1:73" ht="15.75" customHeight="1" x14ac:dyDescent="0.55000000000000004">
      <c r="A18" s="34" t="s">
        <v>291</v>
      </c>
      <c r="B18" s="27"/>
      <c r="C18" s="36" t="s">
        <v>292</v>
      </c>
      <c r="D18" s="36" t="s">
        <v>293</v>
      </c>
      <c r="E18" s="36" t="s">
        <v>294</v>
      </c>
      <c r="F18" s="36" t="s">
        <v>295</v>
      </c>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row>
    <row r="19" spans="1:73" ht="15.75" customHeight="1" x14ac:dyDescent="0.55000000000000004">
      <c r="A19" s="34" t="s">
        <v>296</v>
      </c>
      <c r="B19" s="36" t="s">
        <v>297</v>
      </c>
      <c r="C19" s="36" t="s">
        <v>298</v>
      </c>
      <c r="D19" s="36" t="s">
        <v>299</v>
      </c>
      <c r="E19" s="36" t="s">
        <v>300</v>
      </c>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row>
    <row r="20" spans="1:73" ht="15.75" customHeight="1" x14ac:dyDescent="0.55000000000000004">
      <c r="A20" s="34" t="s">
        <v>301</v>
      </c>
      <c r="B20" s="27"/>
      <c r="C20" s="36" t="s">
        <v>302</v>
      </c>
      <c r="D20" s="36" t="s">
        <v>303</v>
      </c>
      <c r="E20" s="36" t="s">
        <v>304</v>
      </c>
      <c r="F20" s="36" t="s">
        <v>305</v>
      </c>
      <c r="G20" s="36" t="s">
        <v>306</v>
      </c>
      <c r="H20" s="36" t="s">
        <v>307</v>
      </c>
      <c r="I20" s="37" t="s">
        <v>308</v>
      </c>
      <c r="J20" s="36" t="s">
        <v>309</v>
      </c>
      <c r="K20" s="36" t="s">
        <v>310</v>
      </c>
      <c r="L20" s="37" t="s">
        <v>311</v>
      </c>
      <c r="M20" s="37" t="s">
        <v>312</v>
      </c>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row>
    <row r="21" spans="1:73" ht="15.75" customHeight="1" x14ac:dyDescent="0.55000000000000004">
      <c r="A21" s="34" t="s">
        <v>313</v>
      </c>
      <c r="B21" s="36" t="s">
        <v>314</v>
      </c>
      <c r="C21" s="36" t="s">
        <v>315</v>
      </c>
      <c r="D21" s="36" t="s">
        <v>316</v>
      </c>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row>
    <row r="22" spans="1:73" ht="15.75" customHeight="1" x14ac:dyDescent="0.55000000000000004">
      <c r="A22" s="38" t="s">
        <v>3869</v>
      </c>
      <c r="B22" s="256" t="s">
        <v>3880</v>
      </c>
      <c r="C22" s="37" t="s">
        <v>317</v>
      </c>
      <c r="D22" s="37" t="s">
        <v>318</v>
      </c>
      <c r="E22" s="39"/>
      <c r="F22" s="39"/>
      <c r="G22" s="39"/>
      <c r="H22" s="39"/>
      <c r="I22" s="39"/>
      <c r="J22" s="39"/>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row>
    <row r="23" spans="1:73" ht="15.75" customHeight="1" x14ac:dyDescent="0.55000000000000004">
      <c r="A23" s="34" t="s">
        <v>319</v>
      </c>
      <c r="B23" s="36" t="s">
        <v>320</v>
      </c>
      <c r="C23" s="36" t="s">
        <v>317</v>
      </c>
      <c r="D23" s="36" t="s">
        <v>318</v>
      </c>
      <c r="E23" s="39"/>
      <c r="F23" s="39"/>
      <c r="G23" s="39"/>
      <c r="H23" s="39"/>
      <c r="I23" s="39"/>
      <c r="J23" s="39"/>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row>
    <row r="24" spans="1:73" ht="15.75" customHeight="1" x14ac:dyDescent="0.55000000000000004">
      <c r="A24" s="34" t="s">
        <v>321</v>
      </c>
      <c r="B24" s="27"/>
      <c r="C24" s="36" t="s">
        <v>302</v>
      </c>
      <c r="D24" s="36" t="s">
        <v>303</v>
      </c>
      <c r="E24" s="36" t="s">
        <v>304</v>
      </c>
      <c r="F24" s="36" t="s">
        <v>305</v>
      </c>
      <c r="G24" s="36" t="s">
        <v>306</v>
      </c>
      <c r="H24" s="36" t="s">
        <v>307</v>
      </c>
      <c r="I24" s="37" t="s">
        <v>308</v>
      </c>
      <c r="J24" s="36" t="s">
        <v>309</v>
      </c>
      <c r="K24" s="36" t="s">
        <v>310</v>
      </c>
      <c r="L24" s="37" t="s">
        <v>311</v>
      </c>
      <c r="M24" s="37" t="s">
        <v>312</v>
      </c>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row>
    <row r="25" spans="1:73" ht="15.75" customHeight="1" x14ac:dyDescent="0.55000000000000004">
      <c r="A25" s="34" t="s">
        <v>322</v>
      </c>
      <c r="B25" s="36" t="s">
        <v>323</v>
      </c>
      <c r="C25" s="36" t="s">
        <v>324</v>
      </c>
      <c r="D25" s="36" t="s">
        <v>318</v>
      </c>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row>
    <row r="26" spans="1:73" ht="15.75" customHeight="1" x14ac:dyDescent="0.55000000000000004">
      <c r="A26" s="34" t="s">
        <v>325</v>
      </c>
      <c r="B26" s="27"/>
      <c r="C26" s="36" t="s">
        <v>326</v>
      </c>
      <c r="D26" s="36" t="s">
        <v>327</v>
      </c>
      <c r="E26" s="36" t="s">
        <v>328</v>
      </c>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row>
    <row r="27" spans="1:73" ht="15.75" customHeight="1" x14ac:dyDescent="0.55000000000000004">
      <c r="A27" s="33"/>
      <c r="B27" s="26"/>
      <c r="C27" s="26"/>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row>
    <row r="28" spans="1:73" ht="15.75" customHeight="1" x14ac:dyDescent="0.55000000000000004">
      <c r="A28" s="40" t="s">
        <v>329</v>
      </c>
      <c r="B28" s="26"/>
      <c r="C28" s="26"/>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row>
    <row r="29" spans="1:73" ht="15.75" customHeight="1" x14ac:dyDescent="0.55000000000000004">
      <c r="A29" s="40" t="s">
        <v>330</v>
      </c>
      <c r="B29" s="41"/>
      <c r="C29" s="41" t="s">
        <v>331</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row>
    <row r="30" spans="1:73" ht="15.75" customHeight="1" x14ac:dyDescent="0.55000000000000004">
      <c r="A30" s="40" t="s">
        <v>332</v>
      </c>
      <c r="B30" s="41"/>
      <c r="C30" s="41" t="s">
        <v>331</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row>
    <row r="31" spans="1:73" ht="15.75" customHeight="1" x14ac:dyDescent="0.55000000000000004">
      <c r="A31" s="40" t="s">
        <v>333</v>
      </c>
      <c r="B31" s="41"/>
      <c r="C31" s="41" t="s">
        <v>317</v>
      </c>
      <c r="D31" s="41" t="s">
        <v>318</v>
      </c>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row>
    <row r="32" spans="1:73" ht="15.75" customHeight="1" x14ac:dyDescent="0.55000000000000004">
      <c r="A32" s="33"/>
      <c r="B32" s="39"/>
      <c r="C32" s="39"/>
      <c r="D32" s="27"/>
      <c r="E32" s="27"/>
      <c r="F32" s="27"/>
      <c r="G32" s="27"/>
      <c r="H32" s="27"/>
      <c r="I32" s="27"/>
      <c r="J32" s="27"/>
      <c r="K32" s="27"/>
      <c r="L32" s="27"/>
      <c r="M32" s="27"/>
      <c r="N32" s="27"/>
      <c r="O32" s="27"/>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row>
    <row r="33" spans="1:73" ht="15.75" customHeight="1" x14ac:dyDescent="0.55000000000000004">
      <c r="A33" s="42" t="s">
        <v>334</v>
      </c>
      <c r="B33" s="27"/>
      <c r="C33" s="39"/>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ht="15.75" customHeight="1" x14ac:dyDescent="0.55000000000000004">
      <c r="A34" s="42" t="s">
        <v>335</v>
      </c>
      <c r="B34" s="27"/>
      <c r="C34" s="43" t="s">
        <v>336</v>
      </c>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ht="15.75" customHeight="1" x14ac:dyDescent="0.55000000000000004">
      <c r="A35" s="42" t="s">
        <v>337</v>
      </c>
      <c r="B35" s="27"/>
      <c r="C35" s="43" t="s">
        <v>338</v>
      </c>
      <c r="D35" s="43" t="s">
        <v>339</v>
      </c>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ht="15.75" customHeight="1" x14ac:dyDescent="0.55000000000000004">
      <c r="A36" s="42" t="s">
        <v>340</v>
      </c>
      <c r="B36" s="27"/>
      <c r="C36" s="43" t="s">
        <v>341</v>
      </c>
      <c r="D36" s="43" t="s">
        <v>342</v>
      </c>
      <c r="E36" s="43" t="s">
        <v>343</v>
      </c>
      <c r="F36" s="43" t="s">
        <v>344</v>
      </c>
      <c r="G36" s="43" t="s">
        <v>345</v>
      </c>
      <c r="H36" s="43" t="s">
        <v>346</v>
      </c>
      <c r="I36" s="43" t="s">
        <v>347</v>
      </c>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ht="15.75" customHeight="1" x14ac:dyDescent="0.55000000000000004">
      <c r="A37" s="42" t="s">
        <v>348</v>
      </c>
      <c r="B37" s="27"/>
      <c r="C37" s="43" t="s">
        <v>317</v>
      </c>
      <c r="D37" s="43" t="s">
        <v>318</v>
      </c>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ht="15.75" customHeight="1" x14ac:dyDescent="0.55000000000000004">
      <c r="A38" s="42" t="s">
        <v>349</v>
      </c>
      <c r="B38" s="27"/>
      <c r="C38" s="43" t="s">
        <v>350</v>
      </c>
      <c r="D38" s="43" t="s">
        <v>351</v>
      </c>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ht="15.75" customHeight="1" x14ac:dyDescent="0.55000000000000004">
      <c r="A39" s="42" t="s">
        <v>352</v>
      </c>
      <c r="B39" s="27"/>
      <c r="C39" s="43" t="s">
        <v>353</v>
      </c>
      <c r="D39" s="43" t="s">
        <v>354</v>
      </c>
      <c r="E39" s="43" t="s">
        <v>355</v>
      </c>
      <c r="F39" s="43" t="s">
        <v>356</v>
      </c>
      <c r="G39" s="43" t="s">
        <v>357</v>
      </c>
      <c r="H39" s="43" t="s">
        <v>358</v>
      </c>
      <c r="I39" s="43"/>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ht="15.75" customHeight="1" x14ac:dyDescent="0.55000000000000004">
      <c r="A40" s="42" t="s">
        <v>359</v>
      </c>
      <c r="B40" s="27"/>
      <c r="C40" s="43" t="s">
        <v>360</v>
      </c>
      <c r="D40" s="43" t="s">
        <v>361</v>
      </c>
      <c r="E40" s="43" t="s">
        <v>362</v>
      </c>
      <c r="F40" s="43" t="s">
        <v>363</v>
      </c>
      <c r="G40" s="43" t="s">
        <v>364</v>
      </c>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ht="15.75" customHeight="1" x14ac:dyDescent="0.55000000000000004">
      <c r="A41" s="42" t="s">
        <v>365</v>
      </c>
      <c r="B41" s="27"/>
      <c r="C41" s="43" t="s">
        <v>366</v>
      </c>
      <c r="D41" s="43" t="s">
        <v>367</v>
      </c>
      <c r="E41" s="43" t="s">
        <v>368</v>
      </c>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ht="15.75" customHeight="1" x14ac:dyDescent="0.55000000000000004">
      <c r="A42" s="42" t="s">
        <v>369</v>
      </c>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ht="15.75" customHeight="1" x14ac:dyDescent="0.55000000000000004">
      <c r="A43" s="42" t="s">
        <v>370</v>
      </c>
      <c r="B43" s="27"/>
      <c r="C43" s="43" t="s">
        <v>371</v>
      </c>
      <c r="D43" s="43" t="s">
        <v>372</v>
      </c>
      <c r="E43" s="43" t="s">
        <v>373</v>
      </c>
      <c r="F43" s="43" t="s">
        <v>374</v>
      </c>
      <c r="G43" s="43" t="s">
        <v>375</v>
      </c>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ht="15.75" customHeight="1" x14ac:dyDescent="0.55000000000000004">
      <c r="A44" s="42" t="s">
        <v>376</v>
      </c>
      <c r="B44" s="27"/>
      <c r="C44" s="43" t="s">
        <v>331</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ht="15.75" customHeight="1" x14ac:dyDescent="0.55000000000000004">
      <c r="A45" s="42" t="s">
        <v>377</v>
      </c>
      <c r="B45" s="27"/>
      <c r="C45" s="43" t="s">
        <v>331</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ht="15.75" customHeight="1" x14ac:dyDescent="0.55000000000000004">
      <c r="A46" s="42" t="s">
        <v>378</v>
      </c>
      <c r="B46" s="27"/>
      <c r="C46" s="43" t="s">
        <v>331</v>
      </c>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ht="15.75" customHeight="1" x14ac:dyDescent="0.55000000000000004">
      <c r="A47" s="42" t="s">
        <v>379</v>
      </c>
      <c r="B47" s="27"/>
      <c r="C47" s="43" t="s">
        <v>380</v>
      </c>
      <c r="D47" s="43" t="s">
        <v>381</v>
      </c>
      <c r="E47" s="43" t="s">
        <v>382</v>
      </c>
      <c r="F47" s="43" t="s">
        <v>383</v>
      </c>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ht="15.75" customHeight="1" x14ac:dyDescent="0.55000000000000004">
      <c r="A48" s="42" t="s">
        <v>384</v>
      </c>
      <c r="B48" s="43" t="s">
        <v>385</v>
      </c>
      <c r="C48" s="43" t="s">
        <v>324</v>
      </c>
      <c r="D48" s="43" t="s">
        <v>318</v>
      </c>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ht="15.75" customHeight="1" x14ac:dyDescent="0.55000000000000004">
      <c r="A49" s="42" t="s">
        <v>386</v>
      </c>
      <c r="B49" s="27"/>
      <c r="C49" s="43" t="s">
        <v>387</v>
      </c>
      <c r="D49" s="43" t="s">
        <v>388</v>
      </c>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ht="15.75" customHeight="1" x14ac:dyDescent="0.55000000000000004">
      <c r="A50" s="42" t="s">
        <v>389</v>
      </c>
      <c r="B50" s="43" t="s">
        <v>390</v>
      </c>
      <c r="C50" s="43" t="s">
        <v>391</v>
      </c>
      <c r="D50" s="43" t="s">
        <v>392</v>
      </c>
      <c r="E50" s="43" t="s">
        <v>393</v>
      </c>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ht="15.75" customHeight="1" x14ac:dyDescent="0.55000000000000004">
      <c r="A51" s="42" t="s">
        <v>394</v>
      </c>
      <c r="B51" s="27"/>
      <c r="C51" s="43" t="s">
        <v>317</v>
      </c>
      <c r="D51" s="43" t="s">
        <v>318</v>
      </c>
      <c r="E51" s="43" t="s">
        <v>395</v>
      </c>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ht="15.75" customHeight="1" x14ac:dyDescent="0.55000000000000004">
      <c r="A52" s="42" t="s">
        <v>396</v>
      </c>
      <c r="B52" s="27"/>
      <c r="C52" s="43" t="s">
        <v>397</v>
      </c>
      <c r="D52" s="43" t="s">
        <v>398</v>
      </c>
      <c r="E52" s="43" t="s">
        <v>399</v>
      </c>
      <c r="F52" s="43" t="s">
        <v>400</v>
      </c>
      <c r="G52" s="43" t="s">
        <v>401</v>
      </c>
      <c r="H52" s="43" t="s">
        <v>402</v>
      </c>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ht="15.75" customHeight="1" x14ac:dyDescent="0.55000000000000004">
      <c r="A53" s="42" t="s">
        <v>202</v>
      </c>
      <c r="B53" s="44" t="s">
        <v>403</v>
      </c>
      <c r="C53" s="43" t="s">
        <v>324</v>
      </c>
      <c r="D53" s="43" t="s">
        <v>404</v>
      </c>
      <c r="E53" s="43" t="s">
        <v>405</v>
      </c>
      <c r="F53" s="43" t="s">
        <v>406</v>
      </c>
      <c r="G53" s="27"/>
      <c r="H53" s="27"/>
      <c r="I53" s="27"/>
      <c r="J53" s="27"/>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row>
    <row r="54" spans="1:73" ht="15.75" customHeight="1" x14ac:dyDescent="0.55000000000000004">
      <c r="A54" s="42" t="s">
        <v>407</v>
      </c>
      <c r="B54" s="27"/>
      <c r="C54" s="27"/>
      <c r="D54" s="27"/>
      <c r="E54" s="27"/>
      <c r="F54" s="27"/>
      <c r="G54" s="27"/>
      <c r="H54" s="27"/>
      <c r="I54" s="27"/>
      <c r="J54" s="27"/>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row>
    <row r="55" spans="1:73" ht="15.75" customHeight="1" x14ac:dyDescent="0.55000000000000004">
      <c r="A55" s="33"/>
      <c r="B55" s="27"/>
      <c r="C55" s="27"/>
      <c r="D55" s="27"/>
      <c r="E55" s="27"/>
      <c r="F55" s="27"/>
      <c r="G55" s="27"/>
      <c r="H55" s="27"/>
      <c r="I55" s="27"/>
      <c r="J55" s="27"/>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row>
    <row r="56" spans="1:73" ht="15.75" customHeight="1" x14ac:dyDescent="0.55000000000000004">
      <c r="A56" s="45" t="s">
        <v>408</v>
      </c>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ht="15.75" customHeight="1" x14ac:dyDescent="0.55000000000000004">
      <c r="A57" s="45" t="s">
        <v>409</v>
      </c>
      <c r="B57" s="27"/>
      <c r="C57" s="46" t="s">
        <v>324</v>
      </c>
      <c r="D57" s="46" t="s">
        <v>318</v>
      </c>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ht="15.75" customHeight="1" x14ac:dyDescent="0.55000000000000004">
      <c r="A58" s="45" t="s">
        <v>410</v>
      </c>
      <c r="B58" s="27"/>
      <c r="C58" s="46" t="s">
        <v>324</v>
      </c>
      <c r="D58" s="46" t="s">
        <v>318</v>
      </c>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ht="15.75" customHeight="1" x14ac:dyDescent="0.55000000000000004">
      <c r="A59" s="45" t="s">
        <v>411</v>
      </c>
      <c r="B59" s="27"/>
      <c r="C59" s="46" t="s">
        <v>324</v>
      </c>
      <c r="D59" s="46" t="s">
        <v>412</v>
      </c>
      <c r="E59" s="46" t="s">
        <v>413</v>
      </c>
      <c r="F59" s="46" t="s">
        <v>414</v>
      </c>
      <c r="G59" s="46" t="s">
        <v>415</v>
      </c>
      <c r="H59" s="46" t="s">
        <v>416</v>
      </c>
      <c r="I59" s="46" t="s">
        <v>417</v>
      </c>
      <c r="J59" s="46" t="s">
        <v>418</v>
      </c>
      <c r="K59" s="46" t="s">
        <v>419</v>
      </c>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ht="15.75" customHeight="1" x14ac:dyDescent="0.55000000000000004">
      <c r="A60" s="45" t="s">
        <v>420</v>
      </c>
      <c r="B60" s="27"/>
      <c r="C60" s="46" t="s">
        <v>324</v>
      </c>
      <c r="D60" s="46" t="s">
        <v>421</v>
      </c>
      <c r="E60" s="46" t="s">
        <v>422</v>
      </c>
      <c r="F60" s="46" t="s">
        <v>423</v>
      </c>
      <c r="G60" s="46" t="s">
        <v>424</v>
      </c>
      <c r="H60" s="46" t="s">
        <v>425</v>
      </c>
      <c r="I60" s="46" t="s">
        <v>426</v>
      </c>
      <c r="J60" s="46" t="s">
        <v>427</v>
      </c>
      <c r="K60" s="46" t="s">
        <v>428</v>
      </c>
      <c r="L60" s="46" t="s">
        <v>429</v>
      </c>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ht="15.75" customHeight="1" x14ac:dyDescent="0.55000000000000004">
      <c r="A61" s="45" t="s">
        <v>430</v>
      </c>
      <c r="B61" s="27"/>
      <c r="C61" s="46" t="s">
        <v>326</v>
      </c>
      <c r="D61" s="46" t="s">
        <v>431</v>
      </c>
      <c r="E61" s="46" t="s">
        <v>432</v>
      </c>
      <c r="F61" s="46" t="s">
        <v>433</v>
      </c>
      <c r="G61" s="46" t="s">
        <v>434</v>
      </c>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ht="15.75" customHeight="1" x14ac:dyDescent="0.55000000000000004">
      <c r="A62" s="45" t="s">
        <v>435</v>
      </c>
      <c r="B62" s="27"/>
      <c r="C62" s="46" t="s">
        <v>324</v>
      </c>
      <c r="D62" s="46" t="s">
        <v>318</v>
      </c>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ht="15.75" customHeight="1" x14ac:dyDescent="0.55000000000000004">
      <c r="A63" s="45" t="s">
        <v>436</v>
      </c>
      <c r="B63" s="46" t="s">
        <v>437</v>
      </c>
      <c r="C63" s="46" t="s">
        <v>324</v>
      </c>
      <c r="D63" s="46" t="s">
        <v>318</v>
      </c>
      <c r="E63" s="46" t="s">
        <v>438</v>
      </c>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ht="15.75" customHeight="1" x14ac:dyDescent="0.55000000000000004">
      <c r="A64" s="45" t="s">
        <v>439</v>
      </c>
      <c r="B64" s="47" t="s">
        <v>440</v>
      </c>
      <c r="C64" s="46" t="s">
        <v>324</v>
      </c>
      <c r="D64" s="46" t="s">
        <v>441</v>
      </c>
      <c r="E64" s="46" t="s">
        <v>442</v>
      </c>
      <c r="F64" s="46"/>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ht="15.75" customHeight="1" x14ac:dyDescent="0.55000000000000004">
      <c r="A65" s="45" t="s">
        <v>443</v>
      </c>
      <c r="B65" s="27"/>
      <c r="C65" s="46" t="s">
        <v>326</v>
      </c>
      <c r="D65" s="46" t="s">
        <v>444</v>
      </c>
      <c r="E65" s="46" t="s">
        <v>445</v>
      </c>
      <c r="F65" s="46" t="s">
        <v>446</v>
      </c>
      <c r="G65" s="46" t="s">
        <v>447</v>
      </c>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ht="15.75" customHeight="1" x14ac:dyDescent="0.55000000000000004">
      <c r="A66" s="45" t="s">
        <v>448</v>
      </c>
      <c r="B66" s="47" t="s">
        <v>449</v>
      </c>
      <c r="C66" s="46" t="s">
        <v>324</v>
      </c>
      <c r="D66" s="46" t="s">
        <v>318</v>
      </c>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ht="15.75" customHeight="1" x14ac:dyDescent="0.55000000000000004">
      <c r="A67" s="45" t="s">
        <v>450</v>
      </c>
      <c r="B67" s="27"/>
      <c r="C67" s="46" t="s">
        <v>324</v>
      </c>
      <c r="D67" s="46" t="s">
        <v>318</v>
      </c>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ht="15.75" customHeight="1" x14ac:dyDescent="0.55000000000000004">
      <c r="A68" s="45" t="s">
        <v>451</v>
      </c>
      <c r="B68" s="27"/>
      <c r="C68" s="46" t="s">
        <v>324</v>
      </c>
      <c r="D68" s="46" t="s">
        <v>318</v>
      </c>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ht="15.75" customHeight="1" x14ac:dyDescent="0.55000000000000004">
      <c r="A69" s="45" t="s">
        <v>203</v>
      </c>
      <c r="B69" s="27"/>
      <c r="C69" s="46" t="s">
        <v>324</v>
      </c>
      <c r="D69" s="46" t="s">
        <v>452</v>
      </c>
      <c r="E69" s="46" t="s">
        <v>453</v>
      </c>
      <c r="F69" s="46" t="s">
        <v>454</v>
      </c>
      <c r="G69" s="46" t="s">
        <v>455</v>
      </c>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ht="15.75" customHeight="1" x14ac:dyDescent="0.55000000000000004">
      <c r="A70" s="45" t="s">
        <v>456</v>
      </c>
      <c r="B70" s="46" t="s">
        <v>457</v>
      </c>
      <c r="C70" s="46" t="s">
        <v>324</v>
      </c>
      <c r="D70" s="46" t="s">
        <v>318</v>
      </c>
      <c r="E70" s="46" t="s">
        <v>458</v>
      </c>
      <c r="F70" s="46" t="s">
        <v>459</v>
      </c>
      <c r="G70" s="27"/>
      <c r="H70" s="27"/>
      <c r="I70" s="27"/>
      <c r="J70" s="27"/>
      <c r="K70" s="27"/>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row>
    <row r="71" spans="1:73" ht="15.75" customHeight="1" x14ac:dyDescent="0.55000000000000004">
      <c r="A71" s="45" t="s">
        <v>460</v>
      </c>
      <c r="B71" s="27"/>
      <c r="C71" s="46" t="s">
        <v>324</v>
      </c>
      <c r="D71" s="46" t="s">
        <v>318</v>
      </c>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ht="15.75" customHeight="1" x14ac:dyDescent="0.55000000000000004">
      <c r="A72" s="33"/>
      <c r="B72" s="27"/>
      <c r="C72" s="27"/>
      <c r="D72" s="27"/>
      <c r="E72" s="27"/>
      <c r="F72" s="27"/>
      <c r="G72" s="27"/>
      <c r="H72" s="27"/>
      <c r="I72" s="27"/>
      <c r="J72" s="27"/>
      <c r="K72" s="27"/>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row>
    <row r="73" spans="1:73" ht="15.75" customHeight="1" x14ac:dyDescent="0.55000000000000004">
      <c r="A73" s="48" t="s">
        <v>461</v>
      </c>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ht="15.75" customHeight="1" x14ac:dyDescent="0.55000000000000004">
      <c r="A74" s="48" t="s">
        <v>462</v>
      </c>
      <c r="B74" s="27"/>
      <c r="C74" s="49" t="s">
        <v>324</v>
      </c>
      <c r="D74" s="49" t="s">
        <v>318</v>
      </c>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ht="15.75" customHeight="1" x14ac:dyDescent="0.55000000000000004">
      <c r="A75" s="48" t="s">
        <v>463</v>
      </c>
      <c r="B75" s="27"/>
      <c r="C75" s="49" t="s">
        <v>324</v>
      </c>
      <c r="D75" s="49" t="s">
        <v>318</v>
      </c>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ht="15.75" customHeight="1" x14ac:dyDescent="0.55000000000000004">
      <c r="A76" s="48" t="s">
        <v>464</v>
      </c>
      <c r="B76" s="27"/>
      <c r="C76" s="49" t="s">
        <v>324</v>
      </c>
      <c r="D76" s="49" t="s">
        <v>318</v>
      </c>
      <c r="E76" s="50"/>
      <c r="F76" s="50"/>
      <c r="G76" s="50"/>
      <c r="H76" s="50"/>
      <c r="I76" s="50"/>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ht="15.75" customHeight="1" x14ac:dyDescent="0.55000000000000004">
      <c r="A77" s="48" t="s">
        <v>465</v>
      </c>
      <c r="B77" s="27"/>
      <c r="C77" s="49" t="s">
        <v>324</v>
      </c>
      <c r="D77" s="49" t="s">
        <v>318</v>
      </c>
      <c r="E77" s="50"/>
      <c r="F77" s="50"/>
      <c r="G77" s="50"/>
      <c r="H77" s="50"/>
      <c r="I77" s="50"/>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ht="15.75" customHeight="1" x14ac:dyDescent="0.55000000000000004">
      <c r="A78" s="48" t="s">
        <v>466</v>
      </c>
      <c r="B78" s="27"/>
      <c r="C78" s="49" t="s">
        <v>324</v>
      </c>
      <c r="D78" s="49" t="s">
        <v>318</v>
      </c>
      <c r="E78" s="50"/>
      <c r="F78" s="50"/>
      <c r="G78" s="50"/>
      <c r="H78" s="50"/>
      <c r="I78" s="50"/>
      <c r="J78" s="39"/>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ht="15.75" customHeight="1" x14ac:dyDescent="0.55000000000000004">
      <c r="A79" s="48" t="s">
        <v>467</v>
      </c>
      <c r="B79" s="27"/>
      <c r="C79" s="49" t="s">
        <v>324</v>
      </c>
      <c r="D79" s="49" t="s">
        <v>318</v>
      </c>
      <c r="E79" s="50"/>
      <c r="F79" s="50"/>
      <c r="G79" s="50"/>
      <c r="H79" s="50"/>
      <c r="I79" s="50"/>
      <c r="J79" s="39"/>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ht="15.75" customHeight="1" x14ac:dyDescent="0.55000000000000004">
      <c r="A80" s="48" t="s">
        <v>468</v>
      </c>
      <c r="B80" s="49" t="s">
        <v>469</v>
      </c>
      <c r="C80" s="49" t="s">
        <v>324</v>
      </c>
      <c r="D80" s="49" t="s">
        <v>318</v>
      </c>
      <c r="E80" s="50"/>
      <c r="F80" s="50"/>
      <c r="G80" s="50"/>
      <c r="H80" s="50"/>
      <c r="I80" s="50"/>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ht="15.75" customHeight="1" x14ac:dyDescent="0.55000000000000004">
      <c r="A81" s="48" t="s">
        <v>470</v>
      </c>
      <c r="B81" s="49" t="s">
        <v>469</v>
      </c>
      <c r="C81" s="49" t="s">
        <v>324</v>
      </c>
      <c r="D81" s="49" t="s">
        <v>318</v>
      </c>
      <c r="E81" s="50"/>
      <c r="F81" s="50"/>
      <c r="G81" s="50"/>
      <c r="H81" s="50"/>
      <c r="I81" s="50"/>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ht="15.75" customHeight="1" x14ac:dyDescent="0.55000000000000004">
      <c r="A82" s="48" t="s">
        <v>471</v>
      </c>
      <c r="B82" s="49" t="s">
        <v>469</v>
      </c>
      <c r="C82" s="49" t="s">
        <v>324</v>
      </c>
      <c r="D82" s="49" t="s">
        <v>318</v>
      </c>
      <c r="E82" s="50"/>
      <c r="F82" s="50"/>
      <c r="G82" s="50"/>
      <c r="H82" s="50"/>
      <c r="I82" s="50"/>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ht="15.75" customHeight="1" x14ac:dyDescent="0.55000000000000004">
      <c r="A83" s="48" t="s">
        <v>472</v>
      </c>
      <c r="B83" s="49" t="s">
        <v>469</v>
      </c>
      <c r="C83" s="49" t="s">
        <v>324</v>
      </c>
      <c r="D83" s="49" t="s">
        <v>318</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ht="15.75" customHeight="1" x14ac:dyDescent="0.55000000000000004">
      <c r="A84" s="48" t="s">
        <v>473</v>
      </c>
      <c r="B84" s="49" t="s">
        <v>474</v>
      </c>
      <c r="C84" s="49" t="s">
        <v>475</v>
      </c>
      <c r="D84" s="49" t="s">
        <v>476</v>
      </c>
      <c r="E84" s="49" t="s">
        <v>477</v>
      </c>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ht="15.75" customHeight="1" x14ac:dyDescent="0.55000000000000004">
      <c r="A85" s="48" t="s">
        <v>478</v>
      </c>
      <c r="B85" s="27"/>
      <c r="C85" s="49" t="s">
        <v>324</v>
      </c>
      <c r="D85" s="49" t="s">
        <v>318</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ht="15.75" customHeight="1" x14ac:dyDescent="0.55000000000000004">
      <c r="A86" s="48" t="s">
        <v>479</v>
      </c>
      <c r="B86" s="49" t="s">
        <v>480</v>
      </c>
      <c r="C86" s="49" t="s">
        <v>324</v>
      </c>
      <c r="D86" s="49" t="s">
        <v>318</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ht="15.75" customHeight="1" x14ac:dyDescent="0.55000000000000004">
      <c r="A87" s="48" t="s">
        <v>481</v>
      </c>
      <c r="B87" s="49" t="s">
        <v>482</v>
      </c>
      <c r="C87" s="49" t="s">
        <v>324</v>
      </c>
      <c r="D87" s="49" t="s">
        <v>318</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ht="15.75" customHeight="1" x14ac:dyDescent="0.55000000000000004">
      <c r="A88" s="48" t="s">
        <v>483</v>
      </c>
      <c r="B88" s="27"/>
      <c r="C88" s="49" t="s">
        <v>324</v>
      </c>
      <c r="D88" s="49" t="s">
        <v>318</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ht="15.75" customHeight="1" x14ac:dyDescent="0.55000000000000004">
      <c r="A89" s="48" t="s">
        <v>484</v>
      </c>
      <c r="B89" s="27"/>
      <c r="C89" s="49" t="s">
        <v>324</v>
      </c>
      <c r="D89" s="49" t="s">
        <v>485</v>
      </c>
      <c r="E89" s="49" t="s">
        <v>486</v>
      </c>
      <c r="F89" s="49" t="s">
        <v>487</v>
      </c>
      <c r="G89" s="49" t="s">
        <v>488</v>
      </c>
      <c r="H89" s="49" t="s">
        <v>489</v>
      </c>
      <c r="I89" s="49" t="s">
        <v>490</v>
      </c>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ht="15.75" customHeight="1" x14ac:dyDescent="0.55000000000000004">
      <c r="A90" s="26"/>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ht="15.75" customHeight="1" x14ac:dyDescent="0.55000000000000004">
      <c r="A91" s="51" t="s">
        <v>491</v>
      </c>
      <c r="B91" s="27"/>
      <c r="C91" s="52"/>
      <c r="D91" s="52"/>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ht="15.75" customHeight="1" x14ac:dyDescent="0.55000000000000004">
      <c r="A92" s="51" t="s">
        <v>492</v>
      </c>
      <c r="B92" s="27"/>
      <c r="C92" s="52" t="s">
        <v>324</v>
      </c>
      <c r="D92" s="52" t="s">
        <v>493</v>
      </c>
      <c r="E92" s="52" t="s">
        <v>494</v>
      </c>
      <c r="F92" s="52" t="s">
        <v>495</v>
      </c>
      <c r="G92" s="52" t="s">
        <v>496</v>
      </c>
      <c r="H92" s="52" t="s">
        <v>497</v>
      </c>
      <c r="I92" s="52" t="s">
        <v>347</v>
      </c>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ht="15.75" customHeight="1" x14ac:dyDescent="0.55000000000000004">
      <c r="A93" s="51" t="s">
        <v>498</v>
      </c>
      <c r="B93" s="52" t="s">
        <v>499</v>
      </c>
      <c r="C93" s="52" t="s">
        <v>324</v>
      </c>
      <c r="D93" s="52" t="s">
        <v>318</v>
      </c>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ht="15.75" customHeight="1" x14ac:dyDescent="0.55000000000000004">
      <c r="A94" s="51" t="s">
        <v>500</v>
      </c>
      <c r="B94" s="27"/>
      <c r="C94" s="52" t="s">
        <v>501</v>
      </c>
      <c r="D94" s="52" t="s">
        <v>502</v>
      </c>
      <c r="E94" s="52" t="s">
        <v>503</v>
      </c>
      <c r="F94" s="52" t="s">
        <v>504</v>
      </c>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ht="15.75" customHeight="1" x14ac:dyDescent="0.55000000000000004">
      <c r="A95" s="51" t="s">
        <v>158</v>
      </c>
      <c r="B95" s="52" t="s">
        <v>505</v>
      </c>
      <c r="C95" s="52" t="s">
        <v>324</v>
      </c>
      <c r="D95" s="52" t="s">
        <v>318</v>
      </c>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ht="15.75" customHeight="1" x14ac:dyDescent="0.55000000000000004">
      <c r="A96" s="51" t="s">
        <v>156</v>
      </c>
      <c r="B96" s="52" t="s">
        <v>505</v>
      </c>
      <c r="C96" s="52" t="s">
        <v>324</v>
      </c>
      <c r="D96" s="52" t="s">
        <v>318</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ht="15.75" customHeight="1" x14ac:dyDescent="0.55000000000000004">
      <c r="A97" s="51" t="s">
        <v>506</v>
      </c>
      <c r="B97" s="52" t="s">
        <v>505</v>
      </c>
      <c r="C97" s="52" t="s">
        <v>324</v>
      </c>
      <c r="D97" s="52" t="s">
        <v>318</v>
      </c>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ht="15.75" customHeight="1" x14ac:dyDescent="0.55000000000000004">
      <c r="A98" s="51" t="s">
        <v>159</v>
      </c>
      <c r="B98" s="52" t="s">
        <v>505</v>
      </c>
      <c r="C98" s="52" t="s">
        <v>324</v>
      </c>
      <c r="D98" s="52" t="s">
        <v>318</v>
      </c>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ht="15.75" customHeight="1" x14ac:dyDescent="0.55000000000000004">
      <c r="A99" s="51" t="s">
        <v>160</v>
      </c>
      <c r="B99" s="52" t="s">
        <v>505</v>
      </c>
      <c r="C99" s="52" t="s">
        <v>324</v>
      </c>
      <c r="D99" s="52" t="s">
        <v>318</v>
      </c>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ht="15.75" customHeight="1" x14ac:dyDescent="0.55000000000000004">
      <c r="A100" s="51" t="s">
        <v>161</v>
      </c>
      <c r="B100" s="52" t="s">
        <v>505</v>
      </c>
      <c r="C100" s="52" t="s">
        <v>324</v>
      </c>
      <c r="D100" s="52" t="s">
        <v>318</v>
      </c>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ht="15.75" customHeight="1" x14ac:dyDescent="0.55000000000000004">
      <c r="A101" s="51" t="s">
        <v>162</v>
      </c>
      <c r="B101" s="52" t="s">
        <v>505</v>
      </c>
      <c r="C101" s="52" t="s">
        <v>324</v>
      </c>
      <c r="D101" s="52" t="s">
        <v>318</v>
      </c>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ht="15.75" customHeight="1" x14ac:dyDescent="0.55000000000000004">
      <c r="A102" s="51" t="s">
        <v>507</v>
      </c>
      <c r="B102" s="52" t="s">
        <v>505</v>
      </c>
      <c r="C102" s="52" t="s">
        <v>324</v>
      </c>
      <c r="D102" s="52" t="s">
        <v>318</v>
      </c>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ht="15.75" customHeight="1" x14ac:dyDescent="0.55000000000000004">
      <c r="A103" s="51" t="s">
        <v>164</v>
      </c>
      <c r="B103" s="52" t="s">
        <v>505</v>
      </c>
      <c r="C103" s="52" t="s">
        <v>324</v>
      </c>
      <c r="D103" s="52" t="s">
        <v>318</v>
      </c>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ht="15.75" customHeight="1" x14ac:dyDescent="0.55000000000000004">
      <c r="A104" s="33"/>
      <c r="B104" s="39"/>
      <c r="C104" s="39"/>
      <c r="D104" s="39"/>
      <c r="E104" s="27"/>
      <c r="F104" s="27"/>
      <c r="G104" s="27"/>
      <c r="H104" s="27"/>
      <c r="I104" s="27"/>
      <c r="J104" s="27"/>
      <c r="K104" s="27"/>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row>
    <row r="105" spans="1:73" ht="15.75" customHeight="1" x14ac:dyDescent="0.55000000000000004">
      <c r="A105" s="53" t="s">
        <v>508</v>
      </c>
      <c r="B105" s="39"/>
      <c r="C105" s="39"/>
      <c r="D105" s="39"/>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ht="15.75" customHeight="1" x14ac:dyDescent="0.55000000000000004">
      <c r="A106" s="53" t="s">
        <v>509</v>
      </c>
      <c r="B106" s="27"/>
      <c r="C106" s="54" t="s">
        <v>324</v>
      </c>
      <c r="D106" s="54" t="s">
        <v>510</v>
      </c>
      <c r="E106" s="54" t="s">
        <v>511</v>
      </c>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ht="15.75" customHeight="1" x14ac:dyDescent="0.55000000000000004">
      <c r="A107" s="53" t="s">
        <v>512</v>
      </c>
      <c r="B107" s="27"/>
      <c r="C107" s="54" t="s">
        <v>324</v>
      </c>
      <c r="D107" s="54" t="s">
        <v>318</v>
      </c>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ht="15.75" customHeight="1" x14ac:dyDescent="0.55000000000000004">
      <c r="A108" s="53" t="s">
        <v>513</v>
      </c>
      <c r="B108" s="27"/>
      <c r="C108" s="54" t="s">
        <v>326</v>
      </c>
      <c r="D108" s="54" t="s">
        <v>514</v>
      </c>
      <c r="E108" s="54" t="s">
        <v>515</v>
      </c>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ht="15.75" customHeight="1" x14ac:dyDescent="0.55000000000000004">
      <c r="A109" s="53" t="s">
        <v>516</v>
      </c>
      <c r="B109" s="27"/>
      <c r="C109" s="54" t="s">
        <v>324</v>
      </c>
      <c r="D109" s="54" t="s">
        <v>318</v>
      </c>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ht="15.75" customHeight="1" x14ac:dyDescent="0.55000000000000004">
      <c r="A110" s="53" t="s">
        <v>517</v>
      </c>
      <c r="B110" s="27"/>
      <c r="C110" s="54" t="s">
        <v>326</v>
      </c>
      <c r="D110" s="54" t="s">
        <v>514</v>
      </c>
      <c r="E110" s="54" t="s">
        <v>515</v>
      </c>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ht="15.75" customHeight="1" x14ac:dyDescent="0.55000000000000004">
      <c r="A111" s="53" t="s">
        <v>518</v>
      </c>
      <c r="B111" s="27"/>
      <c r="C111" s="54" t="s">
        <v>324</v>
      </c>
      <c r="D111" s="54" t="s">
        <v>318</v>
      </c>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ht="15.75" customHeight="1" x14ac:dyDescent="0.55000000000000004">
      <c r="A112" s="53" t="s">
        <v>519</v>
      </c>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ht="15.75" customHeight="1" x14ac:dyDescent="0.55000000000000004">
      <c r="A113" s="53" t="s">
        <v>520</v>
      </c>
      <c r="B113" s="55" t="s">
        <v>521</v>
      </c>
      <c r="C113" s="54" t="s">
        <v>324</v>
      </c>
      <c r="D113" s="54" t="s">
        <v>318</v>
      </c>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ht="15.75" customHeight="1" x14ac:dyDescent="0.55000000000000004">
      <c r="A114" s="53" t="s">
        <v>522</v>
      </c>
      <c r="B114" s="27"/>
      <c r="C114" s="54" t="s">
        <v>324</v>
      </c>
      <c r="D114" s="54" t="s">
        <v>523</v>
      </c>
      <c r="E114" s="54" t="s">
        <v>524</v>
      </c>
      <c r="F114" s="54" t="s">
        <v>525</v>
      </c>
      <c r="G114" s="55" t="s">
        <v>526</v>
      </c>
      <c r="H114" s="50"/>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ht="15.75" customHeight="1" x14ac:dyDescent="0.55000000000000004">
      <c r="A115" s="53" t="s">
        <v>527</v>
      </c>
      <c r="B115" s="27"/>
      <c r="C115" s="54" t="s">
        <v>324</v>
      </c>
      <c r="D115" s="54" t="s">
        <v>528</v>
      </c>
      <c r="E115" s="54" t="s">
        <v>529</v>
      </c>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ht="15.75" customHeight="1" x14ac:dyDescent="0.55000000000000004">
      <c r="A116" s="53" t="s">
        <v>530</v>
      </c>
      <c r="B116" s="27"/>
      <c r="C116" s="54" t="s">
        <v>324</v>
      </c>
      <c r="D116" s="54" t="s">
        <v>531</v>
      </c>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ht="15.75" customHeight="1" x14ac:dyDescent="0.6">
      <c r="A117" s="53" t="s">
        <v>532</v>
      </c>
      <c r="B117" s="27"/>
      <c r="C117" s="54" t="s">
        <v>324</v>
      </c>
      <c r="D117" s="54" t="s">
        <v>533</v>
      </c>
      <c r="E117" s="54" t="s">
        <v>534</v>
      </c>
      <c r="F117" s="54" t="s">
        <v>535</v>
      </c>
      <c r="G117" s="50"/>
      <c r="H117" s="50"/>
      <c r="I117" s="28"/>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ht="15.75" customHeight="1" x14ac:dyDescent="0.55000000000000004">
      <c r="A118" s="53" t="s">
        <v>536</v>
      </c>
      <c r="B118" s="27"/>
      <c r="C118" s="54" t="s">
        <v>324</v>
      </c>
      <c r="D118" s="54" t="s">
        <v>318</v>
      </c>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ht="15.75" customHeight="1" x14ac:dyDescent="0.55000000000000004">
      <c r="A119" s="53" t="s">
        <v>537</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ht="15.75" customHeight="1" x14ac:dyDescent="0.55000000000000004">
      <c r="A120" s="53" t="s">
        <v>538</v>
      </c>
      <c r="B120" s="27"/>
      <c r="C120" s="54" t="s">
        <v>324</v>
      </c>
      <c r="D120" s="54" t="s">
        <v>318</v>
      </c>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ht="15.75" customHeight="1" x14ac:dyDescent="0.55000000000000004">
      <c r="A121" s="33"/>
      <c r="B121" s="27"/>
      <c r="C121" s="27"/>
      <c r="D121" s="27"/>
      <c r="E121" s="27"/>
      <c r="F121" s="27"/>
      <c r="G121" s="27"/>
      <c r="H121" s="27"/>
      <c r="I121" s="27"/>
      <c r="J121" s="27"/>
      <c r="K121" s="27"/>
      <c r="L121" s="27"/>
      <c r="M121" s="27"/>
      <c r="N121" s="27"/>
      <c r="O121" s="27"/>
      <c r="P121" s="27"/>
      <c r="Q121" s="27"/>
      <c r="R121" s="27"/>
      <c r="S121" s="27"/>
      <c r="T121" s="27"/>
      <c r="U121" s="27"/>
      <c r="V121" s="27"/>
      <c r="W121" s="27"/>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row>
    <row r="122" spans="1:73" ht="15.75" customHeight="1" x14ac:dyDescent="0.55000000000000004">
      <c r="A122" s="56" t="s">
        <v>539</v>
      </c>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ht="15.75" customHeight="1" x14ac:dyDescent="0.55000000000000004">
      <c r="A123" s="56" t="s">
        <v>540</v>
      </c>
      <c r="B123" s="57" t="s">
        <v>541</v>
      </c>
      <c r="C123" s="57" t="s">
        <v>324</v>
      </c>
      <c r="D123" s="57" t="s">
        <v>542</v>
      </c>
      <c r="E123" s="57" t="s">
        <v>543</v>
      </c>
      <c r="F123" s="57" t="s">
        <v>544</v>
      </c>
      <c r="G123" s="57" t="s">
        <v>545</v>
      </c>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ht="15.75" customHeight="1" x14ac:dyDescent="0.55000000000000004">
      <c r="A124" s="56" t="s">
        <v>546</v>
      </c>
      <c r="B124" s="27"/>
      <c r="C124" s="57" t="s">
        <v>324</v>
      </c>
      <c r="D124" s="57" t="s">
        <v>547</v>
      </c>
      <c r="E124" s="57" t="s">
        <v>548</v>
      </c>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ht="15.75" customHeight="1" x14ac:dyDescent="0.55000000000000004">
      <c r="A125" s="56" t="s">
        <v>549</v>
      </c>
      <c r="B125" s="27"/>
      <c r="C125" s="57" t="s">
        <v>324</v>
      </c>
      <c r="D125" s="57" t="s">
        <v>550</v>
      </c>
      <c r="E125" s="57" t="s">
        <v>551</v>
      </c>
      <c r="F125" s="57" t="s">
        <v>552</v>
      </c>
      <c r="G125" s="57" t="s">
        <v>553</v>
      </c>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ht="15.75" customHeight="1" x14ac:dyDescent="0.55000000000000004">
      <c r="A126" s="56" t="s">
        <v>554</v>
      </c>
      <c r="B126" s="27"/>
      <c r="C126" s="57" t="s">
        <v>324</v>
      </c>
      <c r="D126" s="57" t="s">
        <v>318</v>
      </c>
      <c r="E126" s="27"/>
      <c r="F126" s="27"/>
      <c r="G126" s="26"/>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ht="15.75" customHeight="1" x14ac:dyDescent="0.55000000000000004">
      <c r="A127" s="56" t="s">
        <v>555</v>
      </c>
      <c r="B127" s="27"/>
      <c r="C127" s="57" t="s">
        <v>324</v>
      </c>
      <c r="D127" s="57" t="s">
        <v>318</v>
      </c>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ht="15.75" customHeight="1" x14ac:dyDescent="0.55000000000000004">
      <c r="A128" s="56" t="s">
        <v>556</v>
      </c>
      <c r="B128" s="57" t="s">
        <v>557</v>
      </c>
      <c r="C128" s="57" t="s">
        <v>324</v>
      </c>
      <c r="D128" s="57" t="s">
        <v>318</v>
      </c>
      <c r="E128" s="27"/>
      <c r="F128" s="27"/>
      <c r="G128" s="27"/>
      <c r="H128" s="27"/>
      <c r="I128" s="27"/>
      <c r="J128" s="27"/>
      <c r="K128" s="27"/>
      <c r="L128" s="27"/>
      <c r="M128" s="27"/>
      <c r="N128" s="27"/>
      <c r="O128" s="27"/>
      <c r="P128" s="27"/>
      <c r="Q128" s="27"/>
      <c r="R128" s="27"/>
      <c r="S128" s="27"/>
      <c r="T128" s="27"/>
      <c r="U128" s="27"/>
      <c r="V128" s="27"/>
      <c r="W128" s="27"/>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row>
    <row r="129" spans="1:73" ht="15.75" customHeight="1" x14ac:dyDescent="0.55000000000000004">
      <c r="A129" s="56" t="s">
        <v>558</v>
      </c>
      <c r="B129" s="57" t="s">
        <v>559</v>
      </c>
      <c r="C129" s="57" t="s">
        <v>324</v>
      </c>
      <c r="D129" s="57" t="s">
        <v>318</v>
      </c>
      <c r="E129" s="27"/>
      <c r="F129" s="27"/>
      <c r="G129" s="27"/>
      <c r="H129" s="27"/>
      <c r="I129" s="27"/>
      <c r="J129" s="27"/>
      <c r="K129" s="27"/>
      <c r="L129" s="27"/>
      <c r="M129" s="27"/>
      <c r="N129" s="27"/>
      <c r="O129" s="27"/>
      <c r="P129" s="27"/>
      <c r="Q129" s="27"/>
      <c r="R129" s="27"/>
      <c r="S129" s="27"/>
      <c r="T129" s="27"/>
      <c r="U129" s="27"/>
      <c r="V129" s="27"/>
      <c r="W129" s="27"/>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row>
    <row r="130" spans="1:73" ht="15.75" customHeight="1" x14ac:dyDescent="0.55000000000000004">
      <c r="A130" s="56" t="s">
        <v>560</v>
      </c>
      <c r="B130" s="57"/>
      <c r="C130" s="57" t="s">
        <v>324</v>
      </c>
      <c r="D130" s="57" t="s">
        <v>318</v>
      </c>
      <c r="E130" s="27"/>
      <c r="F130" s="27"/>
      <c r="G130" s="27"/>
      <c r="H130" s="27"/>
      <c r="I130" s="27"/>
      <c r="J130" s="27"/>
      <c r="K130" s="27"/>
      <c r="L130" s="27"/>
      <c r="M130" s="27"/>
      <c r="N130" s="27"/>
      <c r="O130" s="27"/>
      <c r="P130" s="27"/>
      <c r="Q130" s="27"/>
      <c r="R130" s="27"/>
      <c r="S130" s="27"/>
      <c r="T130" s="27"/>
      <c r="U130" s="27"/>
      <c r="V130" s="27"/>
      <c r="W130" s="27"/>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row>
    <row r="131" spans="1:73" ht="15.75" customHeight="1" x14ac:dyDescent="0.55000000000000004">
      <c r="A131" s="56" t="s">
        <v>561</v>
      </c>
      <c r="B131" s="57" t="s">
        <v>562</v>
      </c>
      <c r="C131" s="57" t="s">
        <v>324</v>
      </c>
      <c r="D131" s="57" t="s">
        <v>318</v>
      </c>
      <c r="E131" s="27"/>
      <c r="F131" s="27"/>
      <c r="G131" s="27"/>
      <c r="H131" s="27"/>
      <c r="I131" s="27"/>
      <c r="J131" s="27"/>
      <c r="K131" s="27"/>
      <c r="L131" s="27"/>
      <c r="M131" s="27"/>
      <c r="N131" s="27"/>
      <c r="O131" s="27"/>
      <c r="P131" s="27"/>
      <c r="Q131" s="27"/>
      <c r="R131" s="27"/>
      <c r="S131" s="27"/>
      <c r="T131" s="27"/>
      <c r="U131" s="27"/>
      <c r="V131" s="27"/>
      <c r="W131" s="27"/>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row>
    <row r="132" spans="1:73" ht="15.75" customHeight="1" x14ac:dyDescent="0.55000000000000004">
      <c r="A132" s="56" t="s">
        <v>563</v>
      </c>
      <c r="B132" s="57" t="s">
        <v>564</v>
      </c>
      <c r="C132" s="57" t="s">
        <v>324</v>
      </c>
      <c r="D132" s="57" t="s">
        <v>318</v>
      </c>
      <c r="E132" s="27"/>
      <c r="F132" s="27"/>
      <c r="G132" s="27"/>
      <c r="H132" s="27"/>
      <c r="I132" s="27"/>
      <c r="J132" s="27"/>
      <c r="K132" s="27"/>
      <c r="L132" s="27"/>
      <c r="M132" s="27"/>
      <c r="N132" s="27"/>
      <c r="O132" s="27"/>
      <c r="P132" s="27"/>
      <c r="Q132" s="27"/>
      <c r="R132" s="27"/>
      <c r="S132" s="27"/>
      <c r="T132" s="27"/>
      <c r="U132" s="27"/>
      <c r="V132" s="27"/>
      <c r="W132" s="27"/>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row>
    <row r="133" spans="1:73" ht="15.75" customHeight="1" x14ac:dyDescent="0.55000000000000004">
      <c r="A133" s="56" t="s">
        <v>565</v>
      </c>
      <c r="B133" s="27"/>
      <c r="C133" s="57" t="s">
        <v>324</v>
      </c>
      <c r="D133" s="57" t="s">
        <v>318</v>
      </c>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ht="15.75" customHeight="1" x14ac:dyDescent="0.55000000000000004">
      <c r="A134" s="56" t="s">
        <v>566</v>
      </c>
      <c r="B134" s="27"/>
      <c r="C134" s="57" t="s">
        <v>324</v>
      </c>
      <c r="D134" s="57" t="s">
        <v>318</v>
      </c>
      <c r="E134" s="57" t="s">
        <v>567</v>
      </c>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ht="15.75" customHeight="1" x14ac:dyDescent="0.55000000000000004">
      <c r="A135" s="56" t="s">
        <v>568</v>
      </c>
      <c r="B135" s="27"/>
      <c r="C135" s="57" t="s">
        <v>324</v>
      </c>
      <c r="D135" s="57" t="s">
        <v>318</v>
      </c>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ht="15.75" customHeight="1" x14ac:dyDescent="0.55000000000000004">
      <c r="A136" s="56" t="s">
        <v>569</v>
      </c>
      <c r="B136" s="57" t="s">
        <v>570</v>
      </c>
      <c r="C136" s="57" t="s">
        <v>571</v>
      </c>
      <c r="D136" s="57" t="s">
        <v>572</v>
      </c>
      <c r="E136" s="57" t="s">
        <v>573</v>
      </c>
      <c r="F136" s="57" t="s">
        <v>574</v>
      </c>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ht="15.75" customHeight="1" x14ac:dyDescent="0.55000000000000004">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ht="15.75" customHeight="1" x14ac:dyDescent="0.55000000000000004">
      <c r="A138" s="58" t="s">
        <v>575</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ht="15.75" customHeight="1" x14ac:dyDescent="0.55000000000000004">
      <c r="A139" s="58" t="s">
        <v>576</v>
      </c>
      <c r="B139" s="27"/>
      <c r="C139" s="59" t="s">
        <v>324</v>
      </c>
      <c r="D139" s="59" t="s">
        <v>318</v>
      </c>
      <c r="E139" s="59" t="s">
        <v>577</v>
      </c>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ht="15.75" customHeight="1" x14ac:dyDescent="0.55000000000000004">
      <c r="A140" s="58" t="s">
        <v>578</v>
      </c>
      <c r="B140" s="60" t="s">
        <v>579</v>
      </c>
      <c r="C140" s="59" t="s">
        <v>324</v>
      </c>
      <c r="D140" s="59" t="s">
        <v>318</v>
      </c>
      <c r="E140" s="39"/>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ht="15.75" customHeight="1" x14ac:dyDescent="0.55000000000000004">
      <c r="A141" s="58" t="s">
        <v>580</v>
      </c>
      <c r="B141" s="27"/>
      <c r="C141" s="59" t="s">
        <v>581</v>
      </c>
      <c r="D141" s="59" t="s">
        <v>582</v>
      </c>
      <c r="E141" s="59" t="s">
        <v>583</v>
      </c>
      <c r="F141" s="59" t="s">
        <v>584</v>
      </c>
      <c r="G141" s="59" t="s">
        <v>585</v>
      </c>
      <c r="H141" s="59" t="s">
        <v>586</v>
      </c>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ht="15.75" customHeight="1" x14ac:dyDescent="0.55000000000000004">
      <c r="A142" s="58" t="s">
        <v>587</v>
      </c>
      <c r="B142" s="27"/>
      <c r="C142" s="59" t="s">
        <v>588</v>
      </c>
      <c r="D142" s="59" t="s">
        <v>589</v>
      </c>
      <c r="E142" s="59" t="s">
        <v>590</v>
      </c>
      <c r="F142" s="59" t="s">
        <v>591</v>
      </c>
      <c r="G142" s="59" t="s">
        <v>592</v>
      </c>
      <c r="H142" s="59" t="s">
        <v>593</v>
      </c>
      <c r="I142" s="59" t="s">
        <v>594</v>
      </c>
      <c r="J142" s="59" t="s">
        <v>595</v>
      </c>
      <c r="K142" s="59" t="s">
        <v>596</v>
      </c>
      <c r="L142" s="59" t="s">
        <v>429</v>
      </c>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ht="15.75" customHeight="1" x14ac:dyDescent="0.55000000000000004">
      <c r="A143" s="58" t="s">
        <v>597</v>
      </c>
      <c r="B143" s="27"/>
      <c r="C143" s="59" t="s">
        <v>598</v>
      </c>
      <c r="D143" s="59" t="s">
        <v>599</v>
      </c>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ht="15.75" customHeight="1" x14ac:dyDescent="0.55000000000000004">
      <c r="A144" s="58" t="s">
        <v>600</v>
      </c>
      <c r="B144" s="27"/>
      <c r="C144" s="59" t="s">
        <v>324</v>
      </c>
      <c r="D144" s="59" t="s">
        <v>318</v>
      </c>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ht="15.75" customHeight="1" x14ac:dyDescent="0.55000000000000004">
      <c r="A145" s="58" t="s">
        <v>601</v>
      </c>
      <c r="B145" s="27"/>
      <c r="C145" s="59" t="s">
        <v>324</v>
      </c>
      <c r="D145" s="59" t="s">
        <v>318</v>
      </c>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ht="15.75" customHeight="1" x14ac:dyDescent="0.55000000000000004">
      <c r="A146" s="58" t="s">
        <v>602</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ht="15.75" customHeight="1" x14ac:dyDescent="0.55000000000000004">
      <c r="A147" s="58" t="s">
        <v>603</v>
      </c>
      <c r="B147" s="60" t="s">
        <v>604</v>
      </c>
      <c r="C147" s="59" t="s">
        <v>324</v>
      </c>
      <c r="D147" s="59" t="s">
        <v>318</v>
      </c>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ht="15.75" customHeight="1" x14ac:dyDescent="0.55000000000000004">
      <c r="A148" s="58" t="s">
        <v>605</v>
      </c>
      <c r="B148" s="27"/>
      <c r="C148" s="59" t="s">
        <v>324</v>
      </c>
      <c r="D148" s="59" t="s">
        <v>606</v>
      </c>
      <c r="E148" s="59" t="s">
        <v>607</v>
      </c>
      <c r="F148" s="39"/>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ht="15.75" customHeight="1" x14ac:dyDescent="0.55000000000000004">
      <c r="A149" s="58" t="s">
        <v>608</v>
      </c>
      <c r="B149" s="27"/>
      <c r="C149" s="39"/>
      <c r="D149" s="39"/>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ht="15.75" customHeight="1" x14ac:dyDescent="0.55000000000000004">
      <c r="A150" s="58" t="s">
        <v>609</v>
      </c>
      <c r="B150" s="27"/>
      <c r="C150" s="59" t="s">
        <v>324</v>
      </c>
      <c r="D150" s="59" t="s">
        <v>318</v>
      </c>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ht="15.75" customHeight="1" x14ac:dyDescent="0.55000000000000004">
      <c r="A151" s="58" t="s">
        <v>610</v>
      </c>
      <c r="B151" s="60" t="s">
        <v>611</v>
      </c>
      <c r="C151" s="59" t="s">
        <v>324</v>
      </c>
      <c r="D151" s="59" t="s">
        <v>318</v>
      </c>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ht="15.75" customHeight="1" x14ac:dyDescent="0.55000000000000004">
      <c r="A152" s="26"/>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ht="15.75" customHeight="1" x14ac:dyDescent="0.55000000000000004">
      <c r="A153" s="61" t="s">
        <v>612</v>
      </c>
      <c r="B153" s="32"/>
      <c r="C153" s="32"/>
      <c r="D153" s="32"/>
      <c r="E153" s="32"/>
      <c r="F153" s="32"/>
      <c r="G153" s="32"/>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ht="15.75" customHeight="1" x14ac:dyDescent="0.55000000000000004">
      <c r="A154" s="62" t="s">
        <v>613</v>
      </c>
      <c r="B154" s="27"/>
      <c r="C154" s="63" t="s">
        <v>324</v>
      </c>
      <c r="D154" s="63" t="s">
        <v>318</v>
      </c>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ht="15.75" customHeight="1" x14ac:dyDescent="0.55000000000000004">
      <c r="A155" s="62" t="s">
        <v>614</v>
      </c>
      <c r="B155" s="27"/>
      <c r="C155" s="63" t="s">
        <v>615</v>
      </c>
      <c r="D155" s="63" t="s">
        <v>616</v>
      </c>
      <c r="E155" s="63" t="s">
        <v>617</v>
      </c>
      <c r="F155" s="63" t="s">
        <v>618</v>
      </c>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ht="15.75" customHeight="1" x14ac:dyDescent="0.55000000000000004">
      <c r="A156" s="61" t="s">
        <v>619</v>
      </c>
      <c r="B156" s="32"/>
      <c r="C156" s="64" t="s">
        <v>331</v>
      </c>
      <c r="D156" s="32"/>
      <c r="E156" s="32"/>
      <c r="F156" s="32"/>
      <c r="G156" s="32"/>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ht="15.75" customHeight="1" x14ac:dyDescent="0.55000000000000004">
      <c r="A157" s="61" t="s">
        <v>620</v>
      </c>
      <c r="B157" s="32"/>
      <c r="C157" s="64" t="s">
        <v>317</v>
      </c>
      <c r="D157" s="64" t="s">
        <v>318</v>
      </c>
      <c r="E157" s="32"/>
      <c r="F157" s="32"/>
      <c r="G157" s="32"/>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ht="15.75" customHeight="1" x14ac:dyDescent="0.55000000000000004">
      <c r="A158" s="61" t="s">
        <v>621</v>
      </c>
      <c r="B158" s="32"/>
      <c r="C158" s="32"/>
      <c r="D158" s="32"/>
      <c r="E158" s="32"/>
      <c r="F158" s="32"/>
      <c r="G158" s="32"/>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row r="159" spans="1:73" ht="15.75" customHeight="1" x14ac:dyDescent="0.55000000000000004">
      <c r="A159" s="33"/>
      <c r="B159" s="26"/>
      <c r="C159" s="26"/>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row>
    <row r="160" spans="1:73" ht="15.75" customHeight="1" x14ac:dyDescent="0.55000000000000004">
      <c r="A160" s="65" t="s">
        <v>622</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row>
    <row r="161" spans="1:73" ht="15.75" customHeight="1" x14ac:dyDescent="0.55000000000000004">
      <c r="A161" s="65" t="s">
        <v>623</v>
      </c>
      <c r="B161" s="27"/>
      <c r="C161" s="66" t="s">
        <v>624</v>
      </c>
      <c r="D161" s="66" t="s">
        <v>625</v>
      </c>
      <c r="E161" s="66" t="s">
        <v>626</v>
      </c>
      <c r="F161" s="66" t="s">
        <v>627</v>
      </c>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row>
    <row r="162" spans="1:73" ht="15.75" customHeight="1" x14ac:dyDescent="0.55000000000000004">
      <c r="A162" s="65" t="s">
        <v>628</v>
      </c>
      <c r="B162" s="27"/>
      <c r="C162" s="66" t="s">
        <v>629</v>
      </c>
      <c r="D162" s="66" t="s">
        <v>630</v>
      </c>
      <c r="E162" s="39"/>
      <c r="F162" s="39"/>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row>
    <row r="163" spans="1:73" ht="15.75" customHeight="1" x14ac:dyDescent="0.55000000000000004">
      <c r="A163" s="65" t="s">
        <v>631</v>
      </c>
      <c r="B163" s="66" t="s">
        <v>632</v>
      </c>
      <c r="C163" s="66" t="s">
        <v>317</v>
      </c>
      <c r="D163" s="66" t="s">
        <v>318</v>
      </c>
      <c r="E163" s="66" t="s">
        <v>633</v>
      </c>
      <c r="F163" s="66" t="s">
        <v>634</v>
      </c>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row>
    <row r="164" spans="1:73" ht="15.75" customHeight="1" x14ac:dyDescent="0.55000000000000004">
      <c r="A164" s="65" t="s">
        <v>635</v>
      </c>
      <c r="B164" s="27"/>
      <c r="C164" s="66" t="s">
        <v>326</v>
      </c>
      <c r="D164" s="66" t="s">
        <v>636</v>
      </c>
      <c r="E164" s="66" t="s">
        <v>637</v>
      </c>
      <c r="F164" s="66" t="s">
        <v>638</v>
      </c>
      <c r="G164" s="66" t="s">
        <v>639</v>
      </c>
      <c r="H164" s="66" t="s">
        <v>640</v>
      </c>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row>
    <row r="165" spans="1:73" ht="15.75" customHeight="1" x14ac:dyDescent="0.55000000000000004">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row>
    <row r="166" spans="1:73" ht="15.75" customHeight="1" x14ac:dyDescent="0.55000000000000004">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row>
    <row r="167" spans="1:73" ht="15.75" customHeight="1" x14ac:dyDescent="0.55000000000000004">
      <c r="A167" s="67" t="s">
        <v>641</v>
      </c>
      <c r="B167" s="32"/>
      <c r="C167" s="32"/>
      <c r="D167" s="32"/>
      <c r="E167" s="32"/>
      <c r="F167" s="32"/>
      <c r="G167" s="32"/>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row>
    <row r="168" spans="1:73" ht="15.75" customHeight="1" x14ac:dyDescent="0.55000000000000004">
      <c r="A168" s="68" t="s">
        <v>642</v>
      </c>
      <c r="B168" s="32"/>
      <c r="C168" s="32"/>
      <c r="D168" s="32"/>
      <c r="E168" s="32"/>
      <c r="F168" s="32"/>
      <c r="G168" s="32"/>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row>
    <row r="169" spans="1:73" ht="15.75" customHeight="1" x14ac:dyDescent="0.55000000000000004">
      <c r="A169" s="68" t="s">
        <v>643</v>
      </c>
      <c r="B169" s="32" t="s">
        <v>644</v>
      </c>
      <c r="C169" s="69" t="s">
        <v>645</v>
      </c>
      <c r="D169" s="69" t="s">
        <v>646</v>
      </c>
      <c r="E169" s="69" t="s">
        <v>647</v>
      </c>
      <c r="F169" s="69" t="s">
        <v>648</v>
      </c>
      <c r="G169" s="32"/>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row>
    <row r="170" spans="1:73" ht="15.75" customHeight="1" x14ac:dyDescent="0.55000000000000004">
      <c r="A170" s="68" t="s">
        <v>174</v>
      </c>
      <c r="B170" s="32"/>
      <c r="C170" s="69" t="s">
        <v>649</v>
      </c>
      <c r="D170" s="69" t="s">
        <v>650</v>
      </c>
      <c r="E170" s="69" t="s">
        <v>651</v>
      </c>
      <c r="F170" s="32"/>
      <c r="G170" s="32"/>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row>
    <row r="171" spans="1:73" ht="15.75" customHeight="1" x14ac:dyDescent="0.55000000000000004">
      <c r="A171" s="68" t="s">
        <v>652</v>
      </c>
      <c r="B171" s="32"/>
      <c r="C171" s="69" t="s">
        <v>317</v>
      </c>
      <c r="D171" s="69" t="s">
        <v>318</v>
      </c>
      <c r="E171" s="69" t="s">
        <v>653</v>
      </c>
      <c r="F171" s="32"/>
      <c r="G171" s="32"/>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row>
    <row r="172" spans="1:73" ht="15.75" customHeight="1" x14ac:dyDescent="0.55000000000000004">
      <c r="A172" s="68" t="s">
        <v>654</v>
      </c>
      <c r="B172" s="32"/>
      <c r="C172" s="69" t="s">
        <v>317</v>
      </c>
      <c r="D172" s="69" t="s">
        <v>318</v>
      </c>
      <c r="E172" s="32"/>
      <c r="F172" s="32"/>
      <c r="G172" s="32"/>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row>
    <row r="173" spans="1:73" ht="15.75" customHeight="1" x14ac:dyDescent="0.55000000000000004">
      <c r="A173" s="68" t="s">
        <v>655</v>
      </c>
      <c r="B173" s="32"/>
      <c r="C173" s="69" t="s">
        <v>656</v>
      </c>
      <c r="D173" s="69" t="s">
        <v>318</v>
      </c>
      <c r="E173" s="70"/>
      <c r="F173" s="32"/>
      <c r="G173" s="32"/>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row>
    <row r="174" spans="1:73" ht="15.75" customHeight="1" x14ac:dyDescent="0.55000000000000004">
      <c r="A174" s="68" t="s">
        <v>657</v>
      </c>
      <c r="B174" s="32"/>
      <c r="C174" s="69" t="s">
        <v>658</v>
      </c>
      <c r="D174" s="69" t="s">
        <v>659</v>
      </c>
      <c r="E174" s="32"/>
      <c r="F174" s="32"/>
      <c r="G174" s="32"/>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row>
    <row r="175" spans="1:73" ht="15.75" customHeight="1" x14ac:dyDescent="0.55000000000000004">
      <c r="A175" s="68" t="s">
        <v>660</v>
      </c>
      <c r="B175" s="69" t="s">
        <v>661</v>
      </c>
      <c r="C175" s="69" t="s">
        <v>662</v>
      </c>
      <c r="D175" s="69" t="s">
        <v>663</v>
      </c>
      <c r="E175" s="69" t="s">
        <v>664</v>
      </c>
      <c r="F175" s="69" t="s">
        <v>665</v>
      </c>
      <c r="G175" s="70"/>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row>
    <row r="176" spans="1:73" ht="15.75" customHeight="1" x14ac:dyDescent="0.55000000000000004">
      <c r="A176" s="68" t="s">
        <v>666</v>
      </c>
      <c r="B176" s="69" t="s">
        <v>661</v>
      </c>
      <c r="C176" s="69" t="s">
        <v>667</v>
      </c>
      <c r="D176" s="69" t="s">
        <v>668</v>
      </c>
      <c r="E176" s="69" t="s">
        <v>669</v>
      </c>
      <c r="F176" s="69" t="s">
        <v>670</v>
      </c>
      <c r="G176" s="69" t="s">
        <v>671</v>
      </c>
      <c r="H176" s="71" t="s">
        <v>672</v>
      </c>
      <c r="I176" s="71" t="s">
        <v>673</v>
      </c>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row>
    <row r="177" spans="1:73" ht="15.75" customHeight="1" x14ac:dyDescent="0.55000000000000004">
      <c r="A177" s="68" t="s">
        <v>674</v>
      </c>
      <c r="B177" s="32"/>
      <c r="C177" s="69" t="s">
        <v>317</v>
      </c>
      <c r="D177" s="69" t="s">
        <v>318</v>
      </c>
      <c r="E177" s="32"/>
      <c r="F177" s="32"/>
      <c r="G177" s="32"/>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row>
    <row r="178" spans="1:73" ht="15.75" customHeight="1" x14ac:dyDescent="0.55000000000000004">
      <c r="A178" s="68" t="s">
        <v>675</v>
      </c>
      <c r="B178" s="32"/>
      <c r="C178" s="69" t="s">
        <v>317</v>
      </c>
      <c r="D178" s="69" t="s">
        <v>318</v>
      </c>
      <c r="E178" s="32"/>
      <c r="F178" s="32"/>
      <c r="G178" s="32"/>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row>
    <row r="179" spans="1:73" ht="15.75" customHeight="1" x14ac:dyDescent="0.55000000000000004">
      <c r="A179" s="68" t="s">
        <v>676</v>
      </c>
      <c r="B179" s="32"/>
      <c r="C179" s="69" t="s">
        <v>317</v>
      </c>
      <c r="D179" s="69" t="s">
        <v>677</v>
      </c>
      <c r="E179" s="69" t="s">
        <v>678</v>
      </c>
      <c r="F179" s="69" t="s">
        <v>679</v>
      </c>
      <c r="G179" s="32"/>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row>
    <row r="180" spans="1:73" ht="15.75" customHeight="1" x14ac:dyDescent="0.55000000000000004">
      <c r="A180" s="68" t="s">
        <v>680</v>
      </c>
      <c r="B180" s="32"/>
      <c r="C180" s="69" t="s">
        <v>317</v>
      </c>
      <c r="D180" s="69" t="s">
        <v>318</v>
      </c>
      <c r="E180" s="32"/>
      <c r="F180" s="32"/>
      <c r="G180" s="32"/>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row>
    <row r="181" spans="1:73" ht="15.75" customHeight="1" x14ac:dyDescent="0.55000000000000004">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row>
    <row r="182" spans="1:73" ht="15.75" customHeight="1" x14ac:dyDescent="0.55000000000000004">
      <c r="A182" s="72" t="s">
        <v>681</v>
      </c>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row>
    <row r="183" spans="1:73" ht="15.75" customHeight="1" x14ac:dyDescent="0.55000000000000004">
      <c r="A183" s="72" t="s">
        <v>335</v>
      </c>
      <c r="B183" s="27"/>
      <c r="C183" s="73" t="s">
        <v>682</v>
      </c>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row>
    <row r="184" spans="1:73" ht="15.75" customHeight="1" x14ac:dyDescent="0.55000000000000004">
      <c r="A184" s="72" t="s">
        <v>337</v>
      </c>
      <c r="B184" s="27"/>
      <c r="C184" s="73" t="s">
        <v>338</v>
      </c>
      <c r="D184" s="73" t="s">
        <v>683</v>
      </c>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row>
    <row r="185" spans="1:73" ht="15.75" customHeight="1" x14ac:dyDescent="0.55000000000000004">
      <c r="A185" s="72" t="s">
        <v>340</v>
      </c>
      <c r="B185" s="27"/>
      <c r="C185" s="73" t="s">
        <v>341</v>
      </c>
      <c r="D185" s="73" t="s">
        <v>342</v>
      </c>
      <c r="E185" s="73" t="s">
        <v>343</v>
      </c>
      <c r="F185" s="73" t="s">
        <v>344</v>
      </c>
      <c r="G185" s="73" t="s">
        <v>345</v>
      </c>
      <c r="H185" s="73" t="s">
        <v>346</v>
      </c>
      <c r="I185" s="73" t="s">
        <v>347</v>
      </c>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row>
    <row r="186" spans="1:73" ht="15.75" customHeight="1" x14ac:dyDescent="0.55000000000000004">
      <c r="A186" s="72" t="s">
        <v>684</v>
      </c>
      <c r="B186" s="27"/>
      <c r="C186" s="73" t="s">
        <v>324</v>
      </c>
      <c r="D186" s="73" t="s">
        <v>318</v>
      </c>
      <c r="E186" s="73" t="s">
        <v>685</v>
      </c>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row>
    <row r="187" spans="1:73" ht="15.75" customHeight="1" x14ac:dyDescent="0.55000000000000004">
      <c r="A187" s="72" t="s">
        <v>686</v>
      </c>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row>
    <row r="188" spans="1:73" ht="15.75" customHeight="1" x14ac:dyDescent="0.55000000000000004">
      <c r="A188" s="72" t="s">
        <v>687</v>
      </c>
      <c r="B188" s="27"/>
      <c r="C188" s="73" t="s">
        <v>688</v>
      </c>
      <c r="D188" s="73" t="s">
        <v>689</v>
      </c>
      <c r="E188" s="73" t="s">
        <v>690</v>
      </c>
      <c r="F188" s="73" t="s">
        <v>691</v>
      </c>
      <c r="G188" s="73" t="s">
        <v>692</v>
      </c>
      <c r="H188" s="73" t="s">
        <v>693</v>
      </c>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row>
    <row r="189" spans="1:73" ht="15.75" customHeight="1" x14ac:dyDescent="0.6">
      <c r="A189" s="72" t="s">
        <v>694</v>
      </c>
      <c r="B189" s="73" t="s">
        <v>695</v>
      </c>
      <c r="C189" s="28"/>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row>
    <row r="190" spans="1:73" ht="15.75" customHeight="1" x14ac:dyDescent="0.6">
      <c r="A190" s="72" t="s">
        <v>696</v>
      </c>
      <c r="B190" s="73" t="s">
        <v>697</v>
      </c>
      <c r="C190" s="28"/>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row>
    <row r="191" spans="1:73" ht="15.75" customHeight="1" x14ac:dyDescent="0.55000000000000004">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row>
    <row r="192" spans="1:73" ht="15.75" customHeight="1" x14ac:dyDescent="0.55000000000000004">
      <c r="A192" s="74" t="s">
        <v>698</v>
      </c>
      <c r="B192" s="27"/>
      <c r="C192" s="27"/>
      <c r="D192" s="27"/>
      <c r="E192" s="257"/>
      <c r="F192" s="258"/>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row>
    <row r="193" spans="1:73" ht="15.75" customHeight="1" x14ac:dyDescent="0.55000000000000004">
      <c r="A193" s="75" t="s">
        <v>699</v>
      </c>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row>
    <row r="194" spans="1:73" ht="15.75" customHeight="1" x14ac:dyDescent="0.55000000000000004">
      <c r="A194" s="75" t="s">
        <v>700</v>
      </c>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row>
    <row r="195" spans="1:73" ht="15.75" customHeight="1" x14ac:dyDescent="0.55000000000000004">
      <c r="A195" s="75" t="s">
        <v>701</v>
      </c>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row>
    <row r="196" spans="1:73" ht="15.75" customHeight="1" x14ac:dyDescent="0.55000000000000004">
      <c r="A196" s="75" t="s">
        <v>702</v>
      </c>
      <c r="B196" s="27"/>
      <c r="C196" s="76" t="s">
        <v>703</v>
      </c>
      <c r="D196" s="76" t="s">
        <v>704</v>
      </c>
      <c r="E196" s="76" t="s">
        <v>705</v>
      </c>
      <c r="F196" s="76" t="s">
        <v>706</v>
      </c>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row>
    <row r="197" spans="1:73" ht="15.75" customHeight="1" x14ac:dyDescent="0.55000000000000004">
      <c r="A197" s="75" t="s">
        <v>707</v>
      </c>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row>
    <row r="198" spans="1:73" ht="15.75" customHeight="1" x14ac:dyDescent="0.55000000000000004">
      <c r="A198" s="77" t="s">
        <v>708</v>
      </c>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row>
    <row r="199" spans="1:73" ht="15.75" customHeight="1" x14ac:dyDescent="0.55000000000000004">
      <c r="A199" s="75" t="s">
        <v>709</v>
      </c>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row>
    <row r="200" spans="1:73" ht="15.75" customHeight="1" x14ac:dyDescent="0.55000000000000004">
      <c r="A200" s="75" t="s">
        <v>710</v>
      </c>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row>
    <row r="201" spans="1:73" ht="15.75" customHeight="1" x14ac:dyDescent="0.55000000000000004">
      <c r="A201" s="75" t="s">
        <v>711</v>
      </c>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row>
    <row r="202" spans="1:73" ht="15.75" customHeight="1" x14ac:dyDescent="0.55000000000000004">
      <c r="A202" s="75" t="s">
        <v>712</v>
      </c>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row>
    <row r="203" spans="1:73" ht="15.75" customHeight="1" x14ac:dyDescent="0.55000000000000004">
      <c r="A203" s="75" t="s">
        <v>713</v>
      </c>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row>
    <row r="204" spans="1:73" ht="15.75" customHeight="1" x14ac:dyDescent="0.55000000000000004">
      <c r="A204" s="75" t="s">
        <v>714</v>
      </c>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row>
    <row r="205" spans="1:73" ht="15.75" customHeight="1" x14ac:dyDescent="0.55000000000000004">
      <c r="A205" s="75" t="s">
        <v>715</v>
      </c>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row>
    <row r="206" spans="1:73" ht="15.75" customHeight="1" x14ac:dyDescent="0.55000000000000004">
      <c r="A206" s="75" t="s">
        <v>716</v>
      </c>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row>
    <row r="207" spans="1:73" ht="15.75" customHeight="1" x14ac:dyDescent="0.55000000000000004">
      <c r="A207" s="75" t="s">
        <v>717</v>
      </c>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row>
    <row r="208" spans="1:73" ht="15.75" customHeight="1" x14ac:dyDescent="0.55000000000000004">
      <c r="A208" s="75" t="s">
        <v>718</v>
      </c>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row>
    <row r="209" spans="1:73" ht="15.75" customHeight="1" x14ac:dyDescent="0.55000000000000004">
      <c r="A209" s="75" t="s">
        <v>719</v>
      </c>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row>
    <row r="210" spans="1:73" ht="15.75" customHeight="1" x14ac:dyDescent="0.55000000000000004">
      <c r="A210" s="75" t="s">
        <v>720</v>
      </c>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row>
    <row r="211" spans="1:73" ht="15.75" customHeight="1" x14ac:dyDescent="0.55000000000000004">
      <c r="A211" s="75" t="s">
        <v>721</v>
      </c>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row>
    <row r="212" spans="1:73" ht="15.75" customHeight="1" x14ac:dyDescent="0.55000000000000004">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row>
    <row r="213" spans="1:73" ht="15.75" customHeight="1" x14ac:dyDescent="0.55000000000000004">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row>
    <row r="214" spans="1:73" ht="15.75" customHeight="1" x14ac:dyDescent="0.5500000000000000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row>
    <row r="215" spans="1:73" ht="15.75" customHeight="1" x14ac:dyDescent="0.55000000000000004">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row>
    <row r="216" spans="1:73" ht="15.75" customHeight="1" x14ac:dyDescent="0.55000000000000004">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row>
    <row r="217" spans="1:73" ht="15.75" customHeight="1" x14ac:dyDescent="0.55000000000000004">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row>
    <row r="218" spans="1:73" ht="15.75" customHeight="1" x14ac:dyDescent="0.55000000000000004">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row>
    <row r="219" spans="1:73" ht="15.75" customHeight="1" x14ac:dyDescent="0.55000000000000004">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row>
    <row r="220" spans="1:73" ht="15.75" customHeight="1" x14ac:dyDescent="0.55000000000000004">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row>
    <row r="221" spans="1:73" ht="15.75" customHeight="1" x14ac:dyDescent="0.55000000000000004">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row>
    <row r="222" spans="1:73" ht="15.75" customHeight="1" x14ac:dyDescent="0.55000000000000004">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row>
    <row r="223" spans="1:73" ht="15.75" customHeight="1" x14ac:dyDescent="0.55000000000000004">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row>
    <row r="224" spans="1:73" ht="15.75" customHeight="1" x14ac:dyDescent="0.5500000000000000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row>
    <row r="225" spans="1:73" ht="15.75" customHeight="1" x14ac:dyDescent="0.55000000000000004">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row>
    <row r="226" spans="1:73" ht="15.75" customHeight="1" x14ac:dyDescent="0.55000000000000004">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row>
    <row r="227" spans="1:73" ht="15.75" customHeight="1" x14ac:dyDescent="0.55000000000000004">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row>
    <row r="228" spans="1:73" ht="15.75" customHeight="1" x14ac:dyDescent="0.55000000000000004">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row>
    <row r="229" spans="1:73" ht="15.75" customHeight="1" x14ac:dyDescent="0.55000000000000004">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row>
    <row r="230" spans="1:73" ht="15.75" customHeight="1" x14ac:dyDescent="0.55000000000000004">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row>
    <row r="231" spans="1:73" ht="15.75" customHeight="1" x14ac:dyDescent="0.55000000000000004">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row>
    <row r="232" spans="1:73" ht="15.75" customHeight="1" x14ac:dyDescent="0.55000000000000004">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row>
    <row r="233" spans="1:73" ht="15.75" customHeight="1" x14ac:dyDescent="0.55000000000000004">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row>
    <row r="234" spans="1:73" ht="15.75" customHeight="1" x14ac:dyDescent="0.5500000000000000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row>
    <row r="235" spans="1:73" ht="15.75" customHeight="1" x14ac:dyDescent="0.55000000000000004">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row>
    <row r="236" spans="1:73" ht="15.75" customHeight="1" x14ac:dyDescent="0.55000000000000004">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row>
    <row r="237" spans="1:73" ht="15.75" customHeight="1" x14ac:dyDescent="0.55000000000000004">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row>
    <row r="238" spans="1:73" ht="15.75" customHeight="1" x14ac:dyDescent="0.55000000000000004">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row>
    <row r="239" spans="1:73" ht="15.75" customHeight="1" x14ac:dyDescent="0.55000000000000004">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row>
    <row r="240" spans="1:73" ht="15.75" customHeight="1" x14ac:dyDescent="0.55000000000000004">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row>
    <row r="241" spans="1:73" ht="15.75" customHeight="1" x14ac:dyDescent="0.55000000000000004">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row>
    <row r="242" spans="1:73" ht="15.75" customHeight="1" x14ac:dyDescent="0.55000000000000004">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row>
    <row r="243" spans="1:73" ht="15.75" customHeight="1" x14ac:dyDescent="0.55000000000000004">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row>
    <row r="244" spans="1:73" ht="15.75" customHeight="1" x14ac:dyDescent="0.5500000000000000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row>
    <row r="245" spans="1:73" ht="15.75" customHeight="1" x14ac:dyDescent="0.55000000000000004">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row>
    <row r="246" spans="1:73" ht="15.75" customHeight="1" x14ac:dyDescent="0.55000000000000004">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row>
    <row r="247" spans="1:73" ht="15.75" customHeight="1" x14ac:dyDescent="0.55000000000000004">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row>
    <row r="248" spans="1:73" ht="15.75" customHeight="1" x14ac:dyDescent="0.55000000000000004">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row>
    <row r="249" spans="1:73" ht="15.75" customHeight="1" x14ac:dyDescent="0.55000000000000004">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row>
    <row r="250" spans="1:73" ht="15.75" customHeight="1" x14ac:dyDescent="0.55000000000000004">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row>
    <row r="251" spans="1:73" ht="15.75" customHeight="1" x14ac:dyDescent="0.55000000000000004">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row>
    <row r="252" spans="1:73" ht="15.75" customHeight="1" x14ac:dyDescent="0.55000000000000004">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row>
    <row r="253" spans="1:73" ht="15.75" customHeight="1" x14ac:dyDescent="0.55000000000000004">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row>
    <row r="254" spans="1:73" ht="15.75" customHeight="1" x14ac:dyDescent="0.5500000000000000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row>
    <row r="255" spans="1:73" ht="15.75" customHeight="1" x14ac:dyDescent="0.55000000000000004">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row>
    <row r="256" spans="1:73" ht="15.75" customHeight="1" x14ac:dyDescent="0.55000000000000004">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row>
    <row r="257" spans="1:73" ht="15.75" customHeight="1" x14ac:dyDescent="0.55000000000000004">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row>
    <row r="258" spans="1:73" ht="15.75" customHeight="1" x14ac:dyDescent="0.55000000000000004">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row>
    <row r="259" spans="1:73" ht="15.75" customHeight="1" x14ac:dyDescent="0.55000000000000004">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row>
    <row r="260" spans="1:73" ht="15.75" customHeight="1" x14ac:dyDescent="0.55000000000000004">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row>
    <row r="261" spans="1:73" ht="15.75" customHeight="1" x14ac:dyDescent="0.55000000000000004">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row>
    <row r="262" spans="1:73" ht="15.75" customHeight="1" x14ac:dyDescent="0.55000000000000004">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row>
    <row r="263" spans="1:73" ht="15.75" customHeight="1" x14ac:dyDescent="0.55000000000000004">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row>
    <row r="264" spans="1:73" ht="15.75" customHeight="1" x14ac:dyDescent="0.5500000000000000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row>
    <row r="265" spans="1:73" ht="15.75" customHeight="1" x14ac:dyDescent="0.55000000000000004">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row>
    <row r="266" spans="1:73" ht="15.75" customHeight="1" x14ac:dyDescent="0.55000000000000004">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row>
    <row r="267" spans="1:73" ht="15.75" customHeight="1" x14ac:dyDescent="0.55000000000000004">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row>
    <row r="268" spans="1:73" ht="15.75" customHeight="1" x14ac:dyDescent="0.55000000000000004">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row>
    <row r="269" spans="1:73" ht="15.75" customHeight="1" x14ac:dyDescent="0.55000000000000004">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row>
    <row r="270" spans="1:73" ht="15.75" customHeight="1" x14ac:dyDescent="0.55000000000000004">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row>
    <row r="271" spans="1:73" ht="15.75" customHeight="1" x14ac:dyDescent="0.55000000000000004">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row>
    <row r="272" spans="1:73" ht="15.75" customHeight="1" x14ac:dyDescent="0.55000000000000004">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row>
    <row r="273" spans="1:73" ht="15.75" customHeight="1" x14ac:dyDescent="0.55000000000000004">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row>
    <row r="274" spans="1:73" ht="15.75" customHeight="1" x14ac:dyDescent="0.5500000000000000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row>
    <row r="275" spans="1:73" ht="15.75" customHeight="1" x14ac:dyDescent="0.55000000000000004">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row>
    <row r="276" spans="1:73" ht="15.75" customHeight="1" x14ac:dyDescent="0.55000000000000004">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row>
    <row r="277" spans="1:73" ht="15.75" customHeight="1" x14ac:dyDescent="0.55000000000000004">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row>
    <row r="278" spans="1:73" ht="15.75" customHeight="1" x14ac:dyDescent="0.55000000000000004">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row>
    <row r="279" spans="1:73" ht="15.75" customHeight="1" x14ac:dyDescent="0.55000000000000004">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row>
    <row r="280" spans="1:73" ht="15.75" customHeight="1" x14ac:dyDescent="0.55000000000000004">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row>
    <row r="281" spans="1:73" ht="15.75" customHeight="1" x14ac:dyDescent="0.55000000000000004">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row>
    <row r="282" spans="1:73" ht="15.75" customHeight="1" x14ac:dyDescent="0.55000000000000004">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row>
    <row r="283" spans="1:73" ht="15.75" customHeight="1" x14ac:dyDescent="0.55000000000000004">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row>
    <row r="284" spans="1:73" ht="15.75" customHeight="1" x14ac:dyDescent="0.5500000000000000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row>
    <row r="285" spans="1:73" ht="15.75" customHeight="1" x14ac:dyDescent="0.55000000000000004">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row>
    <row r="286" spans="1:73" ht="15.75" customHeight="1" x14ac:dyDescent="0.55000000000000004">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row>
    <row r="287" spans="1:73" ht="15.75" customHeight="1" x14ac:dyDescent="0.55000000000000004">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row>
    <row r="288" spans="1:73" ht="15.75" customHeight="1" x14ac:dyDescent="0.55000000000000004">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row>
    <row r="289" spans="1:73" ht="15.75" customHeight="1" x14ac:dyDescent="0.55000000000000004">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row>
    <row r="290" spans="1:73" ht="15.75" customHeight="1" x14ac:dyDescent="0.55000000000000004">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row>
    <row r="291" spans="1:73" ht="15.75" customHeight="1" x14ac:dyDescent="0.55000000000000004">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row>
    <row r="292" spans="1:73" ht="15.75" customHeight="1" x14ac:dyDescent="0.55000000000000004">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row>
    <row r="293" spans="1:73" ht="15.75" customHeight="1" x14ac:dyDescent="0.55000000000000004">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row>
    <row r="294" spans="1:73" ht="15.75" customHeight="1" x14ac:dyDescent="0.5500000000000000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row>
    <row r="295" spans="1:73" ht="15.75" customHeight="1" x14ac:dyDescent="0.55000000000000004">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row>
    <row r="296" spans="1:73" ht="15.75" customHeight="1" x14ac:dyDescent="0.55000000000000004">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row>
    <row r="297" spans="1:73" ht="15.75" customHeight="1" x14ac:dyDescent="0.55000000000000004">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row>
    <row r="298" spans="1:73" ht="15.75" customHeight="1" x14ac:dyDescent="0.55000000000000004">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row>
    <row r="299" spans="1:73" ht="15.75" customHeight="1" x14ac:dyDescent="0.55000000000000004">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row>
    <row r="300" spans="1:73" ht="15.75" customHeight="1" x14ac:dyDescent="0.55000000000000004">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row>
    <row r="301" spans="1:73" ht="15.75" customHeight="1" x14ac:dyDescent="0.55000000000000004">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row>
    <row r="302" spans="1:73" ht="15.75" customHeight="1" x14ac:dyDescent="0.55000000000000004">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row>
    <row r="303" spans="1:73" ht="15.75" customHeight="1" x14ac:dyDescent="0.55000000000000004">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row>
    <row r="304" spans="1:73" ht="15.75" customHeight="1" x14ac:dyDescent="0.550000000000000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row>
    <row r="305" spans="1:73" ht="15.75" customHeight="1" x14ac:dyDescent="0.55000000000000004">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row>
    <row r="306" spans="1:73" ht="15.75" customHeight="1" x14ac:dyDescent="0.55000000000000004">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row>
    <row r="307" spans="1:73" ht="15.75" customHeight="1" x14ac:dyDescent="0.55000000000000004">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row>
    <row r="308" spans="1:73" ht="15.75" customHeight="1" x14ac:dyDescent="0.55000000000000004">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row>
    <row r="309" spans="1:73" ht="15.75" customHeight="1" x14ac:dyDescent="0.55000000000000004">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row>
    <row r="310" spans="1:73" ht="15.75" customHeight="1" x14ac:dyDescent="0.55000000000000004">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row>
    <row r="311" spans="1:73" ht="15.75" customHeight="1" x14ac:dyDescent="0.55000000000000004">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row>
    <row r="312" spans="1:73" ht="15.75" customHeight="1" x14ac:dyDescent="0.55000000000000004">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row>
    <row r="313" spans="1:73" ht="15.75" customHeight="1" x14ac:dyDescent="0.55000000000000004">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row>
    <row r="314" spans="1:73" ht="15.75" customHeight="1" x14ac:dyDescent="0.5500000000000000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row>
    <row r="315" spans="1:73" ht="15.75" customHeight="1" x14ac:dyDescent="0.55000000000000004">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row>
    <row r="316" spans="1:73" ht="15.75" customHeight="1" x14ac:dyDescent="0.55000000000000004">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row>
    <row r="317" spans="1:73" ht="15.75" customHeight="1" x14ac:dyDescent="0.55000000000000004">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row>
    <row r="318" spans="1:73" ht="15.75" customHeight="1" x14ac:dyDescent="0.55000000000000004">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row>
    <row r="319" spans="1:73" ht="15.75" customHeight="1" x14ac:dyDescent="0.55000000000000004">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row>
    <row r="320" spans="1:73" ht="15.75" customHeight="1" x14ac:dyDescent="0.55000000000000004">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row>
    <row r="321" spans="1:73" ht="15.75" customHeight="1" x14ac:dyDescent="0.55000000000000004">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row>
    <row r="322" spans="1:73" ht="15.75" customHeight="1" x14ac:dyDescent="0.55000000000000004">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row>
    <row r="323" spans="1:73" ht="15.75" customHeight="1" x14ac:dyDescent="0.55000000000000004">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row>
    <row r="324" spans="1:73" ht="15.75" customHeight="1" x14ac:dyDescent="0.5500000000000000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row>
    <row r="325" spans="1:73" ht="15.75" customHeight="1" x14ac:dyDescent="0.55000000000000004">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row>
    <row r="326" spans="1:73" ht="15.75" customHeight="1" x14ac:dyDescent="0.55000000000000004">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row>
    <row r="327" spans="1:73" ht="15.75" customHeight="1" x14ac:dyDescent="0.55000000000000004">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row>
    <row r="328" spans="1:73" ht="15.75" customHeight="1" x14ac:dyDescent="0.55000000000000004">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row>
    <row r="329" spans="1:73" ht="15.75" customHeight="1" x14ac:dyDescent="0.55000000000000004">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row>
    <row r="330" spans="1:73" ht="15.75" customHeight="1" x14ac:dyDescent="0.55000000000000004">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row>
    <row r="331" spans="1:73" ht="15.75" customHeight="1" x14ac:dyDescent="0.55000000000000004">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row>
    <row r="332" spans="1:73" ht="15.75" customHeight="1" x14ac:dyDescent="0.55000000000000004">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row>
    <row r="333" spans="1:73" ht="15.75" customHeight="1" x14ac:dyDescent="0.55000000000000004">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row>
    <row r="334" spans="1:73" ht="15.75" customHeight="1" x14ac:dyDescent="0.5500000000000000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row>
    <row r="335" spans="1:73" ht="15.75" customHeight="1" x14ac:dyDescent="0.55000000000000004">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row>
    <row r="336" spans="1:73" ht="15.75" customHeight="1" x14ac:dyDescent="0.55000000000000004">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row>
    <row r="337" spans="1:73" ht="15.75" customHeight="1" x14ac:dyDescent="0.55000000000000004">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row>
    <row r="338" spans="1:73" ht="15.75" customHeight="1" x14ac:dyDescent="0.55000000000000004">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row>
    <row r="339" spans="1:73" ht="15.75" customHeight="1" x14ac:dyDescent="0.55000000000000004">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row>
    <row r="340" spans="1:73" ht="15.75" customHeight="1" x14ac:dyDescent="0.55000000000000004">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row>
    <row r="341" spans="1:73" ht="15.75" customHeight="1" x14ac:dyDescent="0.55000000000000004">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row>
    <row r="342" spans="1:73" ht="15.75" customHeight="1" x14ac:dyDescent="0.55000000000000004">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row>
    <row r="343" spans="1:73" ht="15.75" customHeight="1" x14ac:dyDescent="0.55000000000000004">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row>
    <row r="344" spans="1:73" ht="15.75" customHeight="1" x14ac:dyDescent="0.5500000000000000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row>
    <row r="345" spans="1:73" ht="15.75" customHeight="1" x14ac:dyDescent="0.55000000000000004">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row>
    <row r="346" spans="1:73" ht="15.75" customHeight="1" x14ac:dyDescent="0.55000000000000004">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row>
    <row r="347" spans="1:73" ht="15.75" customHeight="1" x14ac:dyDescent="0.55000000000000004">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row>
    <row r="348" spans="1:73" ht="15.75" customHeight="1" x14ac:dyDescent="0.55000000000000004">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row>
    <row r="349" spans="1:73" ht="15.75" customHeight="1" x14ac:dyDescent="0.55000000000000004">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row>
    <row r="350" spans="1:73" ht="15.75" customHeight="1" x14ac:dyDescent="0.55000000000000004">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row>
    <row r="351" spans="1:73" ht="15.75" customHeight="1" x14ac:dyDescent="0.55000000000000004">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row>
    <row r="352" spans="1:73" ht="15.75" customHeight="1" x14ac:dyDescent="0.55000000000000004">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row>
    <row r="353" spans="1:73" ht="15.75" customHeight="1" x14ac:dyDescent="0.55000000000000004">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row>
    <row r="354" spans="1:73" ht="15.75" customHeight="1" x14ac:dyDescent="0.5500000000000000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row>
    <row r="355" spans="1:73" ht="15.75" customHeight="1" x14ac:dyDescent="0.55000000000000004">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row>
    <row r="356" spans="1:73" ht="15.75" customHeight="1" x14ac:dyDescent="0.55000000000000004">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row>
    <row r="357" spans="1:73" ht="15.75" customHeight="1" x14ac:dyDescent="0.55000000000000004">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row>
    <row r="358" spans="1:73" ht="15.75" customHeight="1" x14ac:dyDescent="0.55000000000000004">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row>
    <row r="359" spans="1:73" ht="15.75" customHeight="1" x14ac:dyDescent="0.55000000000000004">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row>
    <row r="360" spans="1:73" ht="15.75" customHeight="1" x14ac:dyDescent="0.55000000000000004">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row>
    <row r="361" spans="1:73" ht="15.75" customHeight="1" x14ac:dyDescent="0.55000000000000004">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row>
    <row r="362" spans="1:73" ht="15.75" customHeight="1" x14ac:dyDescent="0.55000000000000004">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row>
    <row r="363" spans="1:73" ht="15.75" customHeight="1" x14ac:dyDescent="0.55000000000000004">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row>
    <row r="364" spans="1:73" ht="15.75" customHeight="1" x14ac:dyDescent="0.5500000000000000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row>
    <row r="365" spans="1:73" ht="15.75" customHeight="1" x14ac:dyDescent="0.55000000000000004">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row>
    <row r="366" spans="1:73" ht="15.75" customHeight="1" x14ac:dyDescent="0.55000000000000004">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row>
    <row r="367" spans="1:73" ht="15.75" customHeight="1" x14ac:dyDescent="0.55000000000000004">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row>
    <row r="368" spans="1:73" ht="15.75" customHeight="1" x14ac:dyDescent="0.55000000000000004">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row>
    <row r="369" spans="1:73" ht="15.75" customHeight="1" x14ac:dyDescent="0.55000000000000004">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row>
    <row r="370" spans="1:73" ht="15.75" customHeight="1" x14ac:dyDescent="0.55000000000000004">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row>
    <row r="371" spans="1:73" ht="15.75" customHeight="1" x14ac:dyDescent="0.55000000000000004">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row>
    <row r="372" spans="1:73" ht="15.75" customHeight="1" x14ac:dyDescent="0.55000000000000004">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row>
    <row r="373" spans="1:73" ht="15.75" customHeight="1" x14ac:dyDescent="0.55000000000000004">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row>
    <row r="374" spans="1:73" ht="15.75" customHeight="1" x14ac:dyDescent="0.5500000000000000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row>
    <row r="375" spans="1:73" ht="15.75" customHeight="1" x14ac:dyDescent="0.55000000000000004">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row>
    <row r="376" spans="1:73" ht="15.75" customHeight="1" x14ac:dyDescent="0.55000000000000004">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row>
    <row r="377" spans="1:73" ht="15.75" customHeight="1" x14ac:dyDescent="0.55000000000000004">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row>
    <row r="378" spans="1:73" ht="15.75" customHeight="1" x14ac:dyDescent="0.55000000000000004">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row>
    <row r="379" spans="1:73" ht="15.75" customHeight="1" x14ac:dyDescent="0.55000000000000004">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row>
    <row r="380" spans="1:73" ht="15.75" customHeight="1" x14ac:dyDescent="0.55000000000000004">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row>
    <row r="381" spans="1:73" ht="15.75" customHeight="1" x14ac:dyDescent="0.55000000000000004">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row>
    <row r="382" spans="1:73" ht="15.75" customHeight="1" x14ac:dyDescent="0.55000000000000004">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row>
    <row r="383" spans="1:73" ht="15.75" customHeight="1" x14ac:dyDescent="0.55000000000000004">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row>
    <row r="384" spans="1:73" ht="15.75" customHeight="1" x14ac:dyDescent="0.5500000000000000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row>
    <row r="385" spans="1:73" ht="15.75" customHeight="1" x14ac:dyDescent="0.55000000000000004">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row>
    <row r="386" spans="1:73" ht="15.75" customHeight="1" x14ac:dyDescent="0.55000000000000004">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row>
    <row r="387" spans="1:73" ht="15.75" customHeight="1" x14ac:dyDescent="0.55000000000000004">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row>
    <row r="388" spans="1:73" ht="15.75" customHeight="1" x14ac:dyDescent="0.55000000000000004">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row>
    <row r="389" spans="1:73" ht="15.75" customHeight="1" x14ac:dyDescent="0.55000000000000004">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row>
  </sheetData>
  <mergeCells count="1">
    <mergeCell ref="E192:F19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EM353"/>
  <sheetViews>
    <sheetView workbookViewId="0">
      <pane xSplit="3" ySplit="2" topLeftCell="D3" activePane="bottomRight" state="frozen"/>
      <selection pane="topRight" activeCell="D1" sqref="D1"/>
      <selection pane="bottomLeft" activeCell="A3" sqref="A3"/>
      <selection pane="bottomRight"/>
    </sheetView>
  </sheetViews>
  <sheetFormatPr defaultColWidth="14.47265625" defaultRowHeight="15" customHeight="1" x14ac:dyDescent="0.55000000000000004"/>
  <cols>
    <col min="1" max="1" width="9.15625" customWidth="1"/>
    <col min="2" max="3" width="18.83984375" customWidth="1"/>
    <col min="4" max="4" width="9.47265625" bestFit="1" customWidth="1"/>
    <col min="5" max="5" width="12.68359375" customWidth="1"/>
    <col min="6" max="6" width="4.83984375" customWidth="1"/>
    <col min="7" max="7" width="6.83984375" customWidth="1"/>
    <col min="8" max="8" width="5.83984375" customWidth="1"/>
    <col min="9" max="9" width="112.83984375" customWidth="1"/>
    <col min="10" max="10" width="25.68359375" customWidth="1"/>
    <col min="11" max="11" width="5.83984375" customWidth="1"/>
    <col min="12" max="12" width="11.3125" customWidth="1"/>
    <col min="13" max="13" width="7.83984375" customWidth="1"/>
    <col min="14" max="14" width="22.15625" customWidth="1"/>
    <col min="15" max="15" width="9" customWidth="1"/>
    <col min="16" max="17" width="16.68359375" customWidth="1"/>
    <col min="18" max="18" width="17.83984375" customWidth="1"/>
    <col min="19" max="19" width="10.68359375" customWidth="1"/>
    <col min="20" max="20" width="23.68359375" customWidth="1"/>
    <col min="21" max="21" width="21.68359375" customWidth="1"/>
    <col min="22" max="22" width="14.15625" customWidth="1"/>
    <col min="23" max="23" width="15.3125" customWidth="1"/>
    <col min="24" max="24" width="21.47265625" customWidth="1"/>
    <col min="25" max="25" width="23.3125" customWidth="1"/>
    <col min="26" max="26" width="31.15625" customWidth="1"/>
    <col min="27" max="27" width="4.83984375" customWidth="1"/>
    <col min="28" max="28" width="8" customWidth="1"/>
    <col min="29" max="29" width="6" customWidth="1"/>
    <col min="30" max="30" width="10.15625" customWidth="1"/>
    <col min="31" max="31" width="18.15625" customWidth="1"/>
    <col min="32" max="32" width="8.83984375" customWidth="1"/>
    <col min="33" max="33" width="10.3125" customWidth="1"/>
    <col min="34" max="34" width="19.83984375" customWidth="1"/>
    <col min="35" max="35" width="43.3125" customWidth="1"/>
    <col min="36" max="36" width="11" customWidth="1"/>
    <col min="37" max="37" width="18.68359375" customWidth="1"/>
    <col min="38" max="38" width="14" customWidth="1"/>
    <col min="39" max="39" width="17" customWidth="1"/>
    <col min="40" max="40" width="19" customWidth="1"/>
    <col min="41" max="41" width="9" customWidth="1"/>
    <col min="42" max="42" width="18.83984375" customWidth="1"/>
    <col min="43" max="43" width="18" customWidth="1"/>
    <col min="44" max="44" width="15" customWidth="1"/>
    <col min="45" max="45" width="14.68359375" customWidth="1"/>
    <col min="46" max="46" width="23.3125" customWidth="1"/>
    <col min="47" max="47" width="59.47265625" customWidth="1"/>
    <col min="48" max="48" width="22" customWidth="1"/>
    <col min="49" max="49" width="16" customWidth="1"/>
    <col min="50" max="50" width="12.83984375" customWidth="1"/>
    <col min="51" max="51" width="13.3125" customWidth="1"/>
    <col min="52" max="52" width="43.3125" customWidth="1"/>
    <col min="53" max="53" width="29.47265625" customWidth="1"/>
    <col min="54" max="54" width="23.15625" customWidth="1"/>
    <col min="55" max="57" width="25.3125" customWidth="1"/>
    <col min="58" max="58" width="15" customWidth="1"/>
    <col min="59" max="59" width="22" customWidth="1"/>
    <col min="60" max="60" width="41.3125" customWidth="1"/>
    <col min="61" max="61" width="20.47265625" customWidth="1"/>
    <col min="62" max="62" width="5.68359375" customWidth="1"/>
    <col min="63" max="63" width="7.47265625" customWidth="1"/>
    <col min="64" max="64" width="23.47265625" customWidth="1"/>
    <col min="65" max="65" width="28.3125" customWidth="1"/>
    <col min="66" max="66" width="27.47265625" customWidth="1"/>
    <col min="67" max="67" width="16.3125" customWidth="1"/>
    <col min="68" max="68" width="18.3125" customWidth="1"/>
    <col min="69" max="69" width="18" customWidth="1"/>
    <col min="70" max="70" width="16.68359375" customWidth="1"/>
    <col min="71" max="71" width="19.47265625" customWidth="1"/>
    <col min="72" max="72" width="10.47265625" customWidth="1"/>
    <col min="73" max="73" width="15.15625" customWidth="1"/>
    <col min="74" max="74" width="24.3125" customWidth="1"/>
    <col min="75" max="75" width="25.68359375" customWidth="1"/>
    <col min="76" max="76" width="22.83984375" customWidth="1"/>
    <col min="77" max="77" width="27.47265625" customWidth="1"/>
    <col min="78" max="78" width="13.3125" customWidth="1"/>
    <col min="79" max="79" width="26.83984375" customWidth="1"/>
    <col min="80" max="80" width="23.47265625" customWidth="1"/>
    <col min="81" max="81" width="25" customWidth="1"/>
    <col min="82" max="82" width="28.68359375" customWidth="1"/>
    <col min="83" max="83" width="31.3125" customWidth="1"/>
    <col min="84" max="84" width="25.47265625" customWidth="1"/>
    <col min="85" max="85" width="25.68359375" customWidth="1"/>
    <col min="86" max="87" width="19.83984375" customWidth="1"/>
    <col min="88" max="88" width="18.3125" customWidth="1"/>
    <col min="89" max="89" width="9.15625" customWidth="1"/>
    <col min="90" max="90" width="25.68359375" customWidth="1"/>
    <col min="91" max="91" width="9.68359375" customWidth="1"/>
    <col min="92" max="92" width="10.83984375" customWidth="1"/>
    <col min="93" max="93" width="19.68359375" customWidth="1"/>
    <col min="94" max="94" width="37.47265625" customWidth="1"/>
    <col min="95" max="95" width="16.68359375" customWidth="1"/>
    <col min="96" max="96" width="34" customWidth="1"/>
    <col min="97" max="97" width="21.83984375" customWidth="1"/>
    <col min="98" max="98" width="32.3125" customWidth="1"/>
    <col min="99" max="99" width="35.47265625" customWidth="1"/>
    <col min="100" max="100" width="13.68359375" customWidth="1"/>
    <col min="101" max="101" width="34.68359375" customWidth="1"/>
    <col min="102" max="102" width="16.68359375" customWidth="1"/>
    <col min="103" max="103" width="15" customWidth="1"/>
    <col min="104" max="104" width="13.47265625" customWidth="1"/>
    <col min="105" max="105" width="32" customWidth="1"/>
    <col min="106" max="106" width="24.83984375" customWidth="1"/>
    <col min="107" max="107" width="17.83984375" customWidth="1"/>
    <col min="108" max="108" width="27.15625" customWidth="1"/>
    <col min="109" max="109" width="22" customWidth="1"/>
    <col min="110" max="110" width="17" customWidth="1"/>
    <col min="111" max="111" width="20.15625" customWidth="1"/>
    <col min="112" max="112" width="25.15625" customWidth="1"/>
    <col min="113" max="113" width="22.83984375" customWidth="1"/>
    <col min="114" max="114" width="18.83984375" customWidth="1"/>
    <col min="115" max="115" width="25.3125" customWidth="1"/>
    <col min="116" max="116" width="28.15625" customWidth="1"/>
    <col min="117" max="117" width="21.83984375" customWidth="1"/>
    <col min="118" max="118" width="13.68359375" customWidth="1"/>
    <col min="119" max="119" width="17" customWidth="1"/>
    <col min="120" max="120" width="32.15625" customWidth="1"/>
    <col min="121" max="121" width="17.47265625" customWidth="1"/>
    <col min="122" max="122" width="9.3125" customWidth="1"/>
    <col min="123" max="123" width="13.83984375" customWidth="1"/>
    <col min="124" max="124" width="14" customWidth="1"/>
    <col min="125" max="125" width="28.3125" customWidth="1"/>
    <col min="126" max="126" width="28.83984375" customWidth="1"/>
    <col min="127" max="127" width="34" customWidth="1"/>
    <col min="128" max="128" width="95.15625" customWidth="1"/>
    <col min="129" max="129" width="14" customWidth="1"/>
    <col min="130" max="130" width="23.3125" customWidth="1"/>
    <col min="131" max="131" width="32.47265625" customWidth="1"/>
    <col min="132" max="132" width="9.3125" customWidth="1"/>
    <col min="133" max="133" width="12.83984375" customWidth="1"/>
    <col min="134" max="134" width="18.68359375" customWidth="1"/>
    <col min="135" max="135" width="18.83984375" customWidth="1"/>
    <col min="136" max="136" width="34.3125" customWidth="1"/>
    <col min="137" max="137" width="23" customWidth="1"/>
    <col min="138" max="138" width="64" customWidth="1"/>
    <col min="139" max="139" width="19.15625" customWidth="1"/>
    <col min="140" max="140" width="14.68359375" customWidth="1"/>
    <col min="141" max="141" width="16.47265625" customWidth="1"/>
    <col min="142" max="142" width="18.15625" customWidth="1"/>
    <col min="143" max="143" width="10.83984375" customWidth="1"/>
  </cols>
  <sheetData>
    <row r="1" spans="1:143" ht="45" x14ac:dyDescent="0.55000000000000004">
      <c r="A1" s="78" t="s">
        <v>211</v>
      </c>
      <c r="B1" s="78" t="s">
        <v>722</v>
      </c>
      <c r="C1" s="78"/>
      <c r="D1" s="79" t="s">
        <v>723</v>
      </c>
      <c r="E1" s="79"/>
      <c r="F1" s="79"/>
      <c r="G1" s="79"/>
      <c r="H1" s="79"/>
      <c r="I1" s="80" t="s">
        <v>699</v>
      </c>
      <c r="J1" s="80"/>
      <c r="K1" s="80"/>
      <c r="L1" s="80"/>
      <c r="M1" s="80"/>
      <c r="N1" s="80"/>
      <c r="O1" s="80"/>
      <c r="P1" s="80"/>
      <c r="Q1" s="81"/>
      <c r="R1" s="80"/>
      <c r="S1" s="80"/>
      <c r="T1" s="80"/>
      <c r="U1" s="80"/>
      <c r="V1" s="82" t="s">
        <v>724</v>
      </c>
      <c r="W1" s="82"/>
      <c r="X1" s="82"/>
      <c r="Y1" s="82"/>
      <c r="Z1" s="83" t="s">
        <v>725</v>
      </c>
      <c r="AA1" s="84"/>
      <c r="AB1" s="84"/>
      <c r="AC1" s="84"/>
      <c r="AD1" s="84"/>
      <c r="AE1" s="84"/>
      <c r="AF1" s="84"/>
      <c r="AG1" s="84"/>
      <c r="AH1" s="84"/>
      <c r="AI1" s="84"/>
      <c r="AJ1" s="84"/>
      <c r="AK1" s="84"/>
      <c r="AL1" s="84"/>
      <c r="AM1" s="84"/>
      <c r="AN1" s="84"/>
      <c r="AO1" s="84"/>
      <c r="AP1" s="84"/>
      <c r="AQ1" s="84"/>
      <c r="AR1" s="84"/>
      <c r="AS1" s="84"/>
      <c r="AT1" s="84"/>
      <c r="AU1" s="84"/>
      <c r="AV1" s="85"/>
      <c r="AW1" s="85" t="s">
        <v>726</v>
      </c>
      <c r="AX1" s="85"/>
      <c r="AY1" s="85"/>
      <c r="AZ1" s="85"/>
      <c r="BA1" s="85"/>
      <c r="BB1" s="85"/>
      <c r="BC1" s="86"/>
      <c r="BD1" s="85"/>
      <c r="BE1" s="87"/>
      <c r="BF1" s="87"/>
      <c r="BG1" s="87"/>
      <c r="BH1" s="87"/>
      <c r="BI1" s="87"/>
      <c r="BJ1" s="87"/>
      <c r="BK1" s="87"/>
      <c r="BL1" s="88" t="s">
        <v>727</v>
      </c>
      <c r="BM1" s="88"/>
      <c r="BN1" s="88"/>
      <c r="BO1" s="88"/>
      <c r="BP1" s="88"/>
      <c r="BQ1" s="88"/>
      <c r="BR1" s="88"/>
      <c r="BS1" s="88"/>
      <c r="BT1" s="88"/>
      <c r="BU1" s="88"/>
      <c r="BV1" s="88"/>
      <c r="BW1" s="88"/>
      <c r="BX1" s="88"/>
      <c r="BY1" s="88"/>
      <c r="BZ1" s="88"/>
      <c r="CA1" s="89" t="s">
        <v>728</v>
      </c>
      <c r="CB1" s="90"/>
      <c r="CC1" s="89"/>
      <c r="CD1" s="89"/>
      <c r="CE1" s="89"/>
      <c r="CF1" s="89"/>
      <c r="CG1" s="89"/>
      <c r="CH1" s="89"/>
      <c r="CI1" s="89"/>
      <c r="CJ1" s="89"/>
      <c r="CK1" s="89"/>
      <c r="CL1" s="89"/>
      <c r="CM1" s="89"/>
      <c r="CN1" s="91" t="s">
        <v>729</v>
      </c>
      <c r="CO1" s="91"/>
      <c r="CP1" s="91"/>
      <c r="CQ1" s="91"/>
      <c r="CR1" s="91"/>
      <c r="CS1" s="91"/>
      <c r="CT1" s="91"/>
      <c r="CU1" s="91"/>
      <c r="CV1" s="92"/>
      <c r="CW1" s="91"/>
      <c r="CX1" s="91"/>
      <c r="CY1" s="92"/>
      <c r="CZ1" s="91"/>
      <c r="DA1" s="91"/>
      <c r="DB1" s="91"/>
      <c r="DC1" s="93" t="s">
        <v>730</v>
      </c>
      <c r="DD1" s="82"/>
      <c r="DE1" s="82"/>
      <c r="DF1" s="82"/>
      <c r="DG1" s="82"/>
      <c r="DH1" s="82"/>
      <c r="DI1" s="82"/>
      <c r="DJ1" s="82"/>
      <c r="DK1" s="82"/>
      <c r="DL1" s="82"/>
      <c r="DM1" s="82"/>
      <c r="DN1" s="82"/>
      <c r="DO1" s="82"/>
      <c r="DP1" s="82"/>
      <c r="DQ1" s="94" t="s">
        <v>731</v>
      </c>
      <c r="DR1" s="94"/>
      <c r="DS1" s="95"/>
      <c r="DT1" s="95"/>
      <c r="DU1" s="95"/>
      <c r="DV1" s="94"/>
      <c r="DW1" s="94"/>
      <c r="DX1" s="94"/>
      <c r="DY1" s="94"/>
      <c r="DZ1" s="94"/>
      <c r="EA1" s="94"/>
      <c r="EB1" s="94"/>
      <c r="EC1" s="94"/>
      <c r="ED1" s="96" t="s">
        <v>732</v>
      </c>
      <c r="EE1" s="96"/>
      <c r="EF1" s="96"/>
      <c r="EG1" s="96"/>
      <c r="EH1" s="96"/>
      <c r="EI1" s="97" t="s">
        <v>733</v>
      </c>
      <c r="EJ1" s="97"/>
      <c r="EK1" s="97"/>
      <c r="EL1" s="97"/>
      <c r="EM1" s="98"/>
    </row>
    <row r="2" spans="1:143" x14ac:dyDescent="0.55000000000000004">
      <c r="A2" s="99" t="s">
        <v>211</v>
      </c>
      <c r="B2" s="99" t="s">
        <v>212</v>
      </c>
      <c r="C2" s="99" t="s">
        <v>213</v>
      </c>
      <c r="D2" s="99" t="s">
        <v>734</v>
      </c>
      <c r="E2" s="99" t="s">
        <v>735</v>
      </c>
      <c r="F2" s="99" t="s">
        <v>217</v>
      </c>
      <c r="G2" s="99" t="s">
        <v>218</v>
      </c>
      <c r="H2" s="99" t="s">
        <v>231</v>
      </c>
      <c r="I2" s="99" t="s">
        <v>736</v>
      </c>
      <c r="J2" s="99" t="s">
        <v>234</v>
      </c>
      <c r="K2" s="99" t="s">
        <v>236</v>
      </c>
      <c r="L2" s="99" t="s">
        <v>737</v>
      </c>
      <c r="M2" s="99" t="s">
        <v>291</v>
      </c>
      <c r="N2" s="99" t="s">
        <v>738</v>
      </c>
      <c r="O2" s="99" t="s">
        <v>699</v>
      </c>
      <c r="P2" s="99" t="s">
        <v>739</v>
      </c>
      <c r="Q2" s="100" t="s">
        <v>3868</v>
      </c>
      <c r="R2" s="99" t="s">
        <v>319</v>
      </c>
      <c r="S2" s="99" t="s">
        <v>321</v>
      </c>
      <c r="T2" s="99" t="s">
        <v>740</v>
      </c>
      <c r="U2" s="99" t="s">
        <v>741</v>
      </c>
      <c r="V2" s="99" t="s">
        <v>742</v>
      </c>
      <c r="W2" s="99" t="s">
        <v>743</v>
      </c>
      <c r="X2" s="99" t="s">
        <v>744</v>
      </c>
      <c r="Y2" s="99" t="s">
        <v>745</v>
      </c>
      <c r="Z2" s="99" t="s">
        <v>746</v>
      </c>
      <c r="AA2" s="99" t="s">
        <v>335</v>
      </c>
      <c r="AB2" s="99" t="s">
        <v>337</v>
      </c>
      <c r="AC2" s="99" t="s">
        <v>340</v>
      </c>
      <c r="AD2" s="99" t="s">
        <v>348</v>
      </c>
      <c r="AE2" s="99" t="s">
        <v>747</v>
      </c>
      <c r="AF2" s="99" t="s">
        <v>352</v>
      </c>
      <c r="AG2" s="99" t="s">
        <v>359</v>
      </c>
      <c r="AH2" s="99" t="s">
        <v>748</v>
      </c>
      <c r="AI2" s="99" t="s">
        <v>749</v>
      </c>
      <c r="AJ2" s="99" t="s">
        <v>750</v>
      </c>
      <c r="AK2" s="99" t="s">
        <v>751</v>
      </c>
      <c r="AL2" s="99" t="s">
        <v>752</v>
      </c>
      <c r="AM2" s="99" t="s">
        <v>753</v>
      </c>
      <c r="AN2" s="99" t="s">
        <v>754</v>
      </c>
      <c r="AO2" s="99" t="s">
        <v>384</v>
      </c>
      <c r="AP2" s="99" t="s">
        <v>755</v>
      </c>
      <c r="AQ2" s="99" t="s">
        <v>756</v>
      </c>
      <c r="AR2" s="99" t="s">
        <v>757</v>
      </c>
      <c r="AS2" s="99" t="s">
        <v>758</v>
      </c>
      <c r="AT2" s="99" t="s">
        <v>759</v>
      </c>
      <c r="AU2" s="99" t="s">
        <v>760</v>
      </c>
      <c r="AV2" s="99" t="s">
        <v>409</v>
      </c>
      <c r="AW2" s="99" t="s">
        <v>410</v>
      </c>
      <c r="AX2" s="99" t="s">
        <v>761</v>
      </c>
      <c r="AY2" s="99" t="s">
        <v>117</v>
      </c>
      <c r="AZ2" s="99" t="s">
        <v>762</v>
      </c>
      <c r="BA2" s="99" t="s">
        <v>436</v>
      </c>
      <c r="BB2" s="99" t="s">
        <v>763</v>
      </c>
      <c r="BC2" s="99" t="s">
        <v>764</v>
      </c>
      <c r="BD2" s="99" t="s">
        <v>765</v>
      </c>
      <c r="BE2" s="99" t="s">
        <v>766</v>
      </c>
      <c r="BF2" s="99" t="s">
        <v>767</v>
      </c>
      <c r="BG2" s="99" t="s">
        <v>768</v>
      </c>
      <c r="BH2" s="99" t="s">
        <v>769</v>
      </c>
      <c r="BI2" s="99" t="s">
        <v>770</v>
      </c>
      <c r="BJ2" s="99" t="s">
        <v>771</v>
      </c>
      <c r="BK2" s="99" t="s">
        <v>772</v>
      </c>
      <c r="BL2" s="99" t="s">
        <v>773</v>
      </c>
      <c r="BM2" s="99" t="s">
        <v>774</v>
      </c>
      <c r="BN2" s="99" t="s">
        <v>775</v>
      </c>
      <c r="BO2" s="99" t="s">
        <v>776</v>
      </c>
      <c r="BP2" s="99" t="s">
        <v>777</v>
      </c>
      <c r="BQ2" s="99" t="s">
        <v>778</v>
      </c>
      <c r="BR2" s="99" t="s">
        <v>779</v>
      </c>
      <c r="BS2" s="99" t="s">
        <v>780</v>
      </c>
      <c r="BT2" s="99" t="s">
        <v>98</v>
      </c>
      <c r="BU2" s="99" t="s">
        <v>781</v>
      </c>
      <c r="BV2" s="99" t="s">
        <v>782</v>
      </c>
      <c r="BW2" s="99" t="s">
        <v>783</v>
      </c>
      <c r="BX2" s="99" t="s">
        <v>784</v>
      </c>
      <c r="BY2" s="99" t="s">
        <v>785</v>
      </c>
      <c r="BZ2" s="99" t="s">
        <v>786</v>
      </c>
      <c r="CA2" s="99" t="s">
        <v>787</v>
      </c>
      <c r="CB2" s="99" t="s">
        <v>788</v>
      </c>
      <c r="CC2" s="99" t="s">
        <v>789</v>
      </c>
      <c r="CD2" s="99" t="s">
        <v>790</v>
      </c>
      <c r="CE2" s="99" t="s">
        <v>791</v>
      </c>
      <c r="CF2" s="99" t="s">
        <v>792</v>
      </c>
      <c r="CG2" s="99" t="s">
        <v>793</v>
      </c>
      <c r="CH2" s="99" t="s">
        <v>794</v>
      </c>
      <c r="CI2" s="99" t="s">
        <v>795</v>
      </c>
      <c r="CJ2" s="99" t="s">
        <v>796</v>
      </c>
      <c r="CK2" s="99" t="s">
        <v>162</v>
      </c>
      <c r="CL2" s="99" t="s">
        <v>797</v>
      </c>
      <c r="CM2" s="99" t="s">
        <v>164</v>
      </c>
      <c r="CN2" s="99" t="s">
        <v>509</v>
      </c>
      <c r="CO2" s="99" t="s">
        <v>798</v>
      </c>
      <c r="CP2" s="99" t="s">
        <v>799</v>
      </c>
      <c r="CQ2" s="99" t="s">
        <v>800</v>
      </c>
      <c r="CR2" s="99" t="s">
        <v>801</v>
      </c>
      <c r="CS2" s="99" t="s">
        <v>802</v>
      </c>
      <c r="CT2" s="99" t="s">
        <v>803</v>
      </c>
      <c r="CU2" s="99" t="s">
        <v>804</v>
      </c>
      <c r="CV2" s="99" t="s">
        <v>805</v>
      </c>
      <c r="CW2" s="99" t="s">
        <v>806</v>
      </c>
      <c r="CX2" s="99" t="s">
        <v>807</v>
      </c>
      <c r="CY2" s="99" t="s">
        <v>808</v>
      </c>
      <c r="CZ2" s="99" t="s">
        <v>809</v>
      </c>
      <c r="DA2" s="99" t="s">
        <v>810</v>
      </c>
      <c r="DB2" s="99" t="s">
        <v>811</v>
      </c>
      <c r="DC2" s="99" t="s">
        <v>812</v>
      </c>
      <c r="DD2" s="99" t="s">
        <v>813</v>
      </c>
      <c r="DE2" s="99" t="s">
        <v>814</v>
      </c>
      <c r="DF2" s="99" t="s">
        <v>554</v>
      </c>
      <c r="DG2" s="99" t="s">
        <v>555</v>
      </c>
      <c r="DH2" s="99" t="s">
        <v>815</v>
      </c>
      <c r="DI2" s="99" t="s">
        <v>816</v>
      </c>
      <c r="DJ2" s="99" t="s">
        <v>817</v>
      </c>
      <c r="DK2" s="99" t="s">
        <v>818</v>
      </c>
      <c r="DL2" s="99" t="s">
        <v>819</v>
      </c>
      <c r="DM2" s="99" t="s">
        <v>820</v>
      </c>
      <c r="DN2" s="99" t="s">
        <v>821</v>
      </c>
      <c r="DO2" s="99" t="s">
        <v>568</v>
      </c>
      <c r="DP2" s="99" t="s">
        <v>822</v>
      </c>
      <c r="DQ2" s="99" t="s">
        <v>823</v>
      </c>
      <c r="DR2" s="99" t="s">
        <v>824</v>
      </c>
      <c r="DS2" s="99" t="s">
        <v>825</v>
      </c>
      <c r="DT2" s="101" t="s">
        <v>826</v>
      </c>
      <c r="DU2" s="99" t="s">
        <v>827</v>
      </c>
      <c r="DV2" s="99" t="s">
        <v>828</v>
      </c>
      <c r="DW2" s="99" t="s">
        <v>829</v>
      </c>
      <c r="DX2" s="99" t="s">
        <v>830</v>
      </c>
      <c r="DY2" s="99" t="s">
        <v>831</v>
      </c>
      <c r="DZ2" s="99" t="s">
        <v>832</v>
      </c>
      <c r="EA2" s="99" t="s">
        <v>833</v>
      </c>
      <c r="EB2" s="99" t="s">
        <v>834</v>
      </c>
      <c r="EC2" s="99" t="s">
        <v>610</v>
      </c>
      <c r="ED2" s="99" t="s">
        <v>835</v>
      </c>
      <c r="EE2" s="99" t="s">
        <v>836</v>
      </c>
      <c r="EF2" s="99" t="s">
        <v>837</v>
      </c>
      <c r="EG2" s="99" t="s">
        <v>838</v>
      </c>
      <c r="EH2" s="99" t="s">
        <v>839</v>
      </c>
      <c r="EI2" s="99" t="s">
        <v>840</v>
      </c>
      <c r="EJ2" s="99" t="s">
        <v>841</v>
      </c>
      <c r="EK2" s="99" t="s">
        <v>842</v>
      </c>
      <c r="EL2" s="99" t="s">
        <v>843</v>
      </c>
      <c r="EM2" s="99"/>
    </row>
    <row r="3" spans="1:143" x14ac:dyDescent="0.55000000000000004">
      <c r="A3" s="99">
        <v>1</v>
      </c>
      <c r="B3" s="102" t="s">
        <v>844</v>
      </c>
      <c r="C3" s="102" t="s">
        <v>845</v>
      </c>
      <c r="D3" s="103">
        <v>24320</v>
      </c>
      <c r="E3" s="102" t="s">
        <v>846</v>
      </c>
      <c r="F3" s="102">
        <v>1</v>
      </c>
      <c r="G3" s="102">
        <v>8</v>
      </c>
      <c r="H3" s="102">
        <v>1966</v>
      </c>
      <c r="I3" s="102" t="s">
        <v>847</v>
      </c>
      <c r="J3" s="102" t="s">
        <v>848</v>
      </c>
      <c r="K3" s="102" t="s">
        <v>849</v>
      </c>
      <c r="L3" s="102">
        <v>43</v>
      </c>
      <c r="M3" s="102">
        <v>0</v>
      </c>
      <c r="N3" s="102">
        <v>0</v>
      </c>
      <c r="O3" s="102">
        <v>1</v>
      </c>
      <c r="P3" s="102">
        <v>1</v>
      </c>
      <c r="Q3" s="104">
        <v>0</v>
      </c>
      <c r="R3" s="102">
        <v>1</v>
      </c>
      <c r="S3" s="102">
        <v>7</v>
      </c>
      <c r="T3" s="102">
        <v>1</v>
      </c>
      <c r="U3" s="102">
        <v>2</v>
      </c>
      <c r="V3" s="102">
        <v>15</v>
      </c>
      <c r="W3" s="102">
        <v>31</v>
      </c>
      <c r="X3" s="102">
        <v>1</v>
      </c>
      <c r="Y3" s="102">
        <v>1</v>
      </c>
      <c r="Z3" s="102">
        <v>0</v>
      </c>
      <c r="AA3" s="102">
        <v>25</v>
      </c>
      <c r="AB3" s="102">
        <v>0</v>
      </c>
      <c r="AC3" s="102">
        <v>0</v>
      </c>
      <c r="AD3" s="102">
        <v>0</v>
      </c>
      <c r="AE3" s="102">
        <v>0</v>
      </c>
      <c r="AF3" s="102">
        <v>1</v>
      </c>
      <c r="AG3" s="102">
        <v>2</v>
      </c>
      <c r="AH3" s="102">
        <v>0</v>
      </c>
      <c r="AI3" s="102" t="s">
        <v>850</v>
      </c>
      <c r="AJ3" s="102">
        <v>1</v>
      </c>
      <c r="AK3" s="102">
        <v>2</v>
      </c>
      <c r="AL3" s="102">
        <v>0</v>
      </c>
      <c r="AM3" s="102">
        <v>2</v>
      </c>
      <c r="AN3" s="102">
        <v>2</v>
      </c>
      <c r="AO3" s="102">
        <v>0</v>
      </c>
      <c r="AP3" s="102">
        <v>0</v>
      </c>
      <c r="AQ3" s="102"/>
      <c r="AR3" s="102">
        <v>1</v>
      </c>
      <c r="AS3" s="102">
        <v>3</v>
      </c>
      <c r="AT3" s="102">
        <v>3</v>
      </c>
      <c r="AU3" s="102" t="s">
        <v>851</v>
      </c>
      <c r="AV3" s="102">
        <v>0</v>
      </c>
      <c r="AW3" s="102">
        <v>1</v>
      </c>
      <c r="AX3" s="102">
        <v>0</v>
      </c>
      <c r="AY3" s="102">
        <v>9</v>
      </c>
      <c r="AZ3" s="102">
        <v>4</v>
      </c>
      <c r="BA3" s="102">
        <v>0</v>
      </c>
      <c r="BB3" s="102">
        <v>0</v>
      </c>
      <c r="BC3" s="102">
        <v>1</v>
      </c>
      <c r="BD3" s="102">
        <v>1</v>
      </c>
      <c r="BE3" s="102">
        <v>0</v>
      </c>
      <c r="BF3" s="102">
        <v>0</v>
      </c>
      <c r="BG3" s="102">
        <v>0</v>
      </c>
      <c r="BH3" s="102">
        <v>0</v>
      </c>
      <c r="BI3" s="102">
        <v>3</v>
      </c>
      <c r="BJ3" s="102">
        <v>0</v>
      </c>
      <c r="BK3" s="102">
        <v>0</v>
      </c>
      <c r="BL3" s="102">
        <v>0</v>
      </c>
      <c r="BM3" s="102">
        <v>0</v>
      </c>
      <c r="BN3" s="102">
        <v>0</v>
      </c>
      <c r="BO3" s="102">
        <v>0</v>
      </c>
      <c r="BP3" s="102">
        <v>1</v>
      </c>
      <c r="BQ3" s="102">
        <v>1</v>
      </c>
      <c r="BR3" s="102">
        <v>0</v>
      </c>
      <c r="BS3" s="102">
        <v>1</v>
      </c>
      <c r="BT3" s="102">
        <v>0</v>
      </c>
      <c r="BU3" s="102">
        <v>1</v>
      </c>
      <c r="BV3" s="102">
        <v>1</v>
      </c>
      <c r="BW3" s="102">
        <v>0</v>
      </c>
      <c r="BX3" s="102">
        <v>0</v>
      </c>
      <c r="BY3" s="102">
        <v>0</v>
      </c>
      <c r="BZ3" s="102">
        <v>6</v>
      </c>
      <c r="CA3" s="102">
        <v>4</v>
      </c>
      <c r="CB3" s="102">
        <v>1</v>
      </c>
      <c r="CC3" s="102">
        <v>2</v>
      </c>
      <c r="CD3" s="102" t="s">
        <v>852</v>
      </c>
      <c r="CE3" s="102">
        <v>1</v>
      </c>
      <c r="CF3" s="102">
        <v>1</v>
      </c>
      <c r="CG3" s="102">
        <v>0</v>
      </c>
      <c r="CH3" s="102">
        <v>1</v>
      </c>
      <c r="CI3" s="102">
        <v>1</v>
      </c>
      <c r="CJ3" s="102">
        <v>0</v>
      </c>
      <c r="CK3" s="102">
        <v>0</v>
      </c>
      <c r="CL3" s="102">
        <v>0</v>
      </c>
      <c r="CM3" s="102">
        <v>0</v>
      </c>
      <c r="CN3" s="102">
        <v>2</v>
      </c>
      <c r="CO3" s="102">
        <v>0</v>
      </c>
      <c r="CP3" s="102">
        <v>0</v>
      </c>
      <c r="CQ3" s="102">
        <v>1</v>
      </c>
      <c r="CR3" s="102">
        <v>1</v>
      </c>
      <c r="CS3" s="102">
        <v>0</v>
      </c>
      <c r="CT3" s="102" t="s">
        <v>853</v>
      </c>
      <c r="CU3" s="102">
        <v>1</v>
      </c>
      <c r="CV3" s="102">
        <v>1</v>
      </c>
      <c r="CW3" s="102">
        <v>0</v>
      </c>
      <c r="CX3" s="102">
        <v>0</v>
      </c>
      <c r="CY3" s="102">
        <v>3</v>
      </c>
      <c r="CZ3" s="102">
        <v>1</v>
      </c>
      <c r="DA3" s="102" t="s">
        <v>854</v>
      </c>
      <c r="DB3" s="102">
        <v>0</v>
      </c>
      <c r="DC3" s="102">
        <v>0</v>
      </c>
      <c r="DD3" s="102">
        <v>0</v>
      </c>
      <c r="DE3" s="102">
        <v>0</v>
      </c>
      <c r="DF3" s="102">
        <v>0</v>
      </c>
      <c r="DG3" s="102">
        <v>0</v>
      </c>
      <c r="DH3" s="102">
        <v>0</v>
      </c>
      <c r="DI3" s="102">
        <v>0</v>
      </c>
      <c r="DJ3" s="102">
        <v>0</v>
      </c>
      <c r="DK3" s="102">
        <v>0</v>
      </c>
      <c r="DL3" s="102">
        <v>0</v>
      </c>
      <c r="DM3" s="102">
        <v>0</v>
      </c>
      <c r="DN3" s="102">
        <v>0</v>
      </c>
      <c r="DO3" s="102">
        <v>1</v>
      </c>
      <c r="DP3" s="102">
        <v>0</v>
      </c>
      <c r="DQ3" s="102">
        <v>2</v>
      </c>
      <c r="DR3" s="102">
        <v>1</v>
      </c>
      <c r="DS3" s="102">
        <v>0</v>
      </c>
      <c r="DT3" s="105" t="s">
        <v>855</v>
      </c>
      <c r="DU3" s="102">
        <v>1</v>
      </c>
      <c r="DV3" s="102">
        <v>0</v>
      </c>
      <c r="DW3" s="102">
        <v>1</v>
      </c>
      <c r="DX3" s="102" t="s">
        <v>856</v>
      </c>
      <c r="DY3" s="102">
        <v>1</v>
      </c>
      <c r="DZ3" s="102">
        <v>0</v>
      </c>
      <c r="EA3" s="102" t="s">
        <v>853</v>
      </c>
      <c r="EB3" s="102">
        <v>1</v>
      </c>
      <c r="EC3" s="102">
        <v>0</v>
      </c>
      <c r="ED3" s="102">
        <v>1</v>
      </c>
      <c r="EE3" s="102">
        <v>3</v>
      </c>
      <c r="EF3" s="102">
        <v>7</v>
      </c>
      <c r="EG3" s="102">
        <v>1</v>
      </c>
      <c r="EH3" s="102" t="s">
        <v>857</v>
      </c>
      <c r="EI3" s="102">
        <v>1</v>
      </c>
      <c r="EJ3" s="102">
        <v>0</v>
      </c>
      <c r="EK3" s="102">
        <v>2</v>
      </c>
      <c r="EL3" s="102">
        <v>0</v>
      </c>
      <c r="EM3" s="102"/>
    </row>
    <row r="4" spans="1:143" x14ac:dyDescent="0.55000000000000004">
      <c r="A4" s="99">
        <v>2</v>
      </c>
      <c r="B4" s="102" t="s">
        <v>858</v>
      </c>
      <c r="C4" s="102" t="s">
        <v>859</v>
      </c>
      <c r="D4" s="103">
        <v>24423</v>
      </c>
      <c r="E4" s="102" t="s">
        <v>860</v>
      </c>
      <c r="F4" s="102">
        <v>12</v>
      </c>
      <c r="G4" s="102">
        <v>11</v>
      </c>
      <c r="H4" s="102">
        <v>1966</v>
      </c>
      <c r="I4" s="102" t="s">
        <v>861</v>
      </c>
      <c r="J4" s="102" t="s">
        <v>862</v>
      </c>
      <c r="K4" s="102" t="s">
        <v>863</v>
      </c>
      <c r="L4" s="102">
        <v>3</v>
      </c>
      <c r="M4" s="102">
        <v>3</v>
      </c>
      <c r="N4" s="102">
        <v>0</v>
      </c>
      <c r="O4" s="102">
        <v>4</v>
      </c>
      <c r="P4" s="102">
        <v>0</v>
      </c>
      <c r="Q4" s="104">
        <v>0</v>
      </c>
      <c r="R4" s="102">
        <v>0</v>
      </c>
      <c r="S4" s="102" t="s">
        <v>853</v>
      </c>
      <c r="T4" s="102">
        <v>0</v>
      </c>
      <c r="U4" s="102">
        <v>0</v>
      </c>
      <c r="V4" s="102">
        <v>5</v>
      </c>
      <c r="W4" s="102">
        <v>2</v>
      </c>
      <c r="X4" s="102">
        <v>0</v>
      </c>
      <c r="Y4" s="102">
        <v>0</v>
      </c>
      <c r="Z4" s="102">
        <v>0</v>
      </c>
      <c r="AA4" s="102">
        <v>18</v>
      </c>
      <c r="AB4" s="102">
        <v>0</v>
      </c>
      <c r="AC4" s="102">
        <v>0</v>
      </c>
      <c r="AD4" s="102">
        <v>0</v>
      </c>
      <c r="AE4" s="102">
        <v>0</v>
      </c>
      <c r="AF4" s="102">
        <v>0</v>
      </c>
      <c r="AG4" s="102">
        <v>0</v>
      </c>
      <c r="AH4" s="102">
        <v>2</v>
      </c>
      <c r="AI4" s="102" t="s">
        <v>864</v>
      </c>
      <c r="AJ4" s="102">
        <v>1</v>
      </c>
      <c r="AK4" s="102">
        <v>1</v>
      </c>
      <c r="AL4" s="102">
        <v>0</v>
      </c>
      <c r="AM4" s="102">
        <v>1</v>
      </c>
      <c r="AN4" s="102">
        <v>0</v>
      </c>
      <c r="AO4" s="102">
        <v>0</v>
      </c>
      <c r="AP4" s="102">
        <v>0</v>
      </c>
      <c r="AQ4" s="102"/>
      <c r="AR4" s="102">
        <v>0</v>
      </c>
      <c r="AS4" s="102" t="s">
        <v>853</v>
      </c>
      <c r="AT4" s="102">
        <v>0</v>
      </c>
      <c r="AU4" s="102"/>
      <c r="AV4" s="102">
        <v>0</v>
      </c>
      <c r="AW4" s="102">
        <v>0</v>
      </c>
      <c r="AX4" s="102">
        <v>0</v>
      </c>
      <c r="AY4" s="102">
        <v>0</v>
      </c>
      <c r="AZ4" s="102">
        <v>0</v>
      </c>
      <c r="BA4" s="102">
        <v>0</v>
      </c>
      <c r="BB4" s="102">
        <v>0</v>
      </c>
      <c r="BC4" s="102">
        <v>0</v>
      </c>
      <c r="BD4" s="102">
        <v>0</v>
      </c>
      <c r="BE4" s="102">
        <v>0</v>
      </c>
      <c r="BF4" s="102">
        <v>0</v>
      </c>
      <c r="BG4" s="102">
        <v>0</v>
      </c>
      <c r="BH4" s="102">
        <v>0</v>
      </c>
      <c r="BI4" s="102">
        <v>3</v>
      </c>
      <c r="BJ4" s="102">
        <v>0</v>
      </c>
      <c r="BK4" s="102">
        <v>1</v>
      </c>
      <c r="BL4" s="102">
        <v>0</v>
      </c>
      <c r="BM4" s="102">
        <v>0</v>
      </c>
      <c r="BN4" s="102">
        <v>0</v>
      </c>
      <c r="BO4" s="102">
        <v>0</v>
      </c>
      <c r="BP4" s="102">
        <v>1</v>
      </c>
      <c r="BQ4" s="102">
        <v>0</v>
      </c>
      <c r="BR4" s="102">
        <v>0</v>
      </c>
      <c r="BS4" s="102">
        <v>0</v>
      </c>
      <c r="BT4" s="102">
        <v>0</v>
      </c>
      <c r="BU4" s="102">
        <v>1</v>
      </c>
      <c r="BV4" s="102">
        <v>0</v>
      </c>
      <c r="BW4" s="102">
        <v>0</v>
      </c>
      <c r="BX4" s="102">
        <v>0</v>
      </c>
      <c r="BY4" s="102">
        <v>0</v>
      </c>
      <c r="BZ4" s="102">
        <v>0</v>
      </c>
      <c r="CA4" s="102">
        <v>0</v>
      </c>
      <c r="CB4" s="102">
        <v>1</v>
      </c>
      <c r="CC4" s="102">
        <v>3</v>
      </c>
      <c r="CD4" s="102" t="s">
        <v>865</v>
      </c>
      <c r="CE4" s="102">
        <v>0</v>
      </c>
      <c r="CF4" s="102">
        <v>0</v>
      </c>
      <c r="CG4" s="102">
        <v>0</v>
      </c>
      <c r="CH4" s="102">
        <v>0</v>
      </c>
      <c r="CI4" s="102">
        <v>0</v>
      </c>
      <c r="CJ4" s="102">
        <v>0</v>
      </c>
      <c r="CK4" s="102">
        <v>1</v>
      </c>
      <c r="CL4" s="102">
        <v>0</v>
      </c>
      <c r="CM4" s="102">
        <v>0</v>
      </c>
      <c r="CN4" s="102">
        <v>1</v>
      </c>
      <c r="CO4" s="102">
        <v>0</v>
      </c>
      <c r="CP4" s="102">
        <v>0</v>
      </c>
      <c r="CQ4" s="102">
        <v>0</v>
      </c>
      <c r="CR4" s="102">
        <v>0</v>
      </c>
      <c r="CS4" s="102">
        <v>0</v>
      </c>
      <c r="CT4" s="102" t="s">
        <v>853</v>
      </c>
      <c r="CU4" s="102">
        <v>0</v>
      </c>
      <c r="CV4" s="102">
        <v>2</v>
      </c>
      <c r="CW4" s="102">
        <v>0</v>
      </c>
      <c r="CX4" s="102">
        <v>0</v>
      </c>
      <c r="CY4" s="102">
        <v>0</v>
      </c>
      <c r="CZ4" s="102">
        <v>0</v>
      </c>
      <c r="DA4" s="102" t="s">
        <v>853</v>
      </c>
      <c r="DB4" s="102">
        <v>0</v>
      </c>
      <c r="DC4" s="102" t="s">
        <v>866</v>
      </c>
      <c r="DD4" s="102">
        <v>0</v>
      </c>
      <c r="DE4" s="102">
        <v>0</v>
      </c>
      <c r="DF4" s="102">
        <v>1</v>
      </c>
      <c r="DG4" s="102">
        <v>0</v>
      </c>
      <c r="DH4" s="102">
        <v>0</v>
      </c>
      <c r="DI4" s="102">
        <v>0</v>
      </c>
      <c r="DJ4" s="102">
        <v>0</v>
      </c>
      <c r="DK4" s="102">
        <v>0</v>
      </c>
      <c r="DL4" s="102">
        <v>0</v>
      </c>
      <c r="DM4" s="102">
        <v>1</v>
      </c>
      <c r="DN4" s="102">
        <v>0</v>
      </c>
      <c r="DO4" s="102">
        <v>0</v>
      </c>
      <c r="DP4" s="102">
        <v>0</v>
      </c>
      <c r="DQ4" s="102">
        <v>2</v>
      </c>
      <c r="DR4" s="102">
        <v>0</v>
      </c>
      <c r="DS4" s="102" t="s">
        <v>853</v>
      </c>
      <c r="DT4" s="105" t="s">
        <v>853</v>
      </c>
      <c r="DU4" s="102" t="s">
        <v>853</v>
      </c>
      <c r="DV4" s="102">
        <v>1</v>
      </c>
      <c r="DW4" s="102">
        <v>1</v>
      </c>
      <c r="DX4" s="102" t="s">
        <v>867</v>
      </c>
      <c r="DY4" s="102">
        <v>0</v>
      </c>
      <c r="DZ4" s="102">
        <v>0</v>
      </c>
      <c r="EA4" s="102" t="s">
        <v>853</v>
      </c>
      <c r="EB4" s="102">
        <v>1</v>
      </c>
      <c r="EC4" s="102">
        <v>1</v>
      </c>
      <c r="ED4" s="102">
        <v>0</v>
      </c>
      <c r="EE4" s="102">
        <v>1</v>
      </c>
      <c r="EF4" s="102">
        <v>1</v>
      </c>
      <c r="EG4" s="102">
        <v>1</v>
      </c>
      <c r="EH4" s="102" t="s">
        <v>868</v>
      </c>
      <c r="EI4" s="102">
        <v>2</v>
      </c>
      <c r="EJ4" s="102">
        <v>0</v>
      </c>
      <c r="EK4" s="102">
        <v>1</v>
      </c>
      <c r="EL4" s="102">
        <v>1</v>
      </c>
      <c r="EM4" s="102"/>
    </row>
    <row r="5" spans="1:143" x14ac:dyDescent="0.55000000000000004">
      <c r="A5" s="99">
        <v>3</v>
      </c>
      <c r="B5" s="102" t="s">
        <v>869</v>
      </c>
      <c r="C5" s="102" t="s">
        <v>870</v>
      </c>
      <c r="D5" s="103">
        <v>24768</v>
      </c>
      <c r="E5" s="102" t="s">
        <v>846</v>
      </c>
      <c r="F5" s="102">
        <v>23</v>
      </c>
      <c r="G5" s="102">
        <v>10</v>
      </c>
      <c r="H5" s="102">
        <v>1967</v>
      </c>
      <c r="I5" s="102" t="s">
        <v>871</v>
      </c>
      <c r="J5" s="102" t="s">
        <v>872</v>
      </c>
      <c r="K5" s="102" t="s">
        <v>873</v>
      </c>
      <c r="L5" s="102">
        <v>38</v>
      </c>
      <c r="M5" s="102">
        <v>2</v>
      </c>
      <c r="N5" s="102">
        <v>2</v>
      </c>
      <c r="O5" s="106">
        <v>9</v>
      </c>
      <c r="P5" s="102">
        <v>1</v>
      </c>
      <c r="Q5" s="104">
        <v>1</v>
      </c>
      <c r="R5" s="102">
        <v>1</v>
      </c>
      <c r="S5" s="102">
        <v>7</v>
      </c>
      <c r="T5" s="102">
        <v>0</v>
      </c>
      <c r="U5" s="102">
        <v>0</v>
      </c>
      <c r="V5" s="102">
        <v>6</v>
      </c>
      <c r="W5" s="102">
        <v>6</v>
      </c>
      <c r="X5" s="102">
        <v>0</v>
      </c>
      <c r="Y5" s="102">
        <v>0</v>
      </c>
      <c r="Z5" s="102">
        <v>0</v>
      </c>
      <c r="AA5" s="102">
        <v>39</v>
      </c>
      <c r="AB5" s="102">
        <v>0</v>
      </c>
      <c r="AC5" s="102">
        <v>0</v>
      </c>
      <c r="AD5" s="102">
        <v>0</v>
      </c>
      <c r="AE5" s="102">
        <v>0</v>
      </c>
      <c r="AF5" s="102">
        <v>1</v>
      </c>
      <c r="AG5" s="102">
        <v>2</v>
      </c>
      <c r="AH5" s="102"/>
      <c r="AI5" s="102"/>
      <c r="AJ5" s="102"/>
      <c r="AK5" s="102">
        <v>2</v>
      </c>
      <c r="AL5" s="102"/>
      <c r="AM5" s="102"/>
      <c r="AN5" s="102">
        <v>2</v>
      </c>
      <c r="AO5" s="102">
        <v>1</v>
      </c>
      <c r="AP5" s="102">
        <v>1</v>
      </c>
      <c r="AQ5" s="102">
        <v>2</v>
      </c>
      <c r="AR5" s="102">
        <v>1</v>
      </c>
      <c r="AS5" s="102">
        <v>0</v>
      </c>
      <c r="AT5" s="102">
        <v>2</v>
      </c>
      <c r="AU5" s="102" t="s">
        <v>874</v>
      </c>
      <c r="AV5" s="102">
        <v>1</v>
      </c>
      <c r="AW5" s="102">
        <v>0</v>
      </c>
      <c r="AX5" s="102">
        <v>0</v>
      </c>
      <c r="AY5" s="102">
        <v>1</v>
      </c>
      <c r="AZ5" s="102">
        <v>1</v>
      </c>
      <c r="BA5" s="102">
        <v>1</v>
      </c>
      <c r="BB5" s="102">
        <v>0</v>
      </c>
      <c r="BC5" s="102">
        <v>0</v>
      </c>
      <c r="BD5" s="102">
        <v>0</v>
      </c>
      <c r="BE5" s="102">
        <v>0</v>
      </c>
      <c r="BF5" s="102">
        <v>0</v>
      </c>
      <c r="BG5" s="102">
        <v>0</v>
      </c>
      <c r="BH5" s="102">
        <v>0</v>
      </c>
      <c r="BI5" s="102">
        <v>3</v>
      </c>
      <c r="BJ5" s="102">
        <v>0</v>
      </c>
      <c r="BK5" s="102">
        <v>1</v>
      </c>
      <c r="BL5" s="102">
        <v>0</v>
      </c>
      <c r="BM5" s="102">
        <v>0</v>
      </c>
      <c r="BN5" s="102">
        <v>0</v>
      </c>
      <c r="BO5" s="102">
        <v>0</v>
      </c>
      <c r="BP5" s="102">
        <v>0</v>
      </c>
      <c r="BQ5" s="102">
        <v>0</v>
      </c>
      <c r="BR5" s="102">
        <v>0</v>
      </c>
      <c r="BS5" s="102">
        <v>0</v>
      </c>
      <c r="BT5" s="102">
        <v>0</v>
      </c>
      <c r="BU5" s="102">
        <v>1</v>
      </c>
      <c r="BV5" s="102">
        <v>0</v>
      </c>
      <c r="BW5" s="102">
        <v>0</v>
      </c>
      <c r="BX5" s="102">
        <v>0</v>
      </c>
      <c r="BY5" s="102">
        <v>0</v>
      </c>
      <c r="BZ5" s="102">
        <v>0</v>
      </c>
      <c r="CA5" s="102">
        <v>2</v>
      </c>
      <c r="CB5" s="102">
        <v>1</v>
      </c>
      <c r="CC5" s="102">
        <v>2</v>
      </c>
      <c r="CD5" s="102" t="s">
        <v>875</v>
      </c>
      <c r="CE5" s="102">
        <v>0</v>
      </c>
      <c r="CF5" s="102">
        <v>0</v>
      </c>
      <c r="CG5" s="102">
        <v>0</v>
      </c>
      <c r="CH5" s="102">
        <v>0</v>
      </c>
      <c r="CI5" s="102">
        <v>1</v>
      </c>
      <c r="CJ5" s="102">
        <v>0</v>
      </c>
      <c r="CK5" s="102">
        <v>1</v>
      </c>
      <c r="CL5" s="102">
        <v>1</v>
      </c>
      <c r="CM5" s="102">
        <v>1</v>
      </c>
      <c r="CN5" s="102">
        <v>2</v>
      </c>
      <c r="CO5" s="102">
        <v>0</v>
      </c>
      <c r="CP5" s="102">
        <v>0</v>
      </c>
      <c r="CQ5" s="102">
        <v>0</v>
      </c>
      <c r="CR5" s="102">
        <v>0</v>
      </c>
      <c r="CS5" s="102">
        <v>0</v>
      </c>
      <c r="CT5" s="102" t="s">
        <v>853</v>
      </c>
      <c r="CU5" s="102">
        <v>0</v>
      </c>
      <c r="CV5" s="102">
        <v>4</v>
      </c>
      <c r="CW5" s="102">
        <v>0</v>
      </c>
      <c r="CX5" s="102">
        <v>0</v>
      </c>
      <c r="CY5" s="102">
        <v>0</v>
      </c>
      <c r="CZ5" s="102">
        <v>0</v>
      </c>
      <c r="DA5" s="102" t="s">
        <v>853</v>
      </c>
      <c r="DB5" s="102">
        <v>0</v>
      </c>
      <c r="DC5" s="102">
        <v>0</v>
      </c>
      <c r="DD5" s="102">
        <v>0</v>
      </c>
      <c r="DE5" s="102">
        <v>0</v>
      </c>
      <c r="DF5" s="102">
        <v>0</v>
      </c>
      <c r="DG5" s="102">
        <v>0</v>
      </c>
      <c r="DH5" s="102">
        <v>0</v>
      </c>
      <c r="DI5" s="102">
        <v>0</v>
      </c>
      <c r="DJ5" s="102">
        <v>0</v>
      </c>
      <c r="DK5" s="102">
        <v>0</v>
      </c>
      <c r="DL5" s="102">
        <v>1</v>
      </c>
      <c r="DM5" s="102">
        <v>0</v>
      </c>
      <c r="DN5" s="102">
        <v>0</v>
      </c>
      <c r="DO5" s="102">
        <v>0</v>
      </c>
      <c r="DP5" s="102">
        <v>1</v>
      </c>
      <c r="DQ5" s="102">
        <v>2</v>
      </c>
      <c r="DR5" s="102">
        <v>0</v>
      </c>
      <c r="DS5" s="102" t="s">
        <v>853</v>
      </c>
      <c r="DT5" s="105" t="s">
        <v>853</v>
      </c>
      <c r="DU5" s="102" t="s">
        <v>853</v>
      </c>
      <c r="DV5" s="102">
        <v>0</v>
      </c>
      <c r="DW5" s="102">
        <v>0</v>
      </c>
      <c r="DX5" s="102" t="s">
        <v>853</v>
      </c>
      <c r="DY5" s="102">
        <v>0</v>
      </c>
      <c r="DZ5" s="102">
        <v>0</v>
      </c>
      <c r="EA5" s="102" t="s">
        <v>853</v>
      </c>
      <c r="EB5" s="102">
        <v>0</v>
      </c>
      <c r="EC5" s="102">
        <v>0</v>
      </c>
      <c r="ED5" s="102">
        <v>1</v>
      </c>
      <c r="EE5" s="102">
        <v>3</v>
      </c>
      <c r="EF5" s="102">
        <v>2</v>
      </c>
      <c r="EG5" s="102">
        <v>1</v>
      </c>
      <c r="EH5" s="102" t="s">
        <v>876</v>
      </c>
      <c r="EI5" s="102">
        <v>1</v>
      </c>
      <c r="EJ5" s="102">
        <v>0</v>
      </c>
      <c r="EK5" s="102">
        <v>2</v>
      </c>
      <c r="EL5" s="102">
        <v>0</v>
      </c>
      <c r="EM5" s="102"/>
    </row>
    <row r="6" spans="1:143" x14ac:dyDescent="0.55000000000000004">
      <c r="A6" s="99">
        <v>4</v>
      </c>
      <c r="B6" s="102" t="s">
        <v>877</v>
      </c>
      <c r="C6" s="102" t="s">
        <v>878</v>
      </c>
      <c r="D6" s="103">
        <v>24913</v>
      </c>
      <c r="E6" s="102" t="s">
        <v>860</v>
      </c>
      <c r="F6" s="102">
        <v>16</v>
      </c>
      <c r="G6" s="102">
        <v>3</v>
      </c>
      <c r="H6" s="102">
        <v>1968</v>
      </c>
      <c r="I6" s="102" t="s">
        <v>879</v>
      </c>
      <c r="J6" s="102" t="s">
        <v>880</v>
      </c>
      <c r="K6" s="102" t="s">
        <v>881</v>
      </c>
      <c r="L6" s="102">
        <v>22</v>
      </c>
      <c r="M6" s="102">
        <v>0</v>
      </c>
      <c r="N6" s="102">
        <v>2</v>
      </c>
      <c r="O6" s="102">
        <v>5</v>
      </c>
      <c r="P6" s="102">
        <v>0</v>
      </c>
      <c r="Q6" s="104">
        <v>0</v>
      </c>
      <c r="R6" s="102">
        <v>1</v>
      </c>
      <c r="S6" s="102">
        <v>7</v>
      </c>
      <c r="T6" s="102">
        <v>0</v>
      </c>
      <c r="U6" s="102">
        <v>0</v>
      </c>
      <c r="V6" s="102">
        <v>7</v>
      </c>
      <c r="W6" s="102">
        <v>2</v>
      </c>
      <c r="X6" s="102">
        <v>0</v>
      </c>
      <c r="Y6" s="102">
        <v>0</v>
      </c>
      <c r="Z6" s="102">
        <v>0</v>
      </c>
      <c r="AA6" s="102">
        <v>56</v>
      </c>
      <c r="AB6" s="102">
        <v>0</v>
      </c>
      <c r="AC6" s="102">
        <v>0</v>
      </c>
      <c r="AD6" s="102">
        <v>0</v>
      </c>
      <c r="AE6" s="102">
        <v>0</v>
      </c>
      <c r="AF6" s="102"/>
      <c r="AG6" s="102"/>
      <c r="AH6" s="102"/>
      <c r="AI6" s="102"/>
      <c r="AJ6" s="102"/>
      <c r="AK6" s="102"/>
      <c r="AL6" s="102"/>
      <c r="AM6" s="102"/>
      <c r="AN6" s="102">
        <v>0</v>
      </c>
      <c r="AO6" s="102">
        <v>0</v>
      </c>
      <c r="AP6" s="102">
        <v>1</v>
      </c>
      <c r="AQ6" s="102">
        <v>0</v>
      </c>
      <c r="AR6" s="102">
        <v>0</v>
      </c>
      <c r="AS6" s="102" t="s">
        <v>853</v>
      </c>
      <c r="AT6" s="102">
        <v>0</v>
      </c>
      <c r="AU6" s="102"/>
      <c r="AV6" s="102">
        <v>0</v>
      </c>
      <c r="AW6" s="102">
        <v>0</v>
      </c>
      <c r="AX6" s="102">
        <v>0</v>
      </c>
      <c r="AY6" s="102">
        <v>0</v>
      </c>
      <c r="AZ6" s="102">
        <v>0</v>
      </c>
      <c r="BA6" s="102">
        <v>0</v>
      </c>
      <c r="BB6" s="102">
        <v>0</v>
      </c>
      <c r="BC6" s="102">
        <v>0</v>
      </c>
      <c r="BD6" s="102">
        <v>0</v>
      </c>
      <c r="BE6" s="102">
        <v>0</v>
      </c>
      <c r="BF6" s="102">
        <v>0</v>
      </c>
      <c r="BG6" s="102">
        <v>0</v>
      </c>
      <c r="BH6" s="102">
        <v>0</v>
      </c>
      <c r="BI6" s="102">
        <v>3</v>
      </c>
      <c r="BJ6" s="102">
        <v>0</v>
      </c>
      <c r="BK6" s="102">
        <v>0</v>
      </c>
      <c r="BL6" s="102">
        <v>0</v>
      </c>
      <c r="BM6" s="102">
        <v>0</v>
      </c>
      <c r="BN6" s="102">
        <v>0</v>
      </c>
      <c r="BO6" s="102">
        <v>0</v>
      </c>
      <c r="BP6" s="102">
        <v>0</v>
      </c>
      <c r="BQ6" s="102">
        <v>0</v>
      </c>
      <c r="BR6" s="102">
        <v>0</v>
      </c>
      <c r="BS6" s="102">
        <v>0</v>
      </c>
      <c r="BT6" s="102">
        <v>0</v>
      </c>
      <c r="BU6" s="102"/>
      <c r="BV6" s="102">
        <v>0</v>
      </c>
      <c r="BW6" s="102">
        <v>0</v>
      </c>
      <c r="BX6" s="102">
        <v>0</v>
      </c>
      <c r="BY6" s="102">
        <v>0</v>
      </c>
      <c r="BZ6" s="102">
        <v>0</v>
      </c>
      <c r="CA6" s="102">
        <v>1</v>
      </c>
      <c r="CB6" s="102">
        <v>0</v>
      </c>
      <c r="CC6" s="102" t="s">
        <v>853</v>
      </c>
      <c r="CD6" s="102"/>
      <c r="CE6" s="102">
        <v>0</v>
      </c>
      <c r="CF6" s="102">
        <v>0</v>
      </c>
      <c r="CG6" s="102">
        <v>0</v>
      </c>
      <c r="CH6" s="102">
        <v>0</v>
      </c>
      <c r="CI6" s="102">
        <v>0</v>
      </c>
      <c r="CJ6" s="102">
        <v>0</v>
      </c>
      <c r="CK6" s="102">
        <v>0</v>
      </c>
      <c r="CL6" s="102">
        <v>0</v>
      </c>
      <c r="CM6" s="102">
        <v>0</v>
      </c>
      <c r="CN6" s="102">
        <v>0</v>
      </c>
      <c r="CO6" s="102">
        <v>0</v>
      </c>
      <c r="CP6" s="102">
        <v>0</v>
      </c>
      <c r="CQ6" s="102">
        <v>0</v>
      </c>
      <c r="CR6" s="102">
        <v>0</v>
      </c>
      <c r="CS6" s="102">
        <v>0</v>
      </c>
      <c r="CT6" s="102" t="s">
        <v>853</v>
      </c>
      <c r="CU6" s="102">
        <v>0</v>
      </c>
      <c r="CV6" s="102">
        <v>0</v>
      </c>
      <c r="CW6" s="102">
        <v>0</v>
      </c>
      <c r="CX6" s="102">
        <v>0</v>
      </c>
      <c r="CY6" s="102">
        <v>1</v>
      </c>
      <c r="CZ6" s="102">
        <v>0</v>
      </c>
      <c r="DA6" s="102" t="s">
        <v>853</v>
      </c>
      <c r="DB6" s="102">
        <v>0</v>
      </c>
      <c r="DC6" s="102">
        <v>0</v>
      </c>
      <c r="DD6" s="102">
        <v>0</v>
      </c>
      <c r="DE6" s="102">
        <v>0</v>
      </c>
      <c r="DF6" s="102">
        <v>0</v>
      </c>
      <c r="DG6" s="102">
        <v>0</v>
      </c>
      <c r="DH6" s="102">
        <v>0</v>
      </c>
      <c r="DI6" s="102">
        <v>0</v>
      </c>
      <c r="DJ6" s="102">
        <v>0</v>
      </c>
      <c r="DK6" s="102">
        <v>1</v>
      </c>
      <c r="DL6" s="102">
        <v>0</v>
      </c>
      <c r="DM6" s="102">
        <v>0</v>
      </c>
      <c r="DN6" s="102">
        <v>0</v>
      </c>
      <c r="DO6" s="102">
        <v>0</v>
      </c>
      <c r="DP6" s="102">
        <v>0</v>
      </c>
      <c r="DQ6" s="102">
        <v>2</v>
      </c>
      <c r="DR6" s="102">
        <v>0</v>
      </c>
      <c r="DS6" s="102" t="s">
        <v>853</v>
      </c>
      <c r="DT6" s="105" t="s">
        <v>853</v>
      </c>
      <c r="DU6" s="102" t="s">
        <v>853</v>
      </c>
      <c r="DV6" s="102">
        <v>0</v>
      </c>
      <c r="DW6" s="102">
        <v>0</v>
      </c>
      <c r="DX6" s="102" t="s">
        <v>853</v>
      </c>
      <c r="DY6" s="102">
        <v>0</v>
      </c>
      <c r="DZ6" s="102">
        <v>0</v>
      </c>
      <c r="EA6" s="102" t="s">
        <v>853</v>
      </c>
      <c r="EB6" s="102">
        <v>0</v>
      </c>
      <c r="EC6" s="102">
        <v>0</v>
      </c>
      <c r="ED6" s="102">
        <v>0</v>
      </c>
      <c r="EE6" s="102">
        <v>0</v>
      </c>
      <c r="EF6" s="102">
        <v>1</v>
      </c>
      <c r="EG6" s="102">
        <v>0</v>
      </c>
      <c r="EH6" s="102" t="s">
        <v>853</v>
      </c>
      <c r="EI6" s="102">
        <v>2</v>
      </c>
      <c r="EJ6" s="102">
        <v>0</v>
      </c>
      <c r="EK6" s="102">
        <v>0</v>
      </c>
      <c r="EL6" s="102">
        <v>3</v>
      </c>
      <c r="EM6" s="102"/>
    </row>
    <row r="7" spans="1:143" x14ac:dyDescent="0.55000000000000004">
      <c r="A7" s="99">
        <v>5</v>
      </c>
      <c r="B7" s="102" t="s">
        <v>882</v>
      </c>
      <c r="C7" s="102" t="s">
        <v>883</v>
      </c>
      <c r="D7" s="103">
        <v>25298</v>
      </c>
      <c r="E7" s="102" t="s">
        <v>860</v>
      </c>
      <c r="F7" s="102">
        <v>5</v>
      </c>
      <c r="G7" s="102">
        <v>4</v>
      </c>
      <c r="H7" s="102">
        <v>1969</v>
      </c>
      <c r="I7" s="102" t="s">
        <v>884</v>
      </c>
      <c r="J7" s="102" t="s">
        <v>885</v>
      </c>
      <c r="K7" s="102" t="s">
        <v>873</v>
      </c>
      <c r="L7" s="102">
        <v>38</v>
      </c>
      <c r="M7" s="102">
        <v>2</v>
      </c>
      <c r="N7" s="102">
        <v>0</v>
      </c>
      <c r="O7" s="102">
        <v>8</v>
      </c>
      <c r="P7" s="102">
        <v>0</v>
      </c>
      <c r="Q7" s="104">
        <v>0</v>
      </c>
      <c r="R7" s="102">
        <v>0</v>
      </c>
      <c r="S7" s="102" t="s">
        <v>853</v>
      </c>
      <c r="T7" s="102">
        <v>0</v>
      </c>
      <c r="U7" s="102">
        <v>0</v>
      </c>
      <c r="V7" s="102">
        <v>4</v>
      </c>
      <c r="W7" s="102">
        <v>17</v>
      </c>
      <c r="X7" s="102">
        <v>0</v>
      </c>
      <c r="Y7" s="102">
        <v>1</v>
      </c>
      <c r="Z7" s="102"/>
      <c r="AA7" s="102">
        <v>31</v>
      </c>
      <c r="AB7" s="102">
        <v>0</v>
      </c>
      <c r="AC7" s="102">
        <v>1</v>
      </c>
      <c r="AD7" s="102">
        <v>0</v>
      </c>
      <c r="AE7" s="102">
        <v>0</v>
      </c>
      <c r="AF7" s="102">
        <v>1</v>
      </c>
      <c r="AG7" s="102">
        <v>2</v>
      </c>
      <c r="AH7" s="102">
        <v>2</v>
      </c>
      <c r="AI7" s="102" t="s">
        <v>886</v>
      </c>
      <c r="AJ7" s="102">
        <v>0</v>
      </c>
      <c r="AK7" s="102">
        <v>0</v>
      </c>
      <c r="AL7" s="102">
        <v>0</v>
      </c>
      <c r="AM7" s="102">
        <v>0</v>
      </c>
      <c r="AN7" s="102">
        <v>2</v>
      </c>
      <c r="AO7" s="102">
        <v>1</v>
      </c>
      <c r="AP7" s="102">
        <v>0</v>
      </c>
      <c r="AQ7" s="102">
        <v>2</v>
      </c>
      <c r="AR7" s="102">
        <v>1</v>
      </c>
      <c r="AS7" s="102">
        <v>2</v>
      </c>
      <c r="AT7" s="102">
        <v>2</v>
      </c>
      <c r="AU7" s="102" t="s">
        <v>887</v>
      </c>
      <c r="AV7" s="102">
        <v>0</v>
      </c>
      <c r="AW7" s="102">
        <v>0</v>
      </c>
      <c r="AX7" s="102">
        <v>0</v>
      </c>
      <c r="AY7" s="102">
        <v>0</v>
      </c>
      <c r="AZ7" s="102">
        <v>0</v>
      </c>
      <c r="BA7" s="102">
        <v>0</v>
      </c>
      <c r="BB7" s="102">
        <v>0</v>
      </c>
      <c r="BC7" s="102">
        <v>3</v>
      </c>
      <c r="BD7" s="102">
        <v>3</v>
      </c>
      <c r="BE7" s="102">
        <v>0</v>
      </c>
      <c r="BF7" s="102">
        <v>0</v>
      </c>
      <c r="BG7" s="102">
        <v>0</v>
      </c>
      <c r="BH7" s="102">
        <v>2</v>
      </c>
      <c r="BI7" s="102">
        <v>3</v>
      </c>
      <c r="BJ7" s="102">
        <v>0</v>
      </c>
      <c r="BK7" s="102">
        <v>1</v>
      </c>
      <c r="BL7" s="102">
        <v>0</v>
      </c>
      <c r="BM7" s="102">
        <v>1</v>
      </c>
      <c r="BN7" s="102">
        <v>0</v>
      </c>
      <c r="BO7" s="102">
        <v>0</v>
      </c>
      <c r="BP7" s="102">
        <v>0</v>
      </c>
      <c r="BQ7" s="102">
        <v>0</v>
      </c>
      <c r="BR7" s="102">
        <v>0</v>
      </c>
      <c r="BS7" s="102">
        <v>0</v>
      </c>
      <c r="BT7" s="102">
        <v>0</v>
      </c>
      <c r="BU7" s="102">
        <v>1</v>
      </c>
      <c r="BV7" s="102">
        <v>0</v>
      </c>
      <c r="BW7" s="102">
        <v>0</v>
      </c>
      <c r="BX7" s="102">
        <v>0</v>
      </c>
      <c r="BY7" s="102">
        <v>0</v>
      </c>
      <c r="BZ7" s="102">
        <v>6</v>
      </c>
      <c r="CA7" s="102">
        <v>2</v>
      </c>
      <c r="CB7" s="102">
        <v>1</v>
      </c>
      <c r="CC7" s="102">
        <v>0</v>
      </c>
      <c r="CD7" s="102" t="s">
        <v>888</v>
      </c>
      <c r="CE7" s="102">
        <v>0</v>
      </c>
      <c r="CF7" s="102">
        <v>0</v>
      </c>
      <c r="CG7" s="102">
        <v>0</v>
      </c>
      <c r="CH7" s="102">
        <v>0</v>
      </c>
      <c r="CI7" s="102">
        <v>1</v>
      </c>
      <c r="CJ7" s="102">
        <v>0</v>
      </c>
      <c r="CK7" s="102">
        <v>0</v>
      </c>
      <c r="CL7" s="102">
        <v>1</v>
      </c>
      <c r="CM7" s="102">
        <v>1</v>
      </c>
      <c r="CN7" s="102">
        <v>1</v>
      </c>
      <c r="CO7" s="102">
        <v>0</v>
      </c>
      <c r="CP7" s="102">
        <v>0</v>
      </c>
      <c r="CQ7" s="102">
        <v>0</v>
      </c>
      <c r="CR7" s="102">
        <v>0</v>
      </c>
      <c r="CS7" s="102">
        <v>0</v>
      </c>
      <c r="CT7" s="102" t="s">
        <v>853</v>
      </c>
      <c r="CU7" s="102">
        <v>0</v>
      </c>
      <c r="CV7" s="102">
        <v>2</v>
      </c>
      <c r="CW7" s="102">
        <v>0</v>
      </c>
      <c r="CX7" s="102">
        <v>0</v>
      </c>
      <c r="CY7" s="102">
        <v>0</v>
      </c>
      <c r="CZ7" s="102">
        <v>0</v>
      </c>
      <c r="DA7" s="102" t="s">
        <v>853</v>
      </c>
      <c r="DB7" s="102">
        <v>0</v>
      </c>
      <c r="DC7" s="102">
        <v>1</v>
      </c>
      <c r="DD7" s="102">
        <v>0</v>
      </c>
      <c r="DE7" s="102">
        <v>0</v>
      </c>
      <c r="DF7" s="102">
        <v>0</v>
      </c>
      <c r="DG7" s="102">
        <v>0</v>
      </c>
      <c r="DH7" s="102">
        <v>0</v>
      </c>
      <c r="DI7" s="102">
        <v>0</v>
      </c>
      <c r="DJ7" s="102">
        <v>0</v>
      </c>
      <c r="DK7" s="102">
        <v>0</v>
      </c>
      <c r="DL7" s="102">
        <v>0</v>
      </c>
      <c r="DM7" s="102">
        <v>0</v>
      </c>
      <c r="DN7" s="102">
        <v>1</v>
      </c>
      <c r="DO7" s="102">
        <v>0</v>
      </c>
      <c r="DP7" s="102">
        <v>1</v>
      </c>
      <c r="DQ7" s="102">
        <v>2</v>
      </c>
      <c r="DR7" s="102">
        <v>0</v>
      </c>
      <c r="DS7" s="102" t="s">
        <v>853</v>
      </c>
      <c r="DT7" s="105" t="s">
        <v>853</v>
      </c>
      <c r="DU7" s="102" t="s">
        <v>853</v>
      </c>
      <c r="DV7" s="102">
        <v>0</v>
      </c>
      <c r="DW7" s="102">
        <v>0</v>
      </c>
      <c r="DX7" s="102" t="s">
        <v>853</v>
      </c>
      <c r="DY7" s="102">
        <v>0</v>
      </c>
      <c r="DZ7" s="102">
        <v>0</v>
      </c>
      <c r="EA7" s="102" t="s">
        <v>853</v>
      </c>
      <c r="EB7" s="102">
        <v>0</v>
      </c>
      <c r="EC7" s="102">
        <v>0</v>
      </c>
      <c r="ED7" s="102">
        <v>0</v>
      </c>
      <c r="EE7" s="102">
        <v>3</v>
      </c>
      <c r="EF7" s="102">
        <v>2</v>
      </c>
      <c r="EG7" s="102">
        <v>0</v>
      </c>
      <c r="EH7" s="102" t="s">
        <v>853</v>
      </c>
      <c r="EI7" s="102">
        <v>0</v>
      </c>
      <c r="EJ7" s="102">
        <v>0</v>
      </c>
      <c r="EK7" s="102">
        <v>2</v>
      </c>
      <c r="EL7" s="102">
        <v>0</v>
      </c>
      <c r="EM7" s="102"/>
    </row>
    <row r="8" spans="1:143" x14ac:dyDescent="0.55000000000000004">
      <c r="A8" s="99">
        <v>6</v>
      </c>
      <c r="B8" s="102" t="s">
        <v>889</v>
      </c>
      <c r="C8" s="102" t="s">
        <v>890</v>
      </c>
      <c r="D8" s="103">
        <v>25834</v>
      </c>
      <c r="E8" s="102" t="s">
        <v>891</v>
      </c>
      <c r="F8" s="102">
        <v>23</v>
      </c>
      <c r="G8" s="102">
        <v>9</v>
      </c>
      <c r="H8" s="102">
        <v>1970</v>
      </c>
      <c r="I8" s="102" t="s">
        <v>892</v>
      </c>
      <c r="J8" s="102" t="s">
        <v>893</v>
      </c>
      <c r="K8" s="102" t="s">
        <v>894</v>
      </c>
      <c r="L8" s="102">
        <v>32</v>
      </c>
      <c r="M8" s="102">
        <v>2</v>
      </c>
      <c r="N8" s="102">
        <v>0</v>
      </c>
      <c r="O8" s="107">
        <v>6</v>
      </c>
      <c r="P8" s="102">
        <v>1</v>
      </c>
      <c r="Q8" s="104">
        <v>1</v>
      </c>
      <c r="R8" s="102">
        <v>0</v>
      </c>
      <c r="S8" s="102" t="s">
        <v>853</v>
      </c>
      <c r="T8" s="102">
        <v>0</v>
      </c>
      <c r="U8" s="102">
        <v>0</v>
      </c>
      <c r="V8" s="102">
        <v>4</v>
      </c>
      <c r="W8" s="102">
        <v>0</v>
      </c>
      <c r="X8" s="102">
        <v>0</v>
      </c>
      <c r="Y8" s="102">
        <v>1</v>
      </c>
      <c r="Z8" s="102">
        <v>0</v>
      </c>
      <c r="AA8" s="102">
        <v>25</v>
      </c>
      <c r="AB8" s="102">
        <v>0</v>
      </c>
      <c r="AC8" s="102">
        <v>1</v>
      </c>
      <c r="AD8" s="102">
        <v>0</v>
      </c>
      <c r="AE8" s="102">
        <v>0</v>
      </c>
      <c r="AF8" s="102"/>
      <c r="AG8" s="102">
        <v>4</v>
      </c>
      <c r="AH8" s="102">
        <v>2</v>
      </c>
      <c r="AI8" s="102" t="s">
        <v>895</v>
      </c>
      <c r="AJ8" s="102"/>
      <c r="AK8" s="102"/>
      <c r="AL8" s="102"/>
      <c r="AM8" s="102"/>
      <c r="AN8" s="102">
        <v>0</v>
      </c>
      <c r="AO8" s="102">
        <v>0</v>
      </c>
      <c r="AP8" s="102">
        <v>1</v>
      </c>
      <c r="AQ8" s="102">
        <v>1</v>
      </c>
      <c r="AR8" s="102">
        <v>0</v>
      </c>
      <c r="AS8" s="102" t="s">
        <v>853</v>
      </c>
      <c r="AT8" s="102">
        <v>0</v>
      </c>
      <c r="AU8" s="102"/>
      <c r="AV8" s="102">
        <v>0</v>
      </c>
      <c r="AW8" s="102">
        <v>0</v>
      </c>
      <c r="AX8" s="102">
        <v>0</v>
      </c>
      <c r="AY8" s="102">
        <v>0</v>
      </c>
      <c r="AZ8" s="102">
        <v>0</v>
      </c>
      <c r="BA8" s="102">
        <v>0</v>
      </c>
      <c r="BB8" s="102">
        <v>0</v>
      </c>
      <c r="BC8" s="102">
        <v>0</v>
      </c>
      <c r="BD8" s="102">
        <v>0</v>
      </c>
      <c r="BE8" s="102">
        <v>0</v>
      </c>
      <c r="BF8" s="102">
        <v>0</v>
      </c>
      <c r="BG8" s="102">
        <v>0</v>
      </c>
      <c r="BH8" s="102">
        <v>0</v>
      </c>
      <c r="BI8" s="102">
        <v>3</v>
      </c>
      <c r="BJ8" s="102">
        <v>0</v>
      </c>
      <c r="BK8" s="102">
        <v>1</v>
      </c>
      <c r="BL8" s="102">
        <v>0</v>
      </c>
      <c r="BM8" s="102">
        <v>0</v>
      </c>
      <c r="BN8" s="102">
        <v>0</v>
      </c>
      <c r="BO8" s="102">
        <v>0</v>
      </c>
      <c r="BP8" s="102">
        <v>0</v>
      </c>
      <c r="BQ8" s="102">
        <v>0</v>
      </c>
      <c r="BR8" s="102">
        <v>0</v>
      </c>
      <c r="BS8" s="102">
        <v>0</v>
      </c>
      <c r="BT8" s="102">
        <v>0</v>
      </c>
      <c r="BU8" s="102">
        <v>1</v>
      </c>
      <c r="BV8" s="102">
        <v>0</v>
      </c>
      <c r="BW8" s="102">
        <v>0</v>
      </c>
      <c r="BX8" s="102">
        <v>0</v>
      </c>
      <c r="BY8" s="102">
        <v>0</v>
      </c>
      <c r="BZ8" s="102">
        <v>0</v>
      </c>
      <c r="CA8" s="102">
        <v>2</v>
      </c>
      <c r="CB8" s="102">
        <v>0</v>
      </c>
      <c r="CC8" s="102" t="s">
        <v>853</v>
      </c>
      <c r="CD8" s="102"/>
      <c r="CE8" s="102">
        <v>0</v>
      </c>
      <c r="CF8" s="102">
        <v>0</v>
      </c>
      <c r="CG8" s="102">
        <v>0</v>
      </c>
      <c r="CH8" s="102">
        <v>0</v>
      </c>
      <c r="CI8" s="102">
        <v>0</v>
      </c>
      <c r="CJ8" s="102">
        <v>0</v>
      </c>
      <c r="CK8" s="102">
        <v>0</v>
      </c>
      <c r="CL8" s="102">
        <v>0</v>
      </c>
      <c r="CM8" s="102">
        <v>0</v>
      </c>
      <c r="CN8" s="102">
        <v>2</v>
      </c>
      <c r="CO8" s="102">
        <v>0</v>
      </c>
      <c r="CP8" s="102">
        <v>0</v>
      </c>
      <c r="CQ8" s="102">
        <v>0</v>
      </c>
      <c r="CR8" s="102">
        <v>0</v>
      </c>
      <c r="CS8" s="102">
        <v>0</v>
      </c>
      <c r="CT8" s="102" t="s">
        <v>853</v>
      </c>
      <c r="CU8" s="102">
        <v>0</v>
      </c>
      <c r="CV8" s="102">
        <v>0</v>
      </c>
      <c r="CW8" s="102">
        <v>0</v>
      </c>
      <c r="CX8" s="102">
        <v>0</v>
      </c>
      <c r="CY8" s="102">
        <v>0</v>
      </c>
      <c r="CZ8" s="102">
        <v>1</v>
      </c>
      <c r="DA8" s="102" t="s">
        <v>896</v>
      </c>
      <c r="DB8" s="102">
        <v>0</v>
      </c>
      <c r="DC8" s="102">
        <v>2</v>
      </c>
      <c r="DD8" s="102">
        <v>0</v>
      </c>
      <c r="DE8" s="102">
        <v>0</v>
      </c>
      <c r="DF8" s="102">
        <v>1</v>
      </c>
      <c r="DG8" s="102">
        <v>0</v>
      </c>
      <c r="DH8" s="102">
        <v>0</v>
      </c>
      <c r="DI8" s="102">
        <v>0</v>
      </c>
      <c r="DJ8" s="102">
        <v>0</v>
      </c>
      <c r="DK8" s="102">
        <v>0</v>
      </c>
      <c r="DL8" s="102">
        <v>0</v>
      </c>
      <c r="DM8" s="102">
        <v>0</v>
      </c>
      <c r="DN8" s="102">
        <v>0</v>
      </c>
      <c r="DO8" s="102">
        <v>1</v>
      </c>
      <c r="DP8" s="102">
        <v>0</v>
      </c>
      <c r="DQ8" s="102">
        <v>2</v>
      </c>
      <c r="DR8" s="102">
        <v>0</v>
      </c>
      <c r="DS8" s="102" t="s">
        <v>853</v>
      </c>
      <c r="DT8" s="105" t="s">
        <v>853</v>
      </c>
      <c r="DU8" s="102" t="s">
        <v>853</v>
      </c>
      <c r="DV8" s="102">
        <v>0</v>
      </c>
      <c r="DW8" s="102">
        <v>0</v>
      </c>
      <c r="DX8" s="102" t="s">
        <v>853</v>
      </c>
      <c r="DY8" s="102">
        <v>1</v>
      </c>
      <c r="DZ8" s="102">
        <v>0</v>
      </c>
      <c r="EA8" s="102" t="s">
        <v>853</v>
      </c>
      <c r="EB8" s="102">
        <v>0</v>
      </c>
      <c r="EC8" s="102">
        <v>0</v>
      </c>
      <c r="ED8" s="102">
        <v>0</v>
      </c>
      <c r="EE8" s="102">
        <v>2</v>
      </c>
      <c r="EF8" s="102">
        <v>1</v>
      </c>
      <c r="EG8" s="102">
        <v>0</v>
      </c>
      <c r="EH8" s="102" t="s">
        <v>853</v>
      </c>
      <c r="EI8" s="102">
        <v>0</v>
      </c>
      <c r="EJ8" s="102">
        <v>0</v>
      </c>
      <c r="EK8" s="102">
        <v>2</v>
      </c>
      <c r="EL8" s="102">
        <v>0</v>
      </c>
      <c r="EM8" s="102"/>
    </row>
    <row r="9" spans="1:143" x14ac:dyDescent="0.55000000000000004">
      <c r="A9" s="99">
        <v>7</v>
      </c>
      <c r="B9" s="102" t="s">
        <v>897</v>
      </c>
      <c r="C9" s="102" t="s">
        <v>898</v>
      </c>
      <c r="D9" s="103">
        <v>26448</v>
      </c>
      <c r="E9" s="102" t="s">
        <v>846</v>
      </c>
      <c r="F9" s="102">
        <v>29</v>
      </c>
      <c r="G9" s="102">
        <v>5</v>
      </c>
      <c r="H9" s="102">
        <v>1972</v>
      </c>
      <c r="I9" s="102" t="s">
        <v>899</v>
      </c>
      <c r="J9" s="102" t="s">
        <v>900</v>
      </c>
      <c r="K9" s="102" t="s">
        <v>901</v>
      </c>
      <c r="L9" s="102">
        <v>33</v>
      </c>
      <c r="M9" s="102">
        <v>0</v>
      </c>
      <c r="N9" s="102">
        <v>0</v>
      </c>
      <c r="O9" s="102">
        <v>4</v>
      </c>
      <c r="P9" s="102">
        <v>0</v>
      </c>
      <c r="Q9" s="104">
        <v>0</v>
      </c>
      <c r="R9" s="102">
        <v>0</v>
      </c>
      <c r="S9" s="102" t="s">
        <v>853</v>
      </c>
      <c r="T9" s="102">
        <v>0</v>
      </c>
      <c r="U9" s="102">
        <v>0</v>
      </c>
      <c r="V9" s="102">
        <v>4</v>
      </c>
      <c r="W9" s="102">
        <v>5</v>
      </c>
      <c r="X9" s="102">
        <v>0</v>
      </c>
      <c r="Y9" s="102">
        <v>0</v>
      </c>
      <c r="Z9" s="102">
        <v>0</v>
      </c>
      <c r="AA9" s="102">
        <v>22</v>
      </c>
      <c r="AB9" s="102">
        <v>0</v>
      </c>
      <c r="AC9" s="102">
        <v>1</v>
      </c>
      <c r="AD9" s="102">
        <v>0</v>
      </c>
      <c r="AE9" s="102">
        <v>0</v>
      </c>
      <c r="AF9" s="102"/>
      <c r="AG9" s="102">
        <v>1</v>
      </c>
      <c r="AH9" s="102">
        <v>0</v>
      </c>
      <c r="AI9" s="102" t="s">
        <v>902</v>
      </c>
      <c r="AJ9" s="102"/>
      <c r="AK9" s="102"/>
      <c r="AL9" s="102"/>
      <c r="AM9" s="102"/>
      <c r="AN9" s="102">
        <v>2</v>
      </c>
      <c r="AO9" s="102">
        <v>0</v>
      </c>
      <c r="AP9" s="102">
        <v>1</v>
      </c>
      <c r="AQ9" s="102">
        <v>0</v>
      </c>
      <c r="AR9" s="102">
        <v>0</v>
      </c>
      <c r="AS9" s="102" t="s">
        <v>853</v>
      </c>
      <c r="AT9" s="102">
        <v>3</v>
      </c>
      <c r="AU9" s="102" t="s">
        <v>903</v>
      </c>
      <c r="AV9" s="102">
        <v>0</v>
      </c>
      <c r="AW9" s="102">
        <v>1</v>
      </c>
      <c r="AX9" s="102">
        <v>4</v>
      </c>
      <c r="AY9" s="102">
        <v>9</v>
      </c>
      <c r="AZ9" s="102">
        <v>4</v>
      </c>
      <c r="BA9" s="102">
        <v>1</v>
      </c>
      <c r="BB9" s="102">
        <v>0</v>
      </c>
      <c r="BC9" s="102">
        <v>0</v>
      </c>
      <c r="BD9" s="102">
        <v>0</v>
      </c>
      <c r="BE9" s="102">
        <v>0</v>
      </c>
      <c r="BF9" s="102">
        <v>0</v>
      </c>
      <c r="BG9" s="102">
        <v>0</v>
      </c>
      <c r="BH9" s="102">
        <v>0</v>
      </c>
      <c r="BI9" s="102">
        <v>3</v>
      </c>
      <c r="BJ9" s="102">
        <v>0</v>
      </c>
      <c r="BK9" s="102">
        <v>1</v>
      </c>
      <c r="BL9" s="102">
        <v>0</v>
      </c>
      <c r="BM9" s="102">
        <v>0</v>
      </c>
      <c r="BN9" s="102">
        <v>0</v>
      </c>
      <c r="BO9" s="102">
        <v>0</v>
      </c>
      <c r="BP9" s="102">
        <v>0</v>
      </c>
      <c r="BQ9" s="102">
        <v>0</v>
      </c>
      <c r="BR9" s="102">
        <v>0</v>
      </c>
      <c r="BS9" s="102">
        <v>0</v>
      </c>
      <c r="BT9" s="102">
        <v>0</v>
      </c>
      <c r="BU9" s="102">
        <v>0</v>
      </c>
      <c r="BV9" s="102">
        <v>0</v>
      </c>
      <c r="BW9" s="102">
        <v>0</v>
      </c>
      <c r="BX9" s="102">
        <v>0</v>
      </c>
      <c r="BY9" s="102">
        <v>0</v>
      </c>
      <c r="BZ9" s="102">
        <v>2</v>
      </c>
      <c r="CA9" s="102" t="s">
        <v>904</v>
      </c>
      <c r="CB9" s="102">
        <v>1</v>
      </c>
      <c r="CC9" s="102">
        <v>0</v>
      </c>
      <c r="CD9" s="102" t="s">
        <v>905</v>
      </c>
      <c r="CE9" s="102">
        <v>0</v>
      </c>
      <c r="CF9" s="102">
        <v>1</v>
      </c>
      <c r="CG9" s="102">
        <v>0</v>
      </c>
      <c r="CH9" s="102">
        <v>0</v>
      </c>
      <c r="CI9" s="102">
        <v>0</v>
      </c>
      <c r="CJ9" s="102">
        <v>0</v>
      </c>
      <c r="CK9" s="102">
        <v>1</v>
      </c>
      <c r="CL9" s="102">
        <v>0</v>
      </c>
      <c r="CM9" s="102">
        <v>0</v>
      </c>
      <c r="CN9" s="102">
        <v>2</v>
      </c>
      <c r="CO9" s="102">
        <v>0</v>
      </c>
      <c r="CP9" s="102">
        <v>0</v>
      </c>
      <c r="CQ9" s="102">
        <v>0</v>
      </c>
      <c r="CR9" s="102">
        <v>0</v>
      </c>
      <c r="CS9" s="102">
        <v>0</v>
      </c>
      <c r="CT9" s="102" t="s">
        <v>853</v>
      </c>
      <c r="CU9" s="102">
        <v>0</v>
      </c>
      <c r="CV9" s="102">
        <v>1</v>
      </c>
      <c r="CW9" s="102">
        <v>0</v>
      </c>
      <c r="CX9" s="102">
        <v>0</v>
      </c>
      <c r="CY9" s="102">
        <v>0</v>
      </c>
      <c r="CZ9" s="102">
        <v>0</v>
      </c>
      <c r="DA9" s="102" t="s">
        <v>853</v>
      </c>
      <c r="DB9" s="102">
        <v>0</v>
      </c>
      <c r="DC9" s="102">
        <v>1</v>
      </c>
      <c r="DD9" s="102">
        <v>0</v>
      </c>
      <c r="DE9" s="102">
        <v>0</v>
      </c>
      <c r="DF9" s="102">
        <v>0</v>
      </c>
      <c r="DG9" s="102">
        <v>0</v>
      </c>
      <c r="DH9" s="102">
        <v>0</v>
      </c>
      <c r="DI9" s="102">
        <v>0</v>
      </c>
      <c r="DJ9" s="102">
        <v>1</v>
      </c>
      <c r="DK9" s="102">
        <v>0</v>
      </c>
      <c r="DL9" s="102">
        <v>0</v>
      </c>
      <c r="DM9" s="102">
        <v>0</v>
      </c>
      <c r="DN9" s="102">
        <v>0</v>
      </c>
      <c r="DO9" s="102">
        <v>0</v>
      </c>
      <c r="DP9" s="102">
        <v>0</v>
      </c>
      <c r="DQ9" s="102">
        <v>2</v>
      </c>
      <c r="DR9" s="102">
        <v>0</v>
      </c>
      <c r="DS9" s="102" t="s">
        <v>853</v>
      </c>
      <c r="DT9" s="105" t="s">
        <v>853</v>
      </c>
      <c r="DU9" s="102" t="s">
        <v>853</v>
      </c>
      <c r="DV9" s="102">
        <v>0</v>
      </c>
      <c r="DW9" s="102">
        <v>0</v>
      </c>
      <c r="DX9" s="102" t="s">
        <v>853</v>
      </c>
      <c r="DY9" s="102">
        <v>0</v>
      </c>
      <c r="DZ9" s="102">
        <v>0</v>
      </c>
      <c r="EA9" s="102" t="s">
        <v>853</v>
      </c>
      <c r="EB9" s="102">
        <v>0</v>
      </c>
      <c r="EC9" s="102">
        <v>0</v>
      </c>
      <c r="ED9" s="102">
        <v>0</v>
      </c>
      <c r="EE9" s="102">
        <v>0</v>
      </c>
      <c r="EF9" s="102">
        <v>1</v>
      </c>
      <c r="EG9" s="102">
        <v>0</v>
      </c>
      <c r="EH9" s="102" t="s">
        <v>853</v>
      </c>
      <c r="EI9" s="102">
        <v>0</v>
      </c>
      <c r="EJ9" s="102">
        <v>0</v>
      </c>
      <c r="EK9" s="102">
        <v>2</v>
      </c>
      <c r="EL9" s="102">
        <v>0</v>
      </c>
      <c r="EM9" s="102"/>
    </row>
    <row r="10" spans="1:143" x14ac:dyDescent="0.55000000000000004">
      <c r="A10" s="99">
        <v>8</v>
      </c>
      <c r="B10" s="102" t="s">
        <v>906</v>
      </c>
      <c r="C10" s="102" t="s">
        <v>907</v>
      </c>
      <c r="D10" s="103">
        <v>26471</v>
      </c>
      <c r="E10" s="102" t="s">
        <v>891</v>
      </c>
      <c r="F10" s="102">
        <v>21</v>
      </c>
      <c r="G10" s="102">
        <v>6</v>
      </c>
      <c r="H10" s="102">
        <v>1972</v>
      </c>
      <c r="I10" s="102" t="s">
        <v>908</v>
      </c>
      <c r="J10" s="102" t="s">
        <v>909</v>
      </c>
      <c r="K10" s="102" t="s">
        <v>910</v>
      </c>
      <c r="L10" s="102">
        <v>30</v>
      </c>
      <c r="M10" s="102">
        <v>2</v>
      </c>
      <c r="N10" s="102">
        <v>1</v>
      </c>
      <c r="O10" s="106">
        <v>6</v>
      </c>
      <c r="P10" s="102">
        <v>1</v>
      </c>
      <c r="Q10" s="104">
        <v>1</v>
      </c>
      <c r="R10" s="102">
        <v>0</v>
      </c>
      <c r="S10" s="102" t="s">
        <v>853</v>
      </c>
      <c r="T10" s="102">
        <v>0</v>
      </c>
      <c r="U10" s="102">
        <v>0</v>
      </c>
      <c r="V10" s="102">
        <v>6</v>
      </c>
      <c r="W10" s="102">
        <v>6</v>
      </c>
      <c r="X10" s="102">
        <v>0</v>
      </c>
      <c r="Y10" s="102">
        <v>0</v>
      </c>
      <c r="Z10" s="102">
        <v>0</v>
      </c>
      <c r="AA10" s="102">
        <v>33</v>
      </c>
      <c r="AB10" s="102">
        <v>0</v>
      </c>
      <c r="AC10" s="102">
        <v>0</v>
      </c>
      <c r="AD10" s="102">
        <v>0</v>
      </c>
      <c r="AE10" s="102">
        <v>0</v>
      </c>
      <c r="AF10" s="102">
        <v>1</v>
      </c>
      <c r="AG10" s="102">
        <v>2</v>
      </c>
      <c r="AH10" s="102"/>
      <c r="AI10" s="102"/>
      <c r="AJ10" s="102">
        <v>1</v>
      </c>
      <c r="AK10" s="102">
        <v>1</v>
      </c>
      <c r="AL10" s="102">
        <v>0</v>
      </c>
      <c r="AM10" s="102">
        <v>1</v>
      </c>
      <c r="AN10" s="102"/>
      <c r="AO10" s="102"/>
      <c r="AP10" s="102">
        <v>1</v>
      </c>
      <c r="AQ10" s="102">
        <v>0</v>
      </c>
      <c r="AR10" s="102">
        <v>1</v>
      </c>
      <c r="AS10" s="102">
        <v>0</v>
      </c>
      <c r="AT10" s="102">
        <v>1</v>
      </c>
      <c r="AU10" s="102" t="s">
        <v>911</v>
      </c>
      <c r="AV10" s="102">
        <v>0</v>
      </c>
      <c r="AW10" s="102">
        <v>1</v>
      </c>
      <c r="AX10" s="102">
        <v>0</v>
      </c>
      <c r="AY10" s="102">
        <v>9</v>
      </c>
      <c r="AZ10" s="102">
        <v>2</v>
      </c>
      <c r="BA10" s="102">
        <v>0</v>
      </c>
      <c r="BB10" s="102">
        <v>0</v>
      </c>
      <c r="BC10" s="102">
        <v>0</v>
      </c>
      <c r="BD10" s="102">
        <v>0</v>
      </c>
      <c r="BE10" s="102">
        <v>0</v>
      </c>
      <c r="BF10" s="102">
        <v>0</v>
      </c>
      <c r="BG10" s="102">
        <v>0</v>
      </c>
      <c r="BH10" s="102">
        <v>0</v>
      </c>
      <c r="BI10" s="102">
        <v>3</v>
      </c>
      <c r="BJ10" s="102">
        <v>0</v>
      </c>
      <c r="BK10" s="102">
        <v>0</v>
      </c>
      <c r="BL10" s="102">
        <v>0</v>
      </c>
      <c r="BM10" s="102">
        <v>0</v>
      </c>
      <c r="BN10" s="102">
        <v>0</v>
      </c>
      <c r="BO10" s="102">
        <v>0</v>
      </c>
      <c r="BP10" s="102">
        <v>0</v>
      </c>
      <c r="BQ10" s="102">
        <v>0</v>
      </c>
      <c r="BR10" s="102">
        <v>0</v>
      </c>
      <c r="BS10" s="102">
        <v>0</v>
      </c>
      <c r="BT10" s="102">
        <v>0</v>
      </c>
      <c r="BU10" s="102">
        <v>1</v>
      </c>
      <c r="BV10" s="102">
        <v>0</v>
      </c>
      <c r="BW10" s="102">
        <v>0</v>
      </c>
      <c r="BX10" s="102">
        <v>0</v>
      </c>
      <c r="BY10" s="102">
        <v>0</v>
      </c>
      <c r="BZ10" s="102">
        <v>0</v>
      </c>
      <c r="CA10" s="102">
        <v>2</v>
      </c>
      <c r="CB10" s="102">
        <v>0</v>
      </c>
      <c r="CC10" s="102" t="s">
        <v>853</v>
      </c>
      <c r="CD10" s="102"/>
      <c r="CE10" s="102">
        <v>0</v>
      </c>
      <c r="CF10" s="102">
        <v>0</v>
      </c>
      <c r="CG10" s="102">
        <v>0</v>
      </c>
      <c r="CH10" s="102">
        <v>0</v>
      </c>
      <c r="CI10" s="102">
        <v>0</v>
      </c>
      <c r="CJ10" s="102">
        <v>0</v>
      </c>
      <c r="CK10" s="102">
        <v>0</v>
      </c>
      <c r="CL10" s="102">
        <v>0</v>
      </c>
      <c r="CM10" s="102">
        <v>0</v>
      </c>
      <c r="CN10" s="102">
        <v>2</v>
      </c>
      <c r="CO10" s="102">
        <v>0</v>
      </c>
      <c r="CP10" s="102">
        <v>0</v>
      </c>
      <c r="CQ10" s="102">
        <v>0</v>
      </c>
      <c r="CR10" s="102">
        <v>0</v>
      </c>
      <c r="CS10" s="102">
        <v>0</v>
      </c>
      <c r="CT10" s="102" t="s">
        <v>853</v>
      </c>
      <c r="CU10" s="102">
        <v>0</v>
      </c>
      <c r="CV10" s="102">
        <v>0</v>
      </c>
      <c r="CW10" s="102">
        <v>0</v>
      </c>
      <c r="CX10" s="102">
        <v>0</v>
      </c>
      <c r="CY10" s="102">
        <v>0</v>
      </c>
      <c r="CZ10" s="102">
        <v>0</v>
      </c>
      <c r="DA10" s="102" t="s">
        <v>853</v>
      </c>
      <c r="DB10" s="102">
        <v>0</v>
      </c>
      <c r="DC10" s="102">
        <v>0</v>
      </c>
      <c r="DD10" s="102">
        <v>0</v>
      </c>
      <c r="DE10" s="102">
        <v>0</v>
      </c>
      <c r="DF10" s="102">
        <v>0</v>
      </c>
      <c r="DG10" s="102">
        <v>0</v>
      </c>
      <c r="DH10" s="102">
        <v>1</v>
      </c>
      <c r="DI10" s="102">
        <v>0</v>
      </c>
      <c r="DJ10" s="102">
        <v>0</v>
      </c>
      <c r="DK10" s="102">
        <v>0</v>
      </c>
      <c r="DL10" s="102">
        <v>0</v>
      </c>
      <c r="DM10" s="102">
        <v>0</v>
      </c>
      <c r="DN10" s="102">
        <v>0</v>
      </c>
      <c r="DO10" s="102">
        <v>0</v>
      </c>
      <c r="DP10" s="102">
        <v>0</v>
      </c>
      <c r="DQ10" s="102">
        <v>2</v>
      </c>
      <c r="DR10" s="102">
        <v>0</v>
      </c>
      <c r="DS10" s="102" t="s">
        <v>853</v>
      </c>
      <c r="DT10" s="105" t="s">
        <v>853</v>
      </c>
      <c r="DU10" s="102" t="s">
        <v>853</v>
      </c>
      <c r="DV10" s="102">
        <v>0</v>
      </c>
      <c r="DW10" s="102">
        <v>0</v>
      </c>
      <c r="DX10" s="102" t="s">
        <v>853</v>
      </c>
      <c r="DY10" s="102">
        <v>0</v>
      </c>
      <c r="DZ10" s="102">
        <v>0</v>
      </c>
      <c r="EA10" s="102" t="s">
        <v>853</v>
      </c>
      <c r="EB10" s="102">
        <v>0</v>
      </c>
      <c r="EC10" s="102">
        <v>0</v>
      </c>
      <c r="ED10" s="102">
        <v>0</v>
      </c>
      <c r="EE10" s="102">
        <v>3</v>
      </c>
      <c r="EF10" s="102">
        <v>2</v>
      </c>
      <c r="EG10" s="102">
        <v>0</v>
      </c>
      <c r="EH10" s="102" t="s">
        <v>853</v>
      </c>
      <c r="EI10" s="102">
        <v>0</v>
      </c>
      <c r="EJ10" s="102">
        <v>0</v>
      </c>
      <c r="EK10" s="102">
        <v>2</v>
      </c>
      <c r="EL10" s="102">
        <v>0</v>
      </c>
      <c r="EM10" s="102"/>
    </row>
    <row r="11" spans="1:143" x14ac:dyDescent="0.55000000000000004">
      <c r="A11" s="99">
        <v>9</v>
      </c>
      <c r="B11" s="102" t="s">
        <v>912</v>
      </c>
      <c r="C11" s="102" t="s">
        <v>913</v>
      </c>
      <c r="D11" s="103">
        <v>26671</v>
      </c>
      <c r="E11" s="102" t="s">
        <v>914</v>
      </c>
      <c r="F11" s="102">
        <v>7</v>
      </c>
      <c r="G11" s="102">
        <v>1</v>
      </c>
      <c r="H11" s="102">
        <v>1973</v>
      </c>
      <c r="I11" s="102" t="s">
        <v>915</v>
      </c>
      <c r="J11" s="102" t="s">
        <v>916</v>
      </c>
      <c r="K11" s="102" t="s">
        <v>917</v>
      </c>
      <c r="L11" s="102">
        <v>18</v>
      </c>
      <c r="M11" s="102">
        <v>0</v>
      </c>
      <c r="N11" s="102">
        <v>0</v>
      </c>
      <c r="O11" s="102">
        <v>7</v>
      </c>
      <c r="P11" s="102">
        <v>0</v>
      </c>
      <c r="Q11" s="104">
        <v>0</v>
      </c>
      <c r="R11" s="102">
        <v>1</v>
      </c>
      <c r="S11" s="102">
        <v>4</v>
      </c>
      <c r="T11" s="102">
        <v>0</v>
      </c>
      <c r="U11" s="102">
        <v>0</v>
      </c>
      <c r="V11" s="102">
        <v>7</v>
      </c>
      <c r="W11" s="102">
        <v>8</v>
      </c>
      <c r="X11" s="102">
        <v>0</v>
      </c>
      <c r="Y11" s="102">
        <v>0</v>
      </c>
      <c r="Z11" s="102">
        <v>0</v>
      </c>
      <c r="AA11" s="102">
        <v>23</v>
      </c>
      <c r="AB11" s="102">
        <v>0</v>
      </c>
      <c r="AC11" s="102">
        <v>1</v>
      </c>
      <c r="AD11" s="102">
        <v>0</v>
      </c>
      <c r="AE11" s="102">
        <v>0</v>
      </c>
      <c r="AF11" s="102">
        <v>1</v>
      </c>
      <c r="AG11" s="102">
        <v>2</v>
      </c>
      <c r="AH11" s="102">
        <v>1</v>
      </c>
      <c r="AI11" s="102" t="s">
        <v>918</v>
      </c>
      <c r="AJ11" s="102">
        <v>2</v>
      </c>
      <c r="AK11" s="102">
        <v>4</v>
      </c>
      <c r="AL11" s="102">
        <v>1</v>
      </c>
      <c r="AM11" s="102">
        <v>3</v>
      </c>
      <c r="AN11" s="102">
        <v>0</v>
      </c>
      <c r="AO11" s="102">
        <v>0</v>
      </c>
      <c r="AP11" s="102">
        <v>0</v>
      </c>
      <c r="AQ11" s="102">
        <v>0</v>
      </c>
      <c r="AR11" s="102">
        <v>1</v>
      </c>
      <c r="AS11" s="102">
        <v>1</v>
      </c>
      <c r="AT11" s="102">
        <v>2</v>
      </c>
      <c r="AU11" s="102" t="s">
        <v>919</v>
      </c>
      <c r="AV11" s="102">
        <v>0</v>
      </c>
      <c r="AW11" s="102">
        <v>1</v>
      </c>
      <c r="AX11" s="102">
        <v>1</v>
      </c>
      <c r="AY11" s="102">
        <v>9</v>
      </c>
      <c r="AZ11" s="102">
        <v>4</v>
      </c>
      <c r="BA11" s="102">
        <v>1</v>
      </c>
      <c r="BB11" s="102">
        <v>0</v>
      </c>
      <c r="BC11" s="102">
        <v>0</v>
      </c>
      <c r="BD11" s="102">
        <v>0</v>
      </c>
      <c r="BE11" s="102">
        <v>0</v>
      </c>
      <c r="BF11" s="102">
        <v>0</v>
      </c>
      <c r="BG11" s="102">
        <v>0</v>
      </c>
      <c r="BH11" s="102">
        <v>2</v>
      </c>
      <c r="BI11" s="102">
        <v>3</v>
      </c>
      <c r="BJ11" s="102">
        <v>0</v>
      </c>
      <c r="BK11" s="102">
        <v>1</v>
      </c>
      <c r="BL11" s="102">
        <v>0</v>
      </c>
      <c r="BM11" s="102">
        <v>0</v>
      </c>
      <c r="BN11" s="102">
        <v>0</v>
      </c>
      <c r="BO11" s="102">
        <v>0</v>
      </c>
      <c r="BP11" s="102">
        <v>0</v>
      </c>
      <c r="BQ11" s="102">
        <v>0</v>
      </c>
      <c r="BR11" s="102">
        <v>0</v>
      </c>
      <c r="BS11" s="102">
        <v>0</v>
      </c>
      <c r="BT11" s="102">
        <v>0</v>
      </c>
      <c r="BU11" s="102">
        <v>1</v>
      </c>
      <c r="BV11" s="102">
        <v>0</v>
      </c>
      <c r="BW11" s="102">
        <v>0</v>
      </c>
      <c r="BX11" s="102">
        <v>0</v>
      </c>
      <c r="BY11" s="102">
        <v>0</v>
      </c>
      <c r="BZ11" s="102">
        <v>6</v>
      </c>
      <c r="CA11" s="102">
        <v>6</v>
      </c>
      <c r="CB11" s="102">
        <v>1</v>
      </c>
      <c r="CC11" s="102">
        <v>3</v>
      </c>
      <c r="CD11" s="102" t="s">
        <v>920</v>
      </c>
      <c r="CE11" s="102">
        <v>0</v>
      </c>
      <c r="CF11" s="102">
        <v>0</v>
      </c>
      <c r="CG11" s="102">
        <v>0</v>
      </c>
      <c r="CH11" s="102">
        <v>1</v>
      </c>
      <c r="CI11" s="102">
        <v>1</v>
      </c>
      <c r="CJ11" s="102">
        <v>1</v>
      </c>
      <c r="CK11" s="102">
        <v>1</v>
      </c>
      <c r="CL11" s="102">
        <v>1</v>
      </c>
      <c r="CM11" s="102">
        <v>0</v>
      </c>
      <c r="CN11" s="102">
        <v>2</v>
      </c>
      <c r="CO11" s="102">
        <v>0</v>
      </c>
      <c r="CP11" s="102">
        <v>0</v>
      </c>
      <c r="CQ11" s="102">
        <v>0</v>
      </c>
      <c r="CR11" s="102">
        <v>0</v>
      </c>
      <c r="CS11" s="102">
        <v>1</v>
      </c>
      <c r="CT11" s="102" t="s">
        <v>921</v>
      </c>
      <c r="CU11" s="102">
        <v>0</v>
      </c>
      <c r="CV11" s="102">
        <v>4</v>
      </c>
      <c r="CW11" s="102">
        <v>0</v>
      </c>
      <c r="CX11" s="102">
        <v>0</v>
      </c>
      <c r="CY11" s="102">
        <v>2</v>
      </c>
      <c r="CZ11" s="102">
        <v>0</v>
      </c>
      <c r="DA11" s="102" t="s">
        <v>853</v>
      </c>
      <c r="DB11" s="102">
        <v>0</v>
      </c>
      <c r="DC11" s="102" t="s">
        <v>922</v>
      </c>
      <c r="DD11" s="102">
        <v>2</v>
      </c>
      <c r="DE11" s="102">
        <v>0</v>
      </c>
      <c r="DF11" s="102">
        <v>0</v>
      </c>
      <c r="DG11" s="102">
        <v>0</v>
      </c>
      <c r="DH11" s="102">
        <v>0</v>
      </c>
      <c r="DI11" s="102">
        <v>0</v>
      </c>
      <c r="DJ11" s="102">
        <v>0</v>
      </c>
      <c r="DK11" s="102">
        <v>0</v>
      </c>
      <c r="DL11" s="102">
        <v>0</v>
      </c>
      <c r="DM11" s="102">
        <v>0</v>
      </c>
      <c r="DN11" s="102">
        <v>0</v>
      </c>
      <c r="DO11" s="102">
        <v>0</v>
      </c>
      <c r="DP11" s="102">
        <v>0</v>
      </c>
      <c r="DQ11" s="102">
        <v>2</v>
      </c>
      <c r="DR11" s="102">
        <v>1</v>
      </c>
      <c r="DS11" s="102" t="s">
        <v>923</v>
      </c>
      <c r="DT11" s="105" t="s">
        <v>924</v>
      </c>
      <c r="DU11" s="102" t="s">
        <v>925</v>
      </c>
      <c r="DV11" s="102">
        <v>0</v>
      </c>
      <c r="DW11" s="102">
        <v>0</v>
      </c>
      <c r="DX11" s="102" t="s">
        <v>853</v>
      </c>
      <c r="DY11" s="102">
        <v>0</v>
      </c>
      <c r="DZ11" s="102">
        <v>0</v>
      </c>
      <c r="EA11" s="102" t="s">
        <v>853</v>
      </c>
      <c r="EB11" s="102">
        <v>1</v>
      </c>
      <c r="EC11" s="102">
        <v>0</v>
      </c>
      <c r="ED11" s="102">
        <v>0</v>
      </c>
      <c r="EE11" s="102">
        <v>3</v>
      </c>
      <c r="EF11" s="102">
        <v>1</v>
      </c>
      <c r="EG11" s="102">
        <v>1</v>
      </c>
      <c r="EH11" s="102" t="s">
        <v>926</v>
      </c>
      <c r="EI11" s="102">
        <v>1</v>
      </c>
      <c r="EJ11" s="102">
        <v>0</v>
      </c>
      <c r="EK11" s="102">
        <v>2</v>
      </c>
      <c r="EL11" s="102">
        <v>0</v>
      </c>
      <c r="EM11" s="102"/>
    </row>
    <row r="12" spans="1:143" x14ac:dyDescent="0.55000000000000004">
      <c r="A12" s="99">
        <v>10</v>
      </c>
      <c r="B12" s="102" t="s">
        <v>927</v>
      </c>
      <c r="C12" s="102" t="s">
        <v>859</v>
      </c>
      <c r="D12" s="103">
        <v>27455</v>
      </c>
      <c r="E12" s="102" t="s">
        <v>914</v>
      </c>
      <c r="F12" s="102">
        <v>2</v>
      </c>
      <c r="G12" s="102">
        <v>3</v>
      </c>
      <c r="H12" s="102">
        <v>1975</v>
      </c>
      <c r="I12" s="102" t="s">
        <v>928</v>
      </c>
      <c r="J12" s="102" t="s">
        <v>929</v>
      </c>
      <c r="K12" s="102" t="s">
        <v>930</v>
      </c>
      <c r="L12" s="102">
        <v>5</v>
      </c>
      <c r="M12" s="102">
        <v>3</v>
      </c>
      <c r="N12" s="102">
        <v>2</v>
      </c>
      <c r="O12" s="102">
        <v>7</v>
      </c>
      <c r="P12" s="102">
        <v>0</v>
      </c>
      <c r="Q12" s="104">
        <v>0</v>
      </c>
      <c r="R12" s="102">
        <v>0</v>
      </c>
      <c r="S12" s="102" t="s">
        <v>853</v>
      </c>
      <c r="T12" s="102">
        <v>0</v>
      </c>
      <c r="U12" s="102">
        <v>0</v>
      </c>
      <c r="V12" s="102">
        <v>5</v>
      </c>
      <c r="W12" s="102">
        <v>1</v>
      </c>
      <c r="X12" s="102">
        <v>0</v>
      </c>
      <c r="Y12" s="102">
        <v>0</v>
      </c>
      <c r="Z12" s="102">
        <v>0</v>
      </c>
      <c r="AA12" s="102">
        <v>21</v>
      </c>
      <c r="AB12" s="102">
        <v>0</v>
      </c>
      <c r="AC12" s="102">
        <v>0</v>
      </c>
      <c r="AD12" s="102">
        <v>0</v>
      </c>
      <c r="AE12" s="102">
        <v>0</v>
      </c>
      <c r="AF12" s="102"/>
      <c r="AG12" s="102"/>
      <c r="AH12" s="102"/>
      <c r="AI12" s="102"/>
      <c r="AJ12" s="102"/>
      <c r="AK12" s="102"/>
      <c r="AL12" s="102"/>
      <c r="AM12" s="102"/>
      <c r="AN12" s="102">
        <v>0</v>
      </c>
      <c r="AO12" s="102">
        <v>0</v>
      </c>
      <c r="AP12" s="102">
        <v>0</v>
      </c>
      <c r="AQ12" s="102">
        <v>0</v>
      </c>
      <c r="AR12" s="102">
        <v>0</v>
      </c>
      <c r="AS12" s="102" t="s">
        <v>853</v>
      </c>
      <c r="AT12" s="102"/>
      <c r="AU12" s="102"/>
      <c r="AV12" s="102">
        <v>0</v>
      </c>
      <c r="AW12" s="102">
        <v>1</v>
      </c>
      <c r="AX12" s="102">
        <v>4</v>
      </c>
      <c r="AY12" s="102">
        <v>0</v>
      </c>
      <c r="AZ12" s="102">
        <v>4</v>
      </c>
      <c r="BA12" s="102">
        <v>0</v>
      </c>
      <c r="BB12" s="102">
        <v>0</v>
      </c>
      <c r="BC12" s="102">
        <v>0</v>
      </c>
      <c r="BD12" s="102">
        <v>0</v>
      </c>
      <c r="BE12" s="102">
        <v>0</v>
      </c>
      <c r="BF12" s="102">
        <v>0</v>
      </c>
      <c r="BG12" s="102">
        <v>0</v>
      </c>
      <c r="BH12" s="102">
        <v>0</v>
      </c>
      <c r="BI12" s="102">
        <v>3</v>
      </c>
      <c r="BJ12" s="102">
        <v>0</v>
      </c>
      <c r="BK12" s="102">
        <v>0</v>
      </c>
      <c r="BL12" s="102">
        <v>1</v>
      </c>
      <c r="BM12" s="102">
        <v>0</v>
      </c>
      <c r="BN12" s="102">
        <v>1</v>
      </c>
      <c r="BO12" s="102">
        <v>1</v>
      </c>
      <c r="BP12" s="102">
        <v>1</v>
      </c>
      <c r="BQ12" s="102">
        <v>0</v>
      </c>
      <c r="BR12" s="102">
        <v>0</v>
      </c>
      <c r="BS12" s="102">
        <v>0</v>
      </c>
      <c r="BT12" s="102">
        <v>0</v>
      </c>
      <c r="BU12" s="102"/>
      <c r="BV12" s="102">
        <v>0</v>
      </c>
      <c r="BW12" s="102">
        <v>0</v>
      </c>
      <c r="BX12" s="102">
        <v>0</v>
      </c>
      <c r="BY12" s="102">
        <v>0</v>
      </c>
      <c r="BZ12" s="102">
        <v>0</v>
      </c>
      <c r="CA12" s="102">
        <v>2</v>
      </c>
      <c r="CB12" s="102">
        <v>1</v>
      </c>
      <c r="CC12" s="102">
        <v>1</v>
      </c>
      <c r="CD12" s="102" t="s">
        <v>931</v>
      </c>
      <c r="CE12" s="102">
        <v>0</v>
      </c>
      <c r="CF12" s="102">
        <v>1</v>
      </c>
      <c r="CG12" s="102">
        <v>0</v>
      </c>
      <c r="CH12" s="102">
        <v>0</v>
      </c>
      <c r="CI12" s="102">
        <v>0</v>
      </c>
      <c r="CJ12" s="102">
        <v>0</v>
      </c>
      <c r="CK12" s="102">
        <v>0</v>
      </c>
      <c r="CL12" s="102">
        <v>0</v>
      </c>
      <c r="CM12" s="102">
        <v>0</v>
      </c>
      <c r="CN12" s="102">
        <v>1</v>
      </c>
      <c r="CO12" s="102">
        <v>0</v>
      </c>
      <c r="CP12" s="102">
        <v>0</v>
      </c>
      <c r="CQ12" s="102">
        <v>0</v>
      </c>
      <c r="CR12" s="102">
        <v>0</v>
      </c>
      <c r="CS12" s="102">
        <v>0</v>
      </c>
      <c r="CT12" s="102" t="s">
        <v>853</v>
      </c>
      <c r="CU12" s="102">
        <v>0</v>
      </c>
      <c r="CV12" s="102">
        <v>4</v>
      </c>
      <c r="CW12" s="102">
        <v>1</v>
      </c>
      <c r="CX12" s="102">
        <v>0</v>
      </c>
      <c r="CY12" s="102">
        <v>0</v>
      </c>
      <c r="CZ12" s="102">
        <v>0</v>
      </c>
      <c r="DA12" s="102" t="s">
        <v>853</v>
      </c>
      <c r="DB12" s="102">
        <v>0</v>
      </c>
      <c r="DC12" s="102">
        <v>0</v>
      </c>
      <c r="DD12" s="102">
        <v>0</v>
      </c>
      <c r="DE12" s="102">
        <v>0</v>
      </c>
      <c r="DF12" s="102">
        <v>0</v>
      </c>
      <c r="DG12" s="102">
        <v>0</v>
      </c>
      <c r="DH12" s="102">
        <v>0</v>
      </c>
      <c r="DI12" s="102">
        <v>0</v>
      </c>
      <c r="DJ12" s="102">
        <v>0</v>
      </c>
      <c r="DK12" s="102">
        <v>0</v>
      </c>
      <c r="DL12" s="102">
        <v>0</v>
      </c>
      <c r="DM12" s="102">
        <v>0</v>
      </c>
      <c r="DN12" s="102">
        <v>0</v>
      </c>
      <c r="DO12" s="102">
        <v>1</v>
      </c>
      <c r="DP12" s="102">
        <v>0</v>
      </c>
      <c r="DQ12" s="102">
        <v>2</v>
      </c>
      <c r="DR12" s="102">
        <v>0</v>
      </c>
      <c r="DS12" s="102" t="s">
        <v>853</v>
      </c>
      <c r="DT12" s="105" t="s">
        <v>853</v>
      </c>
      <c r="DU12" s="102" t="s">
        <v>853</v>
      </c>
      <c r="DV12" s="102">
        <v>0</v>
      </c>
      <c r="DW12" s="102">
        <v>0</v>
      </c>
      <c r="DX12" s="102" t="s">
        <v>853</v>
      </c>
      <c r="DY12" s="102">
        <v>0</v>
      </c>
      <c r="DZ12" s="102">
        <v>0</v>
      </c>
      <c r="EA12" s="102" t="s">
        <v>853</v>
      </c>
      <c r="EB12" s="102">
        <v>0</v>
      </c>
      <c r="EC12" s="102">
        <v>0</v>
      </c>
      <c r="ED12" s="102">
        <v>0</v>
      </c>
      <c r="EE12" s="102">
        <v>0</v>
      </c>
      <c r="EF12" s="102">
        <v>1</v>
      </c>
      <c r="EG12" s="102">
        <v>0</v>
      </c>
      <c r="EH12" s="102" t="s">
        <v>853</v>
      </c>
      <c r="EI12" s="102">
        <v>2</v>
      </c>
      <c r="EJ12" s="102">
        <v>1</v>
      </c>
      <c r="EK12" s="102">
        <v>1</v>
      </c>
      <c r="EL12" s="102">
        <v>0</v>
      </c>
      <c r="EM12" s="102"/>
    </row>
    <row r="13" spans="1:143" x14ac:dyDescent="0.55000000000000004">
      <c r="A13" s="99">
        <v>11</v>
      </c>
      <c r="B13" s="102" t="s">
        <v>932</v>
      </c>
      <c r="C13" s="102" t="s">
        <v>933</v>
      </c>
      <c r="D13" s="103">
        <v>27953</v>
      </c>
      <c r="E13" s="102" t="s">
        <v>846</v>
      </c>
      <c r="F13" s="102">
        <v>12</v>
      </c>
      <c r="G13" s="102">
        <v>7</v>
      </c>
      <c r="H13" s="102">
        <v>1976</v>
      </c>
      <c r="I13" s="102" t="s">
        <v>934</v>
      </c>
      <c r="J13" s="102" t="s">
        <v>935</v>
      </c>
      <c r="K13" s="102" t="s">
        <v>930</v>
      </c>
      <c r="L13" s="102">
        <v>5</v>
      </c>
      <c r="M13" s="102">
        <v>3</v>
      </c>
      <c r="N13" s="102">
        <v>0</v>
      </c>
      <c r="O13" s="102">
        <v>1</v>
      </c>
      <c r="P13" s="102">
        <v>1</v>
      </c>
      <c r="Q13" s="104">
        <v>0</v>
      </c>
      <c r="R13" s="102">
        <v>0</v>
      </c>
      <c r="S13" s="102" t="s">
        <v>853</v>
      </c>
      <c r="T13" s="102">
        <v>0</v>
      </c>
      <c r="U13" s="102">
        <v>0</v>
      </c>
      <c r="V13" s="102">
        <v>7</v>
      </c>
      <c r="W13" s="102">
        <v>2</v>
      </c>
      <c r="X13" s="102">
        <v>0</v>
      </c>
      <c r="Y13" s="102">
        <v>0</v>
      </c>
      <c r="Z13" s="102">
        <v>0</v>
      </c>
      <c r="AA13" s="102">
        <v>37</v>
      </c>
      <c r="AB13" s="102">
        <v>0</v>
      </c>
      <c r="AC13" s="102">
        <v>0</v>
      </c>
      <c r="AD13" s="102">
        <v>0</v>
      </c>
      <c r="AE13" s="102">
        <v>0</v>
      </c>
      <c r="AF13" s="102">
        <v>1</v>
      </c>
      <c r="AG13" s="102"/>
      <c r="AH13" s="102"/>
      <c r="AI13" s="102"/>
      <c r="AJ13" s="102">
        <v>3</v>
      </c>
      <c r="AK13" s="102">
        <v>3</v>
      </c>
      <c r="AL13" s="102">
        <v>3</v>
      </c>
      <c r="AM13" s="102">
        <v>0</v>
      </c>
      <c r="AN13" s="102">
        <v>3</v>
      </c>
      <c r="AO13" s="102">
        <v>0</v>
      </c>
      <c r="AP13" s="102">
        <v>1</v>
      </c>
      <c r="AQ13" s="102">
        <v>0</v>
      </c>
      <c r="AR13" s="102">
        <v>1</v>
      </c>
      <c r="AS13" s="102">
        <v>3</v>
      </c>
      <c r="AT13" s="102">
        <v>3</v>
      </c>
      <c r="AU13" s="102" t="s">
        <v>936</v>
      </c>
      <c r="AV13" s="102">
        <v>0</v>
      </c>
      <c r="AW13" s="102">
        <v>0</v>
      </c>
      <c r="AX13" s="102" t="s">
        <v>866</v>
      </c>
      <c r="AY13" s="102">
        <v>0</v>
      </c>
      <c r="AZ13" s="102">
        <v>0</v>
      </c>
      <c r="BA13" s="102">
        <v>1</v>
      </c>
      <c r="BB13" s="102">
        <v>0</v>
      </c>
      <c r="BC13" s="102">
        <v>1</v>
      </c>
      <c r="BD13" s="102" t="s">
        <v>866</v>
      </c>
      <c r="BE13" s="102">
        <v>1</v>
      </c>
      <c r="BF13" s="102">
        <v>0</v>
      </c>
      <c r="BG13" s="102">
        <v>0</v>
      </c>
      <c r="BH13" s="102">
        <v>0</v>
      </c>
      <c r="BI13" s="102">
        <v>3</v>
      </c>
      <c r="BJ13" s="102">
        <v>0</v>
      </c>
      <c r="BK13" s="102">
        <v>0</v>
      </c>
      <c r="BL13" s="102">
        <v>0</v>
      </c>
      <c r="BM13" s="102">
        <v>0</v>
      </c>
      <c r="BN13" s="102">
        <v>0</v>
      </c>
      <c r="BO13" s="102">
        <v>0</v>
      </c>
      <c r="BP13" s="102">
        <v>1</v>
      </c>
      <c r="BQ13" s="102">
        <v>0</v>
      </c>
      <c r="BR13" s="102">
        <v>0</v>
      </c>
      <c r="BS13" s="102">
        <v>0</v>
      </c>
      <c r="BT13" s="102">
        <v>0</v>
      </c>
      <c r="BU13" s="102">
        <v>0</v>
      </c>
      <c r="BV13" s="102">
        <v>0</v>
      </c>
      <c r="BW13" s="102">
        <v>1</v>
      </c>
      <c r="BX13" s="102">
        <v>0</v>
      </c>
      <c r="BY13" s="102">
        <v>0</v>
      </c>
      <c r="BZ13" s="102">
        <v>0</v>
      </c>
      <c r="CA13" s="102" t="s">
        <v>937</v>
      </c>
      <c r="CB13" s="102">
        <v>1</v>
      </c>
      <c r="CC13" s="102">
        <v>2</v>
      </c>
      <c r="CD13" s="102" t="s">
        <v>938</v>
      </c>
      <c r="CE13" s="102">
        <v>0</v>
      </c>
      <c r="CF13" s="102">
        <v>0</v>
      </c>
      <c r="CG13" s="102">
        <v>0</v>
      </c>
      <c r="CH13" s="102">
        <v>1</v>
      </c>
      <c r="CI13" s="102">
        <v>1</v>
      </c>
      <c r="CJ13" s="102">
        <v>1</v>
      </c>
      <c r="CK13" s="102">
        <v>1</v>
      </c>
      <c r="CL13" s="102">
        <v>1</v>
      </c>
      <c r="CM13" s="102">
        <v>1</v>
      </c>
      <c r="CN13" s="102">
        <v>1</v>
      </c>
      <c r="CO13" s="102">
        <v>1</v>
      </c>
      <c r="CP13" s="102">
        <v>2</v>
      </c>
      <c r="CQ13" s="102">
        <v>0</v>
      </c>
      <c r="CR13" s="102">
        <v>0</v>
      </c>
      <c r="CS13" s="102">
        <v>0</v>
      </c>
      <c r="CT13" s="102" t="s">
        <v>853</v>
      </c>
      <c r="CU13" s="102">
        <v>0</v>
      </c>
      <c r="CV13" s="102">
        <v>2</v>
      </c>
      <c r="CW13" s="102">
        <v>2</v>
      </c>
      <c r="CX13" s="102">
        <v>0</v>
      </c>
      <c r="CY13" s="102">
        <v>0</v>
      </c>
      <c r="CZ13" s="102">
        <v>0</v>
      </c>
      <c r="DA13" s="102" t="s">
        <v>853</v>
      </c>
      <c r="DB13" s="102">
        <v>0</v>
      </c>
      <c r="DC13" s="102">
        <v>3</v>
      </c>
      <c r="DD13" s="102">
        <v>0</v>
      </c>
      <c r="DE13" s="102">
        <v>0</v>
      </c>
      <c r="DF13" s="102">
        <v>0</v>
      </c>
      <c r="DG13" s="102">
        <v>1</v>
      </c>
      <c r="DH13" s="102">
        <v>0</v>
      </c>
      <c r="DI13" s="102">
        <v>0</v>
      </c>
      <c r="DJ13" s="102">
        <v>0</v>
      </c>
      <c r="DK13" s="102">
        <v>0</v>
      </c>
      <c r="DL13" s="102">
        <v>0</v>
      </c>
      <c r="DM13" s="102">
        <v>0</v>
      </c>
      <c r="DN13" s="102">
        <v>1</v>
      </c>
      <c r="DO13" s="102">
        <v>0</v>
      </c>
      <c r="DP13" s="102">
        <v>3</v>
      </c>
      <c r="DQ13" s="102">
        <v>2</v>
      </c>
      <c r="DR13" s="102">
        <v>0</v>
      </c>
      <c r="DS13" s="102" t="s">
        <v>853</v>
      </c>
      <c r="DT13" s="105" t="s">
        <v>853</v>
      </c>
      <c r="DU13" s="102" t="s">
        <v>853</v>
      </c>
      <c r="DV13" s="102">
        <v>0</v>
      </c>
      <c r="DW13" s="102">
        <v>0</v>
      </c>
      <c r="DX13" s="102" t="s">
        <v>853</v>
      </c>
      <c r="DY13" s="102">
        <v>0</v>
      </c>
      <c r="DZ13" s="102">
        <v>0</v>
      </c>
      <c r="EA13" s="102" t="s">
        <v>853</v>
      </c>
      <c r="EB13" s="102">
        <v>0</v>
      </c>
      <c r="EC13" s="102">
        <v>0</v>
      </c>
      <c r="ED13" s="102">
        <v>0</v>
      </c>
      <c r="EE13" s="102">
        <v>3</v>
      </c>
      <c r="EF13" s="102">
        <v>1</v>
      </c>
      <c r="EG13" s="102">
        <v>0</v>
      </c>
      <c r="EH13" s="102" t="s">
        <v>853</v>
      </c>
      <c r="EI13" s="102">
        <v>2</v>
      </c>
      <c r="EJ13" s="102">
        <v>0</v>
      </c>
      <c r="EK13" s="102">
        <v>1</v>
      </c>
      <c r="EL13" s="102">
        <v>4</v>
      </c>
      <c r="EM13" s="102"/>
    </row>
    <row r="14" spans="1:143" x14ac:dyDescent="0.55000000000000004">
      <c r="A14" s="99">
        <v>12</v>
      </c>
      <c r="B14" s="102" t="s">
        <v>939</v>
      </c>
      <c r="C14" s="102" t="s">
        <v>940</v>
      </c>
      <c r="D14" s="103">
        <v>28170</v>
      </c>
      <c r="E14" s="102" t="s">
        <v>846</v>
      </c>
      <c r="F14" s="102">
        <v>14</v>
      </c>
      <c r="G14" s="102">
        <v>2</v>
      </c>
      <c r="H14" s="102">
        <v>1977</v>
      </c>
      <c r="I14" s="102" t="s">
        <v>941</v>
      </c>
      <c r="J14" s="102" t="s">
        <v>942</v>
      </c>
      <c r="K14" s="102" t="s">
        <v>894</v>
      </c>
      <c r="L14" s="102">
        <v>32</v>
      </c>
      <c r="M14" s="102">
        <v>2</v>
      </c>
      <c r="N14" s="102">
        <v>1</v>
      </c>
      <c r="O14" s="106">
        <v>9</v>
      </c>
      <c r="P14" s="102">
        <v>1</v>
      </c>
      <c r="Q14" s="104">
        <v>1</v>
      </c>
      <c r="R14" s="102">
        <v>0</v>
      </c>
      <c r="S14" s="102" t="s">
        <v>853</v>
      </c>
      <c r="T14" s="102">
        <v>0</v>
      </c>
      <c r="U14" s="102">
        <v>0</v>
      </c>
      <c r="V14" s="102">
        <v>5</v>
      </c>
      <c r="W14" s="102">
        <v>5</v>
      </c>
      <c r="X14" s="102">
        <v>0</v>
      </c>
      <c r="Y14" s="102">
        <v>0</v>
      </c>
      <c r="Z14" s="102">
        <v>0</v>
      </c>
      <c r="AA14" s="102">
        <v>33</v>
      </c>
      <c r="AB14" s="102">
        <v>0</v>
      </c>
      <c r="AC14" s="102">
        <v>0</v>
      </c>
      <c r="AD14" s="102">
        <v>0</v>
      </c>
      <c r="AE14" s="102">
        <v>0</v>
      </c>
      <c r="AF14" s="102">
        <v>1</v>
      </c>
      <c r="AG14" s="102">
        <v>2</v>
      </c>
      <c r="AH14" s="102">
        <v>2</v>
      </c>
      <c r="AI14" s="102" t="s">
        <v>943</v>
      </c>
      <c r="AJ14" s="102"/>
      <c r="AK14" s="102">
        <v>2</v>
      </c>
      <c r="AL14" s="102"/>
      <c r="AM14" s="102"/>
      <c r="AN14" s="102">
        <v>0</v>
      </c>
      <c r="AO14" s="102">
        <v>0</v>
      </c>
      <c r="AP14" s="102">
        <v>1</v>
      </c>
      <c r="AQ14" s="102">
        <v>0</v>
      </c>
      <c r="AR14" s="102">
        <v>1</v>
      </c>
      <c r="AS14" s="102">
        <v>0</v>
      </c>
      <c r="AT14" s="102">
        <v>2</v>
      </c>
      <c r="AU14" s="102" t="s">
        <v>944</v>
      </c>
      <c r="AV14" s="102">
        <v>0</v>
      </c>
      <c r="AW14" s="102">
        <v>1</v>
      </c>
      <c r="AX14" s="102">
        <v>0</v>
      </c>
      <c r="AY14" s="102">
        <v>9</v>
      </c>
      <c r="AZ14" s="102">
        <v>4</v>
      </c>
      <c r="BA14" s="102">
        <v>0</v>
      </c>
      <c r="BB14" s="102">
        <v>0</v>
      </c>
      <c r="BC14" s="102">
        <v>0</v>
      </c>
      <c r="BD14" s="102">
        <v>0</v>
      </c>
      <c r="BE14" s="102">
        <v>0</v>
      </c>
      <c r="BF14" s="102">
        <v>0</v>
      </c>
      <c r="BG14" s="102">
        <v>0</v>
      </c>
      <c r="BH14" s="102">
        <v>1</v>
      </c>
      <c r="BI14" s="102">
        <v>3</v>
      </c>
      <c r="BJ14" s="102">
        <v>0</v>
      </c>
      <c r="BK14" s="102">
        <v>0</v>
      </c>
      <c r="BL14" s="102">
        <v>0</v>
      </c>
      <c r="BM14" s="102">
        <v>0</v>
      </c>
      <c r="BN14" s="102">
        <v>0</v>
      </c>
      <c r="BO14" s="102">
        <v>0</v>
      </c>
      <c r="BP14" s="102">
        <v>0</v>
      </c>
      <c r="BQ14" s="102">
        <v>0</v>
      </c>
      <c r="BR14" s="102">
        <v>0</v>
      </c>
      <c r="BS14" s="102">
        <v>0</v>
      </c>
      <c r="BT14" s="102">
        <v>0</v>
      </c>
      <c r="BU14" s="102">
        <v>1</v>
      </c>
      <c r="BV14" s="102">
        <v>0</v>
      </c>
      <c r="BW14" s="102">
        <v>0</v>
      </c>
      <c r="BX14" s="102">
        <v>0</v>
      </c>
      <c r="BY14" s="102">
        <v>0</v>
      </c>
      <c r="BZ14" s="102">
        <v>0</v>
      </c>
      <c r="CA14" s="102">
        <v>2</v>
      </c>
      <c r="CB14" s="102">
        <v>0</v>
      </c>
      <c r="CC14" s="102" t="s">
        <v>853</v>
      </c>
      <c r="CD14" s="102"/>
      <c r="CE14" s="102">
        <v>0</v>
      </c>
      <c r="CF14" s="102">
        <v>0</v>
      </c>
      <c r="CG14" s="102">
        <v>0</v>
      </c>
      <c r="CH14" s="102">
        <v>0</v>
      </c>
      <c r="CI14" s="102">
        <v>0</v>
      </c>
      <c r="CJ14" s="102">
        <v>0</v>
      </c>
      <c r="CK14" s="102">
        <v>0</v>
      </c>
      <c r="CL14" s="102">
        <v>0</v>
      </c>
      <c r="CM14" s="102">
        <v>0</v>
      </c>
      <c r="CN14" s="102">
        <v>2</v>
      </c>
      <c r="CO14" s="102">
        <v>0</v>
      </c>
      <c r="CP14" s="102">
        <v>0</v>
      </c>
      <c r="CQ14" s="102">
        <v>0</v>
      </c>
      <c r="CR14" s="102">
        <v>0</v>
      </c>
      <c r="CS14" s="102">
        <v>0</v>
      </c>
      <c r="CT14" s="102" t="s">
        <v>853</v>
      </c>
      <c r="CU14" s="102">
        <v>0</v>
      </c>
      <c r="CV14" s="102">
        <v>0</v>
      </c>
      <c r="CW14" s="102">
        <v>0</v>
      </c>
      <c r="CX14" s="102">
        <v>0</v>
      </c>
      <c r="CY14" s="102">
        <v>0</v>
      </c>
      <c r="CZ14" s="102">
        <v>0</v>
      </c>
      <c r="DA14" s="102" t="s">
        <v>853</v>
      </c>
      <c r="DB14" s="102">
        <v>0</v>
      </c>
      <c r="DC14" s="102">
        <v>1</v>
      </c>
      <c r="DD14" s="102">
        <v>1</v>
      </c>
      <c r="DE14" s="102">
        <v>1</v>
      </c>
      <c r="DF14" s="102">
        <v>0</v>
      </c>
      <c r="DG14" s="102">
        <v>0</v>
      </c>
      <c r="DH14" s="102">
        <v>1</v>
      </c>
      <c r="DI14" s="102">
        <v>0</v>
      </c>
      <c r="DJ14" s="102">
        <v>0</v>
      </c>
      <c r="DK14" s="102">
        <v>0</v>
      </c>
      <c r="DL14" s="102">
        <v>0</v>
      </c>
      <c r="DM14" s="102">
        <v>0</v>
      </c>
      <c r="DN14" s="102">
        <v>0</v>
      </c>
      <c r="DO14" s="102">
        <v>0</v>
      </c>
      <c r="DP14" s="102">
        <v>0</v>
      </c>
      <c r="DQ14" s="102">
        <v>2</v>
      </c>
      <c r="DR14" s="102">
        <v>1</v>
      </c>
      <c r="DS14" s="102">
        <v>0</v>
      </c>
      <c r="DT14" s="105" t="s">
        <v>945</v>
      </c>
      <c r="DU14" s="102">
        <v>0</v>
      </c>
      <c r="DV14" s="102">
        <v>1</v>
      </c>
      <c r="DW14" s="102">
        <v>0</v>
      </c>
      <c r="DX14" s="102" t="s">
        <v>853</v>
      </c>
      <c r="DY14" s="102">
        <v>0</v>
      </c>
      <c r="DZ14" s="102">
        <v>0</v>
      </c>
      <c r="EA14" s="102" t="s">
        <v>853</v>
      </c>
      <c r="EB14" s="102">
        <v>0</v>
      </c>
      <c r="EC14" s="102">
        <v>0</v>
      </c>
      <c r="ED14" s="102">
        <v>1</v>
      </c>
      <c r="EE14" s="102">
        <v>3</v>
      </c>
      <c r="EF14" s="102">
        <v>5</v>
      </c>
      <c r="EG14" s="102">
        <v>1</v>
      </c>
      <c r="EH14" s="102" t="s">
        <v>946</v>
      </c>
      <c r="EI14" s="102">
        <v>0</v>
      </c>
      <c r="EJ14" s="102">
        <v>0</v>
      </c>
      <c r="EK14" s="102">
        <v>2</v>
      </c>
      <c r="EL14" s="102">
        <v>0</v>
      </c>
      <c r="EM14" s="102"/>
    </row>
    <row r="15" spans="1:143" x14ac:dyDescent="0.55000000000000004">
      <c r="A15" s="99">
        <v>13</v>
      </c>
      <c r="B15" s="102" t="s">
        <v>947</v>
      </c>
      <c r="C15" s="102" t="s">
        <v>948</v>
      </c>
      <c r="D15" s="103">
        <v>28329</v>
      </c>
      <c r="E15" s="102" t="s">
        <v>860</v>
      </c>
      <c r="F15" s="102">
        <v>23</v>
      </c>
      <c r="G15" s="102">
        <v>7</v>
      </c>
      <c r="H15" s="102">
        <v>1977</v>
      </c>
      <c r="I15" s="102" t="s">
        <v>949</v>
      </c>
      <c r="J15" s="102" t="s">
        <v>950</v>
      </c>
      <c r="K15" s="102" t="s">
        <v>951</v>
      </c>
      <c r="L15" s="102">
        <v>37</v>
      </c>
      <c r="M15" s="102">
        <v>3</v>
      </c>
      <c r="N15" s="102">
        <v>2</v>
      </c>
      <c r="O15" s="102">
        <v>5</v>
      </c>
      <c r="P15" s="102">
        <v>0</v>
      </c>
      <c r="Q15" s="104">
        <v>0</v>
      </c>
      <c r="R15" s="102">
        <v>0</v>
      </c>
      <c r="S15" s="102" t="s">
        <v>853</v>
      </c>
      <c r="T15" s="102">
        <v>0</v>
      </c>
      <c r="U15" s="102">
        <v>0</v>
      </c>
      <c r="V15" s="102">
        <v>6</v>
      </c>
      <c r="W15" s="102">
        <v>2</v>
      </c>
      <c r="X15" s="102">
        <v>0</v>
      </c>
      <c r="Y15" s="102">
        <v>0</v>
      </c>
      <c r="Z15" s="102">
        <v>0</v>
      </c>
      <c r="AA15" s="102">
        <v>26</v>
      </c>
      <c r="AB15" s="102">
        <v>0</v>
      </c>
      <c r="AC15" s="102">
        <v>0</v>
      </c>
      <c r="AD15" s="102">
        <v>0</v>
      </c>
      <c r="AE15" s="102">
        <v>0</v>
      </c>
      <c r="AF15" s="102">
        <v>0</v>
      </c>
      <c r="AG15" s="102"/>
      <c r="AH15" s="102">
        <v>2</v>
      </c>
      <c r="AI15" s="102" t="s">
        <v>952</v>
      </c>
      <c r="AJ15" s="102"/>
      <c r="AK15" s="102"/>
      <c r="AL15" s="102"/>
      <c r="AM15" s="102"/>
      <c r="AN15" s="102">
        <v>3</v>
      </c>
      <c r="AO15" s="102">
        <v>0</v>
      </c>
      <c r="AP15" s="102">
        <v>0</v>
      </c>
      <c r="AQ15" s="102">
        <v>0</v>
      </c>
      <c r="AR15" s="102">
        <v>1</v>
      </c>
      <c r="AS15" s="102">
        <v>1</v>
      </c>
      <c r="AT15" s="102">
        <v>0</v>
      </c>
      <c r="AU15" s="102"/>
      <c r="AV15" s="102">
        <v>0</v>
      </c>
      <c r="AW15" s="102">
        <v>0</v>
      </c>
      <c r="AX15" s="102">
        <v>0</v>
      </c>
      <c r="AY15" s="102">
        <v>0</v>
      </c>
      <c r="AZ15" s="102">
        <v>0</v>
      </c>
      <c r="BA15" s="102">
        <v>0</v>
      </c>
      <c r="BB15" s="102">
        <v>0</v>
      </c>
      <c r="BC15" s="102">
        <v>1</v>
      </c>
      <c r="BD15" s="102">
        <v>4</v>
      </c>
      <c r="BE15" s="102">
        <v>0</v>
      </c>
      <c r="BF15" s="102">
        <v>0</v>
      </c>
      <c r="BG15" s="102">
        <v>0</v>
      </c>
      <c r="BH15" s="102">
        <v>0</v>
      </c>
      <c r="BI15" s="102">
        <v>3</v>
      </c>
      <c r="BJ15" s="102">
        <v>0</v>
      </c>
      <c r="BK15" s="102">
        <v>0</v>
      </c>
      <c r="BL15" s="102">
        <v>0</v>
      </c>
      <c r="BM15" s="102">
        <v>1</v>
      </c>
      <c r="BN15" s="102">
        <v>0</v>
      </c>
      <c r="BO15" s="102">
        <v>0</v>
      </c>
      <c r="BP15" s="102">
        <v>0</v>
      </c>
      <c r="BQ15" s="102">
        <v>0</v>
      </c>
      <c r="BR15" s="102">
        <v>0</v>
      </c>
      <c r="BS15" s="102">
        <v>0</v>
      </c>
      <c r="BT15" s="102">
        <v>0</v>
      </c>
      <c r="BU15" s="102">
        <v>1</v>
      </c>
      <c r="BV15" s="102">
        <v>0</v>
      </c>
      <c r="BW15" s="102">
        <v>0</v>
      </c>
      <c r="BX15" s="102">
        <v>0</v>
      </c>
      <c r="BY15" s="102">
        <v>0</v>
      </c>
      <c r="BZ15" s="102">
        <v>0</v>
      </c>
      <c r="CA15" s="102" t="s">
        <v>937</v>
      </c>
      <c r="CB15" s="102">
        <v>1</v>
      </c>
      <c r="CC15" s="102">
        <v>1</v>
      </c>
      <c r="CD15" s="102" t="s">
        <v>953</v>
      </c>
      <c r="CE15" s="102">
        <v>1</v>
      </c>
      <c r="CF15" s="102">
        <v>1</v>
      </c>
      <c r="CG15" s="102">
        <v>0</v>
      </c>
      <c r="CH15" s="102">
        <v>0</v>
      </c>
      <c r="CI15" s="102">
        <v>1</v>
      </c>
      <c r="CJ15" s="102">
        <v>0</v>
      </c>
      <c r="CK15" s="102">
        <v>1</v>
      </c>
      <c r="CL15" s="102">
        <v>0</v>
      </c>
      <c r="CM15" s="102">
        <v>0</v>
      </c>
      <c r="CN15" s="102">
        <v>1</v>
      </c>
      <c r="CO15" s="102">
        <v>0</v>
      </c>
      <c r="CP15" s="102">
        <v>0</v>
      </c>
      <c r="CQ15" s="102">
        <v>0</v>
      </c>
      <c r="CR15" s="102">
        <v>0</v>
      </c>
      <c r="CS15" s="102">
        <v>0</v>
      </c>
      <c r="CT15" s="102" t="s">
        <v>853</v>
      </c>
      <c r="CU15" s="102">
        <v>0</v>
      </c>
      <c r="CV15" s="102">
        <v>0</v>
      </c>
      <c r="CW15" s="102">
        <v>0</v>
      </c>
      <c r="CX15" s="102">
        <v>0</v>
      </c>
      <c r="CY15" s="102" t="s">
        <v>954</v>
      </c>
      <c r="CZ15" s="102">
        <v>1</v>
      </c>
      <c r="DA15" s="102" t="s">
        <v>955</v>
      </c>
      <c r="DB15" s="102">
        <v>0</v>
      </c>
      <c r="DC15" s="102">
        <v>0</v>
      </c>
      <c r="DD15" s="102">
        <v>0</v>
      </c>
      <c r="DE15" s="102">
        <v>0</v>
      </c>
      <c r="DF15" s="102">
        <v>0</v>
      </c>
      <c r="DG15" s="102">
        <v>0</v>
      </c>
      <c r="DH15" s="102">
        <v>0</v>
      </c>
      <c r="DI15" s="102">
        <v>1</v>
      </c>
      <c r="DJ15" s="102">
        <v>0</v>
      </c>
      <c r="DK15" s="102">
        <v>0</v>
      </c>
      <c r="DL15" s="102">
        <v>1</v>
      </c>
      <c r="DM15" s="102">
        <v>0</v>
      </c>
      <c r="DN15" s="102">
        <v>0</v>
      </c>
      <c r="DO15" s="102">
        <v>0</v>
      </c>
      <c r="DP15" s="102">
        <v>0</v>
      </c>
      <c r="DQ15" s="102">
        <v>2</v>
      </c>
      <c r="DR15" s="102">
        <v>1</v>
      </c>
      <c r="DS15" s="102">
        <v>0</v>
      </c>
      <c r="DT15" s="105" t="s">
        <v>956</v>
      </c>
      <c r="DU15" s="102">
        <v>1</v>
      </c>
      <c r="DV15" s="102">
        <v>0</v>
      </c>
      <c r="DW15" s="102">
        <v>0</v>
      </c>
      <c r="DX15" s="102" t="s">
        <v>853</v>
      </c>
      <c r="DY15" s="102">
        <v>0</v>
      </c>
      <c r="DZ15" s="102">
        <v>0</v>
      </c>
      <c r="EA15" s="102" t="s">
        <v>853</v>
      </c>
      <c r="EB15" s="102">
        <v>0</v>
      </c>
      <c r="EC15" s="102">
        <v>0</v>
      </c>
      <c r="ED15" s="102">
        <v>0</v>
      </c>
      <c r="EE15" s="102">
        <v>3</v>
      </c>
      <c r="EF15" s="102">
        <v>1</v>
      </c>
      <c r="EG15" s="102">
        <v>0</v>
      </c>
      <c r="EH15" s="102" t="s">
        <v>853</v>
      </c>
      <c r="EI15" s="102">
        <v>2</v>
      </c>
      <c r="EJ15" s="102">
        <v>1</v>
      </c>
      <c r="EK15" s="102">
        <v>1</v>
      </c>
      <c r="EL15" s="102">
        <v>2</v>
      </c>
      <c r="EM15" s="102"/>
    </row>
    <row r="16" spans="1:143" x14ac:dyDescent="0.55000000000000004">
      <c r="A16" s="99">
        <v>14</v>
      </c>
      <c r="B16" s="102" t="s">
        <v>957</v>
      </c>
      <c r="C16" s="102" t="s">
        <v>958</v>
      </c>
      <c r="D16" s="103">
        <v>28363</v>
      </c>
      <c r="E16" s="102" t="s">
        <v>959</v>
      </c>
      <c r="F16" s="102">
        <v>26</v>
      </c>
      <c r="G16" s="102">
        <v>8</v>
      </c>
      <c r="H16" s="102">
        <v>1977</v>
      </c>
      <c r="I16" s="102" t="s">
        <v>960</v>
      </c>
      <c r="J16" s="102" t="s">
        <v>961</v>
      </c>
      <c r="K16" s="102" t="s">
        <v>910</v>
      </c>
      <c r="L16" s="102">
        <v>30</v>
      </c>
      <c r="M16" s="102">
        <v>2</v>
      </c>
      <c r="N16" s="102">
        <v>2</v>
      </c>
      <c r="O16" s="102">
        <v>8</v>
      </c>
      <c r="P16" s="102">
        <v>0</v>
      </c>
      <c r="Q16" s="104">
        <v>0</v>
      </c>
      <c r="R16" s="102">
        <v>1</v>
      </c>
      <c r="S16" s="102">
        <v>8</v>
      </c>
      <c r="T16" s="102">
        <v>0</v>
      </c>
      <c r="U16" s="102">
        <v>0</v>
      </c>
      <c r="V16" s="102">
        <v>6</v>
      </c>
      <c r="W16" s="102">
        <v>0</v>
      </c>
      <c r="X16" s="102">
        <v>0</v>
      </c>
      <c r="Y16" s="102">
        <v>0</v>
      </c>
      <c r="Z16" s="102">
        <v>0</v>
      </c>
      <c r="AA16" s="102">
        <v>20</v>
      </c>
      <c r="AB16" s="102">
        <v>0</v>
      </c>
      <c r="AC16" s="102">
        <v>0</v>
      </c>
      <c r="AD16" s="102">
        <v>0</v>
      </c>
      <c r="AE16" s="102">
        <v>0</v>
      </c>
      <c r="AF16" s="102">
        <v>1</v>
      </c>
      <c r="AG16" s="102">
        <v>1</v>
      </c>
      <c r="AH16" s="102"/>
      <c r="AI16" s="102"/>
      <c r="AJ16" s="102">
        <v>2</v>
      </c>
      <c r="AK16" s="102">
        <v>3</v>
      </c>
      <c r="AL16" s="102">
        <v>1</v>
      </c>
      <c r="AM16" s="102">
        <v>2</v>
      </c>
      <c r="AN16" s="102">
        <v>0</v>
      </c>
      <c r="AO16" s="102">
        <v>0</v>
      </c>
      <c r="AP16" s="102">
        <v>1</v>
      </c>
      <c r="AQ16" s="102">
        <v>0</v>
      </c>
      <c r="AR16" s="102">
        <v>2</v>
      </c>
      <c r="AS16" s="102">
        <v>3</v>
      </c>
      <c r="AT16" s="102">
        <v>1</v>
      </c>
      <c r="AU16" s="102" t="s">
        <v>962</v>
      </c>
      <c r="AV16" s="102">
        <v>1</v>
      </c>
      <c r="AW16" s="102">
        <v>1</v>
      </c>
      <c r="AX16" s="102">
        <v>0</v>
      </c>
      <c r="AY16" s="102" t="s">
        <v>963</v>
      </c>
      <c r="AZ16" s="102">
        <v>4</v>
      </c>
      <c r="BA16" s="102">
        <v>0</v>
      </c>
      <c r="BB16" s="102">
        <v>0</v>
      </c>
      <c r="BC16" s="102">
        <v>0</v>
      </c>
      <c r="BD16" s="102">
        <v>0</v>
      </c>
      <c r="BE16" s="102">
        <v>0</v>
      </c>
      <c r="BF16" s="102">
        <v>0</v>
      </c>
      <c r="BG16" s="102">
        <v>0</v>
      </c>
      <c r="BH16" s="102">
        <v>0</v>
      </c>
      <c r="BI16" s="102">
        <v>3</v>
      </c>
      <c r="BJ16" s="102">
        <v>0</v>
      </c>
      <c r="BK16" s="102">
        <v>0</v>
      </c>
      <c r="BL16" s="102">
        <v>0</v>
      </c>
      <c r="BM16" s="102">
        <v>0</v>
      </c>
      <c r="BN16" s="102">
        <v>0</v>
      </c>
      <c r="BO16" s="102">
        <v>0</v>
      </c>
      <c r="BP16" s="102">
        <v>0</v>
      </c>
      <c r="BQ16" s="102">
        <v>0</v>
      </c>
      <c r="BR16" s="102">
        <v>0</v>
      </c>
      <c r="BS16" s="102">
        <v>0</v>
      </c>
      <c r="BT16" s="102">
        <v>0</v>
      </c>
      <c r="BU16" s="102"/>
      <c r="BV16" s="102">
        <v>0</v>
      </c>
      <c r="BW16" s="102">
        <v>0</v>
      </c>
      <c r="BX16" s="102">
        <v>0</v>
      </c>
      <c r="BY16" s="102">
        <v>0</v>
      </c>
      <c r="BZ16" s="102">
        <v>0</v>
      </c>
      <c r="CA16" s="102" t="s">
        <v>964</v>
      </c>
      <c r="CB16" s="102">
        <v>1</v>
      </c>
      <c r="CC16" s="102">
        <v>3</v>
      </c>
      <c r="CD16" s="102" t="s">
        <v>965</v>
      </c>
      <c r="CE16" s="102">
        <v>0</v>
      </c>
      <c r="CF16" s="102">
        <v>0</v>
      </c>
      <c r="CG16" s="102">
        <v>0</v>
      </c>
      <c r="CH16" s="102">
        <v>1</v>
      </c>
      <c r="CI16" s="102">
        <v>1</v>
      </c>
      <c r="CJ16" s="102">
        <v>1</v>
      </c>
      <c r="CK16" s="102">
        <v>0</v>
      </c>
      <c r="CL16" s="102">
        <v>0</v>
      </c>
      <c r="CM16" s="102">
        <v>0</v>
      </c>
      <c r="CN16" s="102">
        <v>0</v>
      </c>
      <c r="CO16" s="102">
        <v>1</v>
      </c>
      <c r="CP16" s="102">
        <v>1</v>
      </c>
      <c r="CQ16" s="102">
        <v>1</v>
      </c>
      <c r="CR16" s="102" t="s">
        <v>937</v>
      </c>
      <c r="CS16" s="102">
        <v>0</v>
      </c>
      <c r="CT16" s="102" t="s">
        <v>853</v>
      </c>
      <c r="CU16" s="102">
        <v>0</v>
      </c>
      <c r="CV16" s="102">
        <v>4</v>
      </c>
      <c r="CW16" s="102">
        <v>0</v>
      </c>
      <c r="CX16" s="102">
        <v>0</v>
      </c>
      <c r="CY16" s="102">
        <v>1</v>
      </c>
      <c r="CZ16" s="102">
        <v>1</v>
      </c>
      <c r="DA16" s="102" t="s">
        <v>966</v>
      </c>
      <c r="DB16" s="102">
        <v>0</v>
      </c>
      <c r="DC16" s="102">
        <v>0</v>
      </c>
      <c r="DD16" s="102">
        <v>0</v>
      </c>
      <c r="DE16" s="102">
        <v>0</v>
      </c>
      <c r="DF16" s="102">
        <v>0</v>
      </c>
      <c r="DG16" s="102">
        <v>0</v>
      </c>
      <c r="DH16" s="102">
        <v>0</v>
      </c>
      <c r="DI16" s="102">
        <v>0</v>
      </c>
      <c r="DJ16" s="102">
        <v>0</v>
      </c>
      <c r="DK16" s="102">
        <v>0</v>
      </c>
      <c r="DL16" s="102">
        <v>0</v>
      </c>
      <c r="DM16" s="102">
        <v>0</v>
      </c>
      <c r="DN16" s="102">
        <v>1</v>
      </c>
      <c r="DO16" s="102">
        <v>0</v>
      </c>
      <c r="DP16" s="102">
        <v>0</v>
      </c>
      <c r="DQ16" s="102">
        <v>2</v>
      </c>
      <c r="DR16" s="102">
        <v>0</v>
      </c>
      <c r="DS16" s="102" t="s">
        <v>853</v>
      </c>
      <c r="DT16" s="105" t="s">
        <v>853</v>
      </c>
      <c r="DU16" s="102" t="s">
        <v>853</v>
      </c>
      <c r="DV16" s="102">
        <v>0</v>
      </c>
      <c r="DW16" s="102">
        <v>0</v>
      </c>
      <c r="DX16" s="102" t="s">
        <v>853</v>
      </c>
      <c r="DY16" s="102">
        <v>0</v>
      </c>
      <c r="DZ16" s="102">
        <v>0</v>
      </c>
      <c r="EA16" s="102" t="s">
        <v>853</v>
      </c>
      <c r="EB16" s="102">
        <v>0</v>
      </c>
      <c r="EC16" s="102">
        <v>0</v>
      </c>
      <c r="ED16" s="102">
        <v>0</v>
      </c>
      <c r="EE16" s="102">
        <v>2</v>
      </c>
      <c r="EF16" s="102">
        <v>1</v>
      </c>
      <c r="EG16" s="102">
        <v>0</v>
      </c>
      <c r="EH16" s="102" t="s">
        <v>853</v>
      </c>
      <c r="EI16" s="102">
        <v>0</v>
      </c>
      <c r="EJ16" s="102">
        <v>0</v>
      </c>
      <c r="EK16" s="102">
        <v>2</v>
      </c>
      <c r="EL16" s="102">
        <v>0</v>
      </c>
      <c r="EM16" s="102"/>
    </row>
    <row r="17" spans="1:143" x14ac:dyDescent="0.55000000000000004">
      <c r="A17" s="99">
        <v>15</v>
      </c>
      <c r="B17" s="102" t="s">
        <v>967</v>
      </c>
      <c r="C17" s="102" t="s">
        <v>968</v>
      </c>
      <c r="D17" s="103">
        <v>28658</v>
      </c>
      <c r="E17" s="102" t="s">
        <v>860</v>
      </c>
      <c r="F17" s="102">
        <v>17</v>
      </c>
      <c r="G17" s="102">
        <v>6</v>
      </c>
      <c r="H17" s="102">
        <v>1978</v>
      </c>
      <c r="I17" s="102" t="s">
        <v>969</v>
      </c>
      <c r="J17" s="102" t="s">
        <v>970</v>
      </c>
      <c r="K17" s="102" t="s">
        <v>971</v>
      </c>
      <c r="L17" s="102">
        <v>39</v>
      </c>
      <c r="M17" s="102">
        <v>2</v>
      </c>
      <c r="N17" s="102">
        <v>0</v>
      </c>
      <c r="O17" s="106">
        <v>5</v>
      </c>
      <c r="P17" s="102">
        <v>1</v>
      </c>
      <c r="Q17" s="104">
        <v>1</v>
      </c>
      <c r="R17" s="102">
        <v>0</v>
      </c>
      <c r="S17" s="102" t="s">
        <v>853</v>
      </c>
      <c r="T17" s="102">
        <v>0</v>
      </c>
      <c r="U17" s="102">
        <v>0</v>
      </c>
      <c r="V17" s="102">
        <v>4</v>
      </c>
      <c r="W17" s="102">
        <v>0</v>
      </c>
      <c r="X17" s="102">
        <v>0</v>
      </c>
      <c r="Y17" s="102">
        <v>0</v>
      </c>
      <c r="Z17" s="102">
        <v>0</v>
      </c>
      <c r="AA17" s="102">
        <v>48</v>
      </c>
      <c r="AB17" s="102">
        <v>0</v>
      </c>
      <c r="AC17" s="102">
        <v>3</v>
      </c>
      <c r="AD17" s="102">
        <v>1</v>
      </c>
      <c r="AE17" s="102">
        <v>0</v>
      </c>
      <c r="AF17" s="102"/>
      <c r="AG17" s="102"/>
      <c r="AH17" s="102"/>
      <c r="AI17" s="102"/>
      <c r="AJ17" s="102"/>
      <c r="AK17" s="102">
        <v>2</v>
      </c>
      <c r="AL17" s="102"/>
      <c r="AM17" s="102"/>
      <c r="AN17" s="102">
        <v>2</v>
      </c>
      <c r="AO17" s="102">
        <v>1</v>
      </c>
      <c r="AP17" s="102">
        <v>1</v>
      </c>
      <c r="AQ17" s="102">
        <v>0</v>
      </c>
      <c r="AR17" s="102">
        <v>0</v>
      </c>
      <c r="AS17" s="102" t="s">
        <v>853</v>
      </c>
      <c r="AT17" s="102">
        <v>0</v>
      </c>
      <c r="AU17" s="102"/>
      <c r="AV17" s="102">
        <v>0</v>
      </c>
      <c r="AW17" s="102">
        <v>0</v>
      </c>
      <c r="AX17" s="102">
        <v>0</v>
      </c>
      <c r="AY17" s="102">
        <v>0</v>
      </c>
      <c r="AZ17" s="102">
        <v>0</v>
      </c>
      <c r="BA17" s="102">
        <v>0</v>
      </c>
      <c r="BB17" s="102">
        <v>0</v>
      </c>
      <c r="BC17" s="102">
        <v>0</v>
      </c>
      <c r="BD17" s="102">
        <v>0</v>
      </c>
      <c r="BE17" s="102">
        <v>0</v>
      </c>
      <c r="BF17" s="102">
        <v>0</v>
      </c>
      <c r="BG17" s="102">
        <v>0</v>
      </c>
      <c r="BH17" s="102">
        <v>0</v>
      </c>
      <c r="BI17" s="102">
        <v>3</v>
      </c>
      <c r="BJ17" s="102">
        <v>0</v>
      </c>
      <c r="BK17" s="102">
        <v>0</v>
      </c>
      <c r="BL17" s="102">
        <v>0</v>
      </c>
      <c r="BM17" s="102">
        <v>0</v>
      </c>
      <c r="BN17" s="102">
        <v>0</v>
      </c>
      <c r="BO17" s="102">
        <v>0</v>
      </c>
      <c r="BP17" s="102">
        <v>0</v>
      </c>
      <c r="BQ17" s="102">
        <v>0</v>
      </c>
      <c r="BR17" s="102">
        <v>0</v>
      </c>
      <c r="BS17" s="102">
        <v>0</v>
      </c>
      <c r="BT17" s="102">
        <v>0</v>
      </c>
      <c r="BU17" s="102"/>
      <c r="BV17" s="102">
        <v>0</v>
      </c>
      <c r="BW17" s="102">
        <v>0</v>
      </c>
      <c r="BX17" s="102">
        <v>0</v>
      </c>
      <c r="BY17" s="102">
        <v>0</v>
      </c>
      <c r="BZ17" s="102">
        <v>0</v>
      </c>
      <c r="CA17" s="102">
        <v>0</v>
      </c>
      <c r="CB17" s="102">
        <v>3</v>
      </c>
      <c r="CC17" s="102">
        <v>3</v>
      </c>
      <c r="CD17" s="102" t="s">
        <v>972</v>
      </c>
      <c r="CE17" s="102">
        <v>0</v>
      </c>
      <c r="CF17" s="102">
        <v>0</v>
      </c>
      <c r="CG17" s="102">
        <v>0</v>
      </c>
      <c r="CH17" s="102">
        <v>0</v>
      </c>
      <c r="CI17" s="102">
        <v>1</v>
      </c>
      <c r="CJ17" s="102">
        <v>0</v>
      </c>
      <c r="CK17" s="102">
        <v>1</v>
      </c>
      <c r="CL17" s="102">
        <v>1</v>
      </c>
      <c r="CM17" s="102">
        <v>1</v>
      </c>
      <c r="CN17" s="102">
        <v>0</v>
      </c>
      <c r="CO17" s="102">
        <v>0</v>
      </c>
      <c r="CP17" s="102">
        <v>0</v>
      </c>
      <c r="CQ17" s="102">
        <v>0</v>
      </c>
      <c r="CR17" s="102">
        <v>0</v>
      </c>
      <c r="CS17" s="102">
        <v>0</v>
      </c>
      <c r="CT17" s="102" t="s">
        <v>853</v>
      </c>
      <c r="CU17" s="102">
        <v>0</v>
      </c>
      <c r="CV17" s="102">
        <v>2</v>
      </c>
      <c r="CW17" s="102">
        <v>0</v>
      </c>
      <c r="CX17" s="102">
        <v>0</v>
      </c>
      <c r="CY17" s="102">
        <v>0</v>
      </c>
      <c r="CZ17" s="102">
        <v>0</v>
      </c>
      <c r="DA17" s="102" t="s">
        <v>853</v>
      </c>
      <c r="DB17" s="102">
        <v>0</v>
      </c>
      <c r="DC17" s="102">
        <v>0</v>
      </c>
      <c r="DD17" s="102">
        <v>0</v>
      </c>
      <c r="DE17" s="102">
        <v>0</v>
      </c>
      <c r="DF17" s="102">
        <v>0</v>
      </c>
      <c r="DG17" s="102">
        <v>0</v>
      </c>
      <c r="DH17" s="102">
        <v>0</v>
      </c>
      <c r="DI17" s="102">
        <v>0</v>
      </c>
      <c r="DJ17" s="102">
        <v>0</v>
      </c>
      <c r="DK17" s="102">
        <v>0</v>
      </c>
      <c r="DL17" s="102">
        <v>0</v>
      </c>
      <c r="DM17" s="102">
        <v>0</v>
      </c>
      <c r="DN17" s="102">
        <v>1</v>
      </c>
      <c r="DO17" s="102">
        <v>0</v>
      </c>
      <c r="DP17" s="102">
        <v>3</v>
      </c>
      <c r="DQ17" s="102">
        <v>2</v>
      </c>
      <c r="DR17" s="102">
        <v>0</v>
      </c>
      <c r="DS17" s="102" t="s">
        <v>853</v>
      </c>
      <c r="DT17" s="105" t="s">
        <v>853</v>
      </c>
      <c r="DU17" s="102" t="s">
        <v>853</v>
      </c>
      <c r="DV17" s="102">
        <v>0</v>
      </c>
      <c r="DW17" s="102">
        <v>0</v>
      </c>
      <c r="DX17" s="102" t="s">
        <v>853</v>
      </c>
      <c r="DY17" s="102">
        <v>0</v>
      </c>
      <c r="DZ17" s="102">
        <v>0</v>
      </c>
      <c r="EA17" s="102" t="s">
        <v>853</v>
      </c>
      <c r="EB17" s="102">
        <v>0</v>
      </c>
      <c r="EC17" s="102">
        <v>0</v>
      </c>
      <c r="ED17" s="102">
        <v>0</v>
      </c>
      <c r="EE17" s="102">
        <v>0</v>
      </c>
      <c r="EF17" s="102">
        <v>1</v>
      </c>
      <c r="EG17" s="102">
        <v>0</v>
      </c>
      <c r="EH17" s="102" t="s">
        <v>853</v>
      </c>
      <c r="EI17" s="102">
        <v>2</v>
      </c>
      <c r="EJ17" s="102">
        <v>0</v>
      </c>
      <c r="EK17" s="102">
        <v>1</v>
      </c>
      <c r="EL17" s="102">
        <v>3</v>
      </c>
      <c r="EM17" s="102"/>
    </row>
    <row r="18" spans="1:143" x14ac:dyDescent="0.55000000000000004">
      <c r="A18" s="99">
        <v>16</v>
      </c>
      <c r="B18" s="102" t="s">
        <v>973</v>
      </c>
      <c r="C18" s="102" t="s">
        <v>974</v>
      </c>
      <c r="D18" s="103">
        <v>29254</v>
      </c>
      <c r="E18" s="102" t="s">
        <v>914</v>
      </c>
      <c r="F18" s="102">
        <v>3</v>
      </c>
      <c r="G18" s="102">
        <v>2</v>
      </c>
      <c r="H18" s="102">
        <v>1980</v>
      </c>
      <c r="I18" s="102" t="s">
        <v>975</v>
      </c>
      <c r="J18" s="102" t="s">
        <v>976</v>
      </c>
      <c r="K18" s="102" t="s">
        <v>849</v>
      </c>
      <c r="L18" s="102">
        <v>43</v>
      </c>
      <c r="M18" s="102">
        <v>0</v>
      </c>
      <c r="N18" s="102">
        <v>0</v>
      </c>
      <c r="O18" s="102">
        <v>5</v>
      </c>
      <c r="P18" s="102">
        <v>0</v>
      </c>
      <c r="Q18" s="104">
        <v>0</v>
      </c>
      <c r="R18" s="102">
        <v>0</v>
      </c>
      <c r="S18" s="102" t="s">
        <v>853</v>
      </c>
      <c r="T18" s="102">
        <v>0</v>
      </c>
      <c r="U18" s="102">
        <v>0</v>
      </c>
      <c r="V18" s="102">
        <v>5</v>
      </c>
      <c r="W18" s="102">
        <v>3</v>
      </c>
      <c r="X18" s="102">
        <v>0</v>
      </c>
      <c r="Y18" s="102">
        <v>0</v>
      </c>
      <c r="Z18" s="102">
        <v>0</v>
      </c>
      <c r="AA18" s="102">
        <v>21</v>
      </c>
      <c r="AB18" s="102">
        <v>0</v>
      </c>
      <c r="AC18" s="102">
        <v>0</v>
      </c>
      <c r="AD18" s="102">
        <v>0</v>
      </c>
      <c r="AE18" s="102">
        <v>0</v>
      </c>
      <c r="AF18" s="102"/>
      <c r="AG18" s="102">
        <v>0</v>
      </c>
      <c r="AH18" s="102"/>
      <c r="AI18" s="102"/>
      <c r="AJ18" s="102">
        <v>4</v>
      </c>
      <c r="AK18" s="102">
        <v>1</v>
      </c>
      <c r="AL18" s="102"/>
      <c r="AM18" s="102"/>
      <c r="AN18" s="102"/>
      <c r="AO18" s="102"/>
      <c r="AP18" s="102"/>
      <c r="AQ18" s="102"/>
      <c r="AR18" s="102">
        <v>0</v>
      </c>
      <c r="AS18" s="102" t="s">
        <v>853</v>
      </c>
      <c r="AT18" s="102"/>
      <c r="AU18" s="102"/>
      <c r="AV18" s="102">
        <v>0</v>
      </c>
      <c r="AW18" s="102">
        <v>1</v>
      </c>
      <c r="AX18" s="102">
        <v>0</v>
      </c>
      <c r="AY18" s="102">
        <v>9</v>
      </c>
      <c r="AZ18" s="102">
        <v>2</v>
      </c>
      <c r="BA18" s="102">
        <v>0</v>
      </c>
      <c r="BB18" s="102">
        <v>0</v>
      </c>
      <c r="BC18" s="102">
        <v>0</v>
      </c>
      <c r="BD18" s="102">
        <v>0</v>
      </c>
      <c r="BE18" s="102">
        <v>0</v>
      </c>
      <c r="BF18" s="102">
        <v>0</v>
      </c>
      <c r="BG18" s="102">
        <v>0</v>
      </c>
      <c r="BH18" s="102">
        <v>0</v>
      </c>
      <c r="BI18" s="102">
        <v>3</v>
      </c>
      <c r="BJ18" s="102">
        <v>0</v>
      </c>
      <c r="BK18" s="102">
        <v>0</v>
      </c>
      <c r="BL18" s="102">
        <v>0</v>
      </c>
      <c r="BM18" s="102">
        <v>0</v>
      </c>
      <c r="BN18" s="102">
        <v>0</v>
      </c>
      <c r="BO18" s="102">
        <v>0</v>
      </c>
      <c r="BP18" s="102">
        <v>0</v>
      </c>
      <c r="BQ18" s="102">
        <v>0</v>
      </c>
      <c r="BR18" s="102">
        <v>0</v>
      </c>
      <c r="BS18" s="102">
        <v>0</v>
      </c>
      <c r="BT18" s="102">
        <v>0</v>
      </c>
      <c r="BU18" s="102">
        <v>0</v>
      </c>
      <c r="BV18" s="102">
        <v>0</v>
      </c>
      <c r="BW18" s="102">
        <v>0</v>
      </c>
      <c r="BX18" s="102">
        <v>0</v>
      </c>
      <c r="BY18" s="102">
        <v>0</v>
      </c>
      <c r="BZ18" s="102">
        <v>5</v>
      </c>
      <c r="CA18" s="102">
        <v>0</v>
      </c>
      <c r="CB18" s="102">
        <v>0</v>
      </c>
      <c r="CC18" s="102" t="s">
        <v>853</v>
      </c>
      <c r="CD18" s="102"/>
      <c r="CE18" s="102">
        <v>0</v>
      </c>
      <c r="CF18" s="102">
        <v>0</v>
      </c>
      <c r="CG18" s="102">
        <v>0</v>
      </c>
      <c r="CH18" s="102">
        <v>0</v>
      </c>
      <c r="CI18" s="102">
        <v>0</v>
      </c>
      <c r="CJ18" s="102">
        <v>0</v>
      </c>
      <c r="CK18" s="102">
        <v>0</v>
      </c>
      <c r="CL18" s="102">
        <v>0</v>
      </c>
      <c r="CM18" s="102">
        <v>0</v>
      </c>
      <c r="CN18" s="102">
        <v>0</v>
      </c>
      <c r="CO18" s="102">
        <v>0</v>
      </c>
      <c r="CP18" s="102">
        <v>0</v>
      </c>
      <c r="CQ18" s="102">
        <v>0</v>
      </c>
      <c r="CR18" s="102">
        <v>0</v>
      </c>
      <c r="CS18" s="102">
        <v>0</v>
      </c>
      <c r="CT18" s="102" t="s">
        <v>853</v>
      </c>
      <c r="CU18" s="102">
        <v>0</v>
      </c>
      <c r="CV18" s="102">
        <v>0</v>
      </c>
      <c r="CW18" s="102">
        <v>0</v>
      </c>
      <c r="CX18" s="102">
        <v>0</v>
      </c>
      <c r="CY18" s="102">
        <v>1</v>
      </c>
      <c r="CZ18" s="102">
        <v>0</v>
      </c>
      <c r="DA18" s="102" t="s">
        <v>853</v>
      </c>
      <c r="DB18" s="102">
        <v>1</v>
      </c>
      <c r="DC18" s="102">
        <v>0</v>
      </c>
      <c r="DD18" s="102">
        <v>0</v>
      </c>
      <c r="DE18" s="102">
        <v>0</v>
      </c>
      <c r="DF18" s="102">
        <v>0</v>
      </c>
      <c r="DG18" s="102">
        <v>0</v>
      </c>
      <c r="DH18" s="102">
        <v>0</v>
      </c>
      <c r="DI18" s="102">
        <v>0</v>
      </c>
      <c r="DJ18" s="102">
        <v>0</v>
      </c>
      <c r="DK18" s="102">
        <v>0</v>
      </c>
      <c r="DL18" s="102">
        <v>0</v>
      </c>
      <c r="DM18" s="102">
        <v>0</v>
      </c>
      <c r="DN18" s="102">
        <v>0</v>
      </c>
      <c r="DO18" s="102">
        <v>1</v>
      </c>
      <c r="DP18" s="102">
        <v>0</v>
      </c>
      <c r="DQ18" s="102">
        <v>2</v>
      </c>
      <c r="DR18" s="102">
        <v>0</v>
      </c>
      <c r="DS18" s="102" t="s">
        <v>853</v>
      </c>
      <c r="DT18" s="105" t="s">
        <v>853</v>
      </c>
      <c r="DU18" s="102" t="s">
        <v>853</v>
      </c>
      <c r="DV18" s="102">
        <v>0</v>
      </c>
      <c r="DW18" s="102">
        <v>0</v>
      </c>
      <c r="DX18" s="102" t="s">
        <v>853</v>
      </c>
      <c r="DY18" s="102">
        <v>0</v>
      </c>
      <c r="DZ18" s="102">
        <v>0</v>
      </c>
      <c r="EA18" s="102" t="s">
        <v>853</v>
      </c>
      <c r="EB18" s="102">
        <v>0</v>
      </c>
      <c r="EC18" s="102">
        <v>0</v>
      </c>
      <c r="ED18" s="102">
        <v>0</v>
      </c>
      <c r="EE18" s="102">
        <v>1</v>
      </c>
      <c r="EF18" s="102">
        <v>1</v>
      </c>
      <c r="EG18" s="102">
        <v>0</v>
      </c>
      <c r="EH18" s="102" t="s">
        <v>853</v>
      </c>
      <c r="EI18" s="102">
        <v>2</v>
      </c>
      <c r="EJ18" s="102">
        <v>0</v>
      </c>
      <c r="EK18" s="102">
        <v>0</v>
      </c>
      <c r="EL18" s="102">
        <v>3</v>
      </c>
      <c r="EM18" s="102"/>
    </row>
    <row r="19" spans="1:143" x14ac:dyDescent="0.55000000000000004">
      <c r="A19" s="99">
        <v>17</v>
      </c>
      <c r="B19" s="102" t="s">
        <v>977</v>
      </c>
      <c r="C19" s="102" t="s">
        <v>978</v>
      </c>
      <c r="D19" s="103">
        <v>29394</v>
      </c>
      <c r="E19" s="102" t="s">
        <v>914</v>
      </c>
      <c r="F19" s="102">
        <v>22</v>
      </c>
      <c r="G19" s="102">
        <v>6</v>
      </c>
      <c r="H19" s="102">
        <v>1980</v>
      </c>
      <c r="I19" s="102" t="s">
        <v>979</v>
      </c>
      <c r="J19" s="102" t="s">
        <v>980</v>
      </c>
      <c r="K19" s="102" t="s">
        <v>849</v>
      </c>
      <c r="L19" s="102">
        <v>43</v>
      </c>
      <c r="M19" s="102">
        <v>0</v>
      </c>
      <c r="N19" s="102">
        <v>2</v>
      </c>
      <c r="O19" s="102">
        <v>3</v>
      </c>
      <c r="P19" s="102">
        <v>1</v>
      </c>
      <c r="Q19" s="104">
        <v>0</v>
      </c>
      <c r="R19" s="102">
        <v>0</v>
      </c>
      <c r="S19" s="102" t="s">
        <v>853</v>
      </c>
      <c r="T19" s="102">
        <v>0</v>
      </c>
      <c r="U19" s="102">
        <v>0</v>
      </c>
      <c r="V19" s="102">
        <v>5</v>
      </c>
      <c r="W19" s="102">
        <v>11</v>
      </c>
      <c r="X19" s="102">
        <v>0</v>
      </c>
      <c r="Y19" s="102">
        <v>0</v>
      </c>
      <c r="Z19" s="102">
        <v>1</v>
      </c>
      <c r="AA19" s="102">
        <v>45</v>
      </c>
      <c r="AB19" s="102">
        <v>0</v>
      </c>
      <c r="AC19" s="102">
        <v>0</v>
      </c>
      <c r="AD19" s="102">
        <v>0</v>
      </c>
      <c r="AE19" s="102">
        <v>0</v>
      </c>
      <c r="AF19" s="102">
        <v>1</v>
      </c>
      <c r="AG19" s="102">
        <v>4</v>
      </c>
      <c r="AH19" s="102">
        <v>2</v>
      </c>
      <c r="AI19" s="102" t="s">
        <v>981</v>
      </c>
      <c r="AJ19" s="102"/>
      <c r="AK19" s="102"/>
      <c r="AL19" s="102"/>
      <c r="AM19" s="102"/>
      <c r="AN19" s="102">
        <v>2</v>
      </c>
      <c r="AO19" s="102">
        <v>1</v>
      </c>
      <c r="AP19" s="102">
        <v>0</v>
      </c>
      <c r="AQ19" s="102">
        <v>1</v>
      </c>
      <c r="AR19" s="102">
        <v>0</v>
      </c>
      <c r="AS19" s="102" t="s">
        <v>853</v>
      </c>
      <c r="AT19" s="102">
        <v>3</v>
      </c>
      <c r="AU19" s="102" t="s">
        <v>982</v>
      </c>
      <c r="AV19" s="102">
        <v>0</v>
      </c>
      <c r="AW19" s="102">
        <v>1</v>
      </c>
      <c r="AX19" s="102" t="s">
        <v>983</v>
      </c>
      <c r="AY19" s="102">
        <v>0</v>
      </c>
      <c r="AZ19" s="102">
        <v>3</v>
      </c>
      <c r="BA19" s="102">
        <v>1</v>
      </c>
      <c r="BB19" s="102">
        <v>0</v>
      </c>
      <c r="BC19" s="102">
        <v>3</v>
      </c>
      <c r="BD19" s="102" t="s">
        <v>984</v>
      </c>
      <c r="BE19" s="102">
        <v>1</v>
      </c>
      <c r="BF19" s="102">
        <v>0</v>
      </c>
      <c r="BG19" s="102">
        <v>0</v>
      </c>
      <c r="BH19" s="102">
        <v>0</v>
      </c>
      <c r="BI19" s="102">
        <v>3</v>
      </c>
      <c r="BJ19" s="102">
        <v>0</v>
      </c>
      <c r="BK19" s="102">
        <v>0</v>
      </c>
      <c r="BL19" s="102">
        <v>0</v>
      </c>
      <c r="BM19" s="102">
        <v>0</v>
      </c>
      <c r="BN19" s="102">
        <v>0</v>
      </c>
      <c r="BO19" s="102">
        <v>0</v>
      </c>
      <c r="BP19" s="102">
        <v>0</v>
      </c>
      <c r="BQ19" s="102">
        <v>0</v>
      </c>
      <c r="BR19" s="102">
        <v>0</v>
      </c>
      <c r="BS19" s="102">
        <v>0</v>
      </c>
      <c r="BT19" s="102">
        <v>0</v>
      </c>
      <c r="BU19" s="102"/>
      <c r="BV19" s="102">
        <v>0</v>
      </c>
      <c r="BW19" s="102">
        <v>0</v>
      </c>
      <c r="BX19" s="102">
        <v>0</v>
      </c>
      <c r="BY19" s="102">
        <v>0</v>
      </c>
      <c r="BZ19" s="102">
        <v>0</v>
      </c>
      <c r="CA19" s="102" t="s">
        <v>904</v>
      </c>
      <c r="CB19" s="102">
        <v>1</v>
      </c>
      <c r="CC19" s="102">
        <v>2</v>
      </c>
      <c r="CD19" s="102" t="s">
        <v>985</v>
      </c>
      <c r="CE19" s="102">
        <v>0</v>
      </c>
      <c r="CF19" s="102">
        <v>0</v>
      </c>
      <c r="CG19" s="102">
        <v>0</v>
      </c>
      <c r="CH19" s="102">
        <v>0</v>
      </c>
      <c r="CI19" s="102">
        <v>1</v>
      </c>
      <c r="CJ19" s="102">
        <v>0</v>
      </c>
      <c r="CK19" s="102">
        <v>0</v>
      </c>
      <c r="CL19" s="102">
        <v>1</v>
      </c>
      <c r="CM19" s="102">
        <v>1</v>
      </c>
      <c r="CN19" s="102">
        <v>2</v>
      </c>
      <c r="CO19" s="102">
        <v>0</v>
      </c>
      <c r="CP19" s="102">
        <v>0</v>
      </c>
      <c r="CQ19" s="102">
        <v>0</v>
      </c>
      <c r="CR19" s="102">
        <v>0</v>
      </c>
      <c r="CS19" s="102">
        <v>0</v>
      </c>
      <c r="CT19" s="102" t="s">
        <v>853</v>
      </c>
      <c r="CU19" s="102">
        <v>0</v>
      </c>
      <c r="CV19" s="102">
        <v>0</v>
      </c>
      <c r="CW19" s="102">
        <v>0</v>
      </c>
      <c r="CX19" s="102">
        <v>0</v>
      </c>
      <c r="CY19" s="102">
        <v>0</v>
      </c>
      <c r="CZ19" s="102">
        <v>0</v>
      </c>
      <c r="DA19" s="102" t="s">
        <v>853</v>
      </c>
      <c r="DB19" s="102">
        <v>0</v>
      </c>
      <c r="DC19" s="102">
        <v>0</v>
      </c>
      <c r="DD19" s="102">
        <v>0</v>
      </c>
      <c r="DE19" s="102">
        <v>0</v>
      </c>
      <c r="DF19" s="102">
        <v>0</v>
      </c>
      <c r="DG19" s="102">
        <v>0</v>
      </c>
      <c r="DH19" s="102">
        <v>0</v>
      </c>
      <c r="DI19" s="102">
        <v>0</v>
      </c>
      <c r="DJ19" s="102">
        <v>1</v>
      </c>
      <c r="DK19" s="102">
        <v>0</v>
      </c>
      <c r="DL19" s="102">
        <v>1</v>
      </c>
      <c r="DM19" s="102">
        <v>0</v>
      </c>
      <c r="DN19" s="102">
        <v>0</v>
      </c>
      <c r="DO19" s="102">
        <v>0</v>
      </c>
      <c r="DP19" s="102">
        <v>0</v>
      </c>
      <c r="DQ19" s="102">
        <v>2</v>
      </c>
      <c r="DR19" s="102">
        <v>0</v>
      </c>
      <c r="DS19" s="102" t="s">
        <v>853</v>
      </c>
      <c r="DT19" s="105" t="s">
        <v>853</v>
      </c>
      <c r="DU19" s="102" t="s">
        <v>853</v>
      </c>
      <c r="DV19" s="102">
        <v>0</v>
      </c>
      <c r="DW19" s="102">
        <v>0</v>
      </c>
      <c r="DX19" s="102" t="s">
        <v>853</v>
      </c>
      <c r="DY19" s="102">
        <v>0</v>
      </c>
      <c r="DZ19" s="102">
        <v>0</v>
      </c>
      <c r="EA19" s="102" t="s">
        <v>853</v>
      </c>
      <c r="EB19" s="102">
        <v>0</v>
      </c>
      <c r="EC19" s="102">
        <v>0</v>
      </c>
      <c r="ED19" s="102">
        <v>0</v>
      </c>
      <c r="EE19" s="102">
        <v>1</v>
      </c>
      <c r="EF19" s="102">
        <v>4</v>
      </c>
      <c r="EG19" s="102">
        <v>1</v>
      </c>
      <c r="EH19" s="102" t="s">
        <v>986</v>
      </c>
      <c r="EI19" s="102">
        <v>3</v>
      </c>
      <c r="EJ19" s="102">
        <v>0</v>
      </c>
      <c r="EK19" s="102">
        <v>2</v>
      </c>
      <c r="EL19" s="102">
        <v>0</v>
      </c>
      <c r="EM19" s="102"/>
    </row>
    <row r="20" spans="1:143" x14ac:dyDescent="0.55000000000000004">
      <c r="A20" s="99">
        <v>18</v>
      </c>
      <c r="B20" s="102" t="s">
        <v>987</v>
      </c>
      <c r="C20" s="102" t="s">
        <v>988</v>
      </c>
      <c r="D20" s="103">
        <v>29423</v>
      </c>
      <c r="E20" s="102" t="s">
        <v>846</v>
      </c>
      <c r="F20" s="102">
        <v>21</v>
      </c>
      <c r="G20" s="102">
        <v>7</v>
      </c>
      <c r="H20" s="102">
        <v>1980</v>
      </c>
      <c r="I20" s="102" t="s">
        <v>989</v>
      </c>
      <c r="J20" s="102" t="s">
        <v>990</v>
      </c>
      <c r="K20" s="102" t="s">
        <v>873</v>
      </c>
      <c r="L20" s="102">
        <v>38</v>
      </c>
      <c r="M20" s="102">
        <v>2</v>
      </c>
      <c r="N20" s="102">
        <v>1</v>
      </c>
      <c r="O20" s="102">
        <v>7</v>
      </c>
      <c r="P20" s="102">
        <v>0</v>
      </c>
      <c r="Q20" s="104">
        <v>0</v>
      </c>
      <c r="R20" s="102">
        <v>0</v>
      </c>
      <c r="S20" s="102" t="s">
        <v>853</v>
      </c>
      <c r="T20" s="102">
        <v>0</v>
      </c>
      <c r="U20" s="102">
        <v>0</v>
      </c>
      <c r="V20" s="102">
        <v>4</v>
      </c>
      <c r="W20" s="102">
        <v>1</v>
      </c>
      <c r="X20" s="102">
        <v>0</v>
      </c>
      <c r="Y20" s="102">
        <v>0</v>
      </c>
      <c r="Z20" s="102">
        <v>0</v>
      </c>
      <c r="AA20" s="102">
        <v>23</v>
      </c>
      <c r="AB20" s="102">
        <v>0</v>
      </c>
      <c r="AC20" s="102">
        <v>0</v>
      </c>
      <c r="AD20" s="102">
        <v>0</v>
      </c>
      <c r="AE20" s="102">
        <v>0</v>
      </c>
      <c r="AF20" s="102"/>
      <c r="AG20" s="102">
        <v>2</v>
      </c>
      <c r="AH20" s="102">
        <v>0</v>
      </c>
      <c r="AI20" s="102" t="s">
        <v>991</v>
      </c>
      <c r="AJ20" s="102"/>
      <c r="AK20" s="102"/>
      <c r="AL20" s="102"/>
      <c r="AM20" s="102"/>
      <c r="AN20" s="102">
        <v>0</v>
      </c>
      <c r="AO20" s="102">
        <v>0</v>
      </c>
      <c r="AP20" s="102">
        <v>1</v>
      </c>
      <c r="AQ20" s="102">
        <v>2</v>
      </c>
      <c r="AR20" s="102">
        <v>1</v>
      </c>
      <c r="AS20" s="102">
        <v>0</v>
      </c>
      <c r="AT20" s="102">
        <v>0</v>
      </c>
      <c r="AU20" s="102"/>
      <c r="AV20" s="102">
        <v>0</v>
      </c>
      <c r="AW20" s="102">
        <v>0</v>
      </c>
      <c r="AX20" s="102">
        <v>0</v>
      </c>
      <c r="AY20" s="102">
        <v>0</v>
      </c>
      <c r="AZ20" s="102">
        <v>0</v>
      </c>
      <c r="BA20" s="102">
        <v>0</v>
      </c>
      <c r="BB20" s="102">
        <v>0</v>
      </c>
      <c r="BC20" s="102">
        <v>0</v>
      </c>
      <c r="BD20" s="102">
        <v>0</v>
      </c>
      <c r="BE20" s="102">
        <v>0</v>
      </c>
      <c r="BF20" s="102">
        <v>0</v>
      </c>
      <c r="BG20" s="102">
        <v>0</v>
      </c>
      <c r="BH20" s="102">
        <v>0</v>
      </c>
      <c r="BI20" s="102">
        <v>3</v>
      </c>
      <c r="BJ20" s="102">
        <v>0</v>
      </c>
      <c r="BK20" s="102">
        <v>0</v>
      </c>
      <c r="BL20" s="102">
        <v>0</v>
      </c>
      <c r="BM20" s="102">
        <v>0</v>
      </c>
      <c r="BN20" s="102">
        <v>0</v>
      </c>
      <c r="BO20" s="102">
        <v>0</v>
      </c>
      <c r="BP20" s="102">
        <v>0</v>
      </c>
      <c r="BQ20" s="102">
        <v>0</v>
      </c>
      <c r="BR20" s="102">
        <v>0</v>
      </c>
      <c r="BS20" s="102">
        <v>0</v>
      </c>
      <c r="BT20" s="102">
        <v>0</v>
      </c>
      <c r="BU20" s="102">
        <v>1</v>
      </c>
      <c r="BV20" s="102">
        <v>0</v>
      </c>
      <c r="BW20" s="102">
        <v>0</v>
      </c>
      <c r="BX20" s="102">
        <v>0</v>
      </c>
      <c r="BY20" s="102">
        <v>0</v>
      </c>
      <c r="BZ20" s="102">
        <v>1</v>
      </c>
      <c r="CA20" s="102">
        <v>0</v>
      </c>
      <c r="CB20" s="102">
        <v>1</v>
      </c>
      <c r="CC20" s="102">
        <v>1</v>
      </c>
      <c r="CD20" s="102" t="s">
        <v>992</v>
      </c>
      <c r="CE20" s="102">
        <v>1</v>
      </c>
      <c r="CF20" s="102">
        <v>0</v>
      </c>
      <c r="CG20" s="102">
        <v>0</v>
      </c>
      <c r="CH20" s="102">
        <v>0</v>
      </c>
      <c r="CI20" s="102">
        <v>0</v>
      </c>
      <c r="CJ20" s="102">
        <v>0</v>
      </c>
      <c r="CK20" s="102">
        <v>1</v>
      </c>
      <c r="CL20" s="102">
        <v>1</v>
      </c>
      <c r="CM20" s="102">
        <v>1</v>
      </c>
      <c r="CN20" s="102">
        <v>0</v>
      </c>
      <c r="CO20" s="102">
        <v>0</v>
      </c>
      <c r="CP20" s="102">
        <v>0</v>
      </c>
      <c r="CQ20" s="102">
        <v>0</v>
      </c>
      <c r="CR20" s="102">
        <v>0</v>
      </c>
      <c r="CS20" s="102">
        <v>0</v>
      </c>
      <c r="CT20" s="102" t="s">
        <v>853</v>
      </c>
      <c r="CU20" s="102">
        <v>0</v>
      </c>
      <c r="CV20" s="102">
        <v>4</v>
      </c>
      <c r="CW20" s="102">
        <v>0</v>
      </c>
      <c r="CX20" s="102">
        <v>0</v>
      </c>
      <c r="CY20" s="102">
        <v>0</v>
      </c>
      <c r="CZ20" s="102">
        <v>0</v>
      </c>
      <c r="DA20" s="102" t="s">
        <v>853</v>
      </c>
      <c r="DB20" s="102">
        <v>0</v>
      </c>
      <c r="DC20" s="102">
        <v>0</v>
      </c>
      <c r="DD20" s="102">
        <v>0</v>
      </c>
      <c r="DE20" s="102">
        <v>0</v>
      </c>
      <c r="DF20" s="102">
        <v>0</v>
      </c>
      <c r="DG20" s="102">
        <v>0</v>
      </c>
      <c r="DH20" s="102">
        <v>0</v>
      </c>
      <c r="DI20" s="102">
        <v>0</v>
      </c>
      <c r="DJ20" s="102">
        <v>0</v>
      </c>
      <c r="DK20" s="102">
        <v>0</v>
      </c>
      <c r="DL20" s="102">
        <v>0</v>
      </c>
      <c r="DM20" s="102">
        <v>0</v>
      </c>
      <c r="DN20" s="102">
        <v>1</v>
      </c>
      <c r="DO20" s="102">
        <v>0</v>
      </c>
      <c r="DP20" s="102">
        <v>3</v>
      </c>
      <c r="DQ20" s="102">
        <v>2</v>
      </c>
      <c r="DR20" s="102">
        <v>0</v>
      </c>
      <c r="DS20" s="102" t="s">
        <v>853</v>
      </c>
      <c r="DT20" s="105" t="s">
        <v>853</v>
      </c>
      <c r="DU20" s="102" t="s">
        <v>853</v>
      </c>
      <c r="DV20" s="102">
        <v>0</v>
      </c>
      <c r="DW20" s="102">
        <v>0</v>
      </c>
      <c r="DX20" s="102" t="s">
        <v>853</v>
      </c>
      <c r="DY20" s="102">
        <v>0</v>
      </c>
      <c r="DZ20" s="102">
        <v>0</v>
      </c>
      <c r="EA20" s="102" t="s">
        <v>853</v>
      </c>
      <c r="EB20" s="102">
        <v>0</v>
      </c>
      <c r="EC20" s="102">
        <v>0</v>
      </c>
      <c r="ED20" s="102">
        <v>0</v>
      </c>
      <c r="EE20" s="102">
        <v>3</v>
      </c>
      <c r="EF20" s="102">
        <v>1</v>
      </c>
      <c r="EG20" s="102">
        <v>0</v>
      </c>
      <c r="EH20" s="102" t="s">
        <v>853</v>
      </c>
      <c r="EI20" s="102">
        <v>2</v>
      </c>
      <c r="EJ20" s="102">
        <v>0</v>
      </c>
      <c r="EK20" s="102">
        <v>1</v>
      </c>
      <c r="EL20" s="102">
        <v>3</v>
      </c>
      <c r="EM20" s="102"/>
    </row>
    <row r="21" spans="1:143" ht="15.75" customHeight="1" x14ac:dyDescent="0.55000000000000004">
      <c r="A21" s="99">
        <v>19</v>
      </c>
      <c r="B21" s="102" t="s">
        <v>993</v>
      </c>
      <c r="C21" s="102" t="s">
        <v>994</v>
      </c>
      <c r="D21" s="103">
        <v>29713</v>
      </c>
      <c r="E21" s="102" t="s">
        <v>995</v>
      </c>
      <c r="F21" s="102">
        <v>7</v>
      </c>
      <c r="G21" s="102">
        <v>5</v>
      </c>
      <c r="H21" s="102">
        <v>1981</v>
      </c>
      <c r="I21" s="102" t="s">
        <v>996</v>
      </c>
      <c r="J21" s="102" t="s">
        <v>997</v>
      </c>
      <c r="K21" s="102" t="s">
        <v>951</v>
      </c>
      <c r="L21" s="102">
        <v>37</v>
      </c>
      <c r="M21" s="102">
        <v>3</v>
      </c>
      <c r="N21" s="102">
        <v>0</v>
      </c>
      <c r="O21" s="102">
        <v>5</v>
      </c>
      <c r="P21" s="102">
        <v>0</v>
      </c>
      <c r="Q21" s="104">
        <v>0</v>
      </c>
      <c r="R21" s="102">
        <v>0</v>
      </c>
      <c r="S21" s="102" t="s">
        <v>853</v>
      </c>
      <c r="T21" s="102">
        <v>0</v>
      </c>
      <c r="U21" s="102">
        <v>0</v>
      </c>
      <c r="V21" s="102">
        <v>4</v>
      </c>
      <c r="W21" s="102">
        <v>20</v>
      </c>
      <c r="X21" s="102">
        <v>0</v>
      </c>
      <c r="Y21" s="102">
        <v>0</v>
      </c>
      <c r="Z21" s="102">
        <v>0</v>
      </c>
      <c r="AA21" s="102">
        <v>25</v>
      </c>
      <c r="AB21" s="102">
        <v>0</v>
      </c>
      <c r="AC21" s="102">
        <v>0</v>
      </c>
      <c r="AD21" s="102">
        <v>0</v>
      </c>
      <c r="AE21" s="102">
        <v>0</v>
      </c>
      <c r="AF21" s="102"/>
      <c r="AG21" s="102"/>
      <c r="AH21" s="102"/>
      <c r="AI21" s="102"/>
      <c r="AJ21" s="102"/>
      <c r="AK21" s="102"/>
      <c r="AL21" s="102"/>
      <c r="AM21" s="102"/>
      <c r="AN21" s="102">
        <v>0</v>
      </c>
      <c r="AO21" s="102">
        <v>0</v>
      </c>
      <c r="AP21" s="102">
        <v>0</v>
      </c>
      <c r="AQ21" s="102">
        <v>0</v>
      </c>
      <c r="AR21" s="102">
        <v>0</v>
      </c>
      <c r="AS21" s="102" t="s">
        <v>853</v>
      </c>
      <c r="AT21" s="102">
        <v>0</v>
      </c>
      <c r="AU21" s="102"/>
      <c r="AV21" s="102">
        <v>0</v>
      </c>
      <c r="AW21" s="102">
        <v>0</v>
      </c>
      <c r="AX21" s="102">
        <v>0</v>
      </c>
      <c r="AY21" s="102">
        <v>0</v>
      </c>
      <c r="AZ21" s="102">
        <v>0</v>
      </c>
      <c r="BA21" s="102">
        <v>0</v>
      </c>
      <c r="BB21" s="102">
        <v>0</v>
      </c>
      <c r="BC21" s="102">
        <v>0</v>
      </c>
      <c r="BD21" s="102">
        <v>0</v>
      </c>
      <c r="BE21" s="102">
        <v>0</v>
      </c>
      <c r="BF21" s="102">
        <v>0</v>
      </c>
      <c r="BG21" s="102">
        <v>0</v>
      </c>
      <c r="BH21" s="102">
        <v>0</v>
      </c>
      <c r="BI21" s="102">
        <v>3</v>
      </c>
      <c r="BJ21" s="102">
        <v>0</v>
      </c>
      <c r="BK21" s="102">
        <v>0</v>
      </c>
      <c r="BL21" s="102">
        <v>0</v>
      </c>
      <c r="BM21" s="102">
        <v>0</v>
      </c>
      <c r="BN21" s="102">
        <v>0</v>
      </c>
      <c r="BO21" s="102">
        <v>0</v>
      </c>
      <c r="BP21" s="102">
        <v>0</v>
      </c>
      <c r="BQ21" s="102">
        <v>0</v>
      </c>
      <c r="BR21" s="102">
        <v>0</v>
      </c>
      <c r="BS21" s="102">
        <v>0</v>
      </c>
      <c r="BT21" s="102">
        <v>0</v>
      </c>
      <c r="BU21" s="102"/>
      <c r="BV21" s="102">
        <v>0</v>
      </c>
      <c r="BW21" s="102">
        <v>0</v>
      </c>
      <c r="BX21" s="102">
        <v>0</v>
      </c>
      <c r="BY21" s="102">
        <v>0</v>
      </c>
      <c r="BZ21" s="102">
        <v>0</v>
      </c>
      <c r="CA21" s="102">
        <v>2</v>
      </c>
      <c r="CB21" s="102">
        <v>0</v>
      </c>
      <c r="CC21" s="102" t="s">
        <v>853</v>
      </c>
      <c r="CD21" s="102"/>
      <c r="CE21" s="102">
        <v>0</v>
      </c>
      <c r="CF21" s="102">
        <v>0</v>
      </c>
      <c r="CG21" s="102">
        <v>0</v>
      </c>
      <c r="CH21" s="102">
        <v>0</v>
      </c>
      <c r="CI21" s="102">
        <v>0</v>
      </c>
      <c r="CJ21" s="102">
        <v>0</v>
      </c>
      <c r="CK21" s="102">
        <v>0</v>
      </c>
      <c r="CL21" s="102">
        <v>0</v>
      </c>
      <c r="CM21" s="102">
        <v>0</v>
      </c>
      <c r="CN21" s="102">
        <v>0</v>
      </c>
      <c r="CO21" s="102">
        <v>0</v>
      </c>
      <c r="CP21" s="102">
        <v>0</v>
      </c>
      <c r="CQ21" s="102">
        <v>0</v>
      </c>
      <c r="CR21" s="102">
        <v>0</v>
      </c>
      <c r="CS21" s="102">
        <v>0</v>
      </c>
      <c r="CT21" s="102" t="s">
        <v>853</v>
      </c>
      <c r="CU21" s="102">
        <v>0</v>
      </c>
      <c r="CV21" s="102">
        <v>2</v>
      </c>
      <c r="CW21" s="102">
        <v>2</v>
      </c>
      <c r="CX21" s="102">
        <v>0</v>
      </c>
      <c r="CY21" s="102">
        <v>0</v>
      </c>
      <c r="CZ21" s="102">
        <v>0</v>
      </c>
      <c r="DA21" s="102" t="s">
        <v>853</v>
      </c>
      <c r="DB21" s="102">
        <v>0</v>
      </c>
      <c r="DC21" s="102" t="s">
        <v>866</v>
      </c>
      <c r="DD21" s="102">
        <v>0</v>
      </c>
      <c r="DE21" s="102">
        <v>0</v>
      </c>
      <c r="DF21" s="102">
        <v>1</v>
      </c>
      <c r="DG21" s="102">
        <v>0</v>
      </c>
      <c r="DH21" s="102">
        <v>0</v>
      </c>
      <c r="DI21" s="102">
        <v>0</v>
      </c>
      <c r="DJ21" s="102">
        <v>0</v>
      </c>
      <c r="DK21" s="102">
        <v>0</v>
      </c>
      <c r="DL21" s="102">
        <v>0</v>
      </c>
      <c r="DM21" s="102">
        <v>0</v>
      </c>
      <c r="DN21" s="102">
        <v>1</v>
      </c>
      <c r="DO21" s="102">
        <v>0</v>
      </c>
      <c r="DP21" s="102">
        <v>2</v>
      </c>
      <c r="DQ21" s="102">
        <v>2</v>
      </c>
      <c r="DR21" s="102">
        <v>0</v>
      </c>
      <c r="DS21" s="102" t="s">
        <v>853</v>
      </c>
      <c r="DT21" s="105" t="s">
        <v>853</v>
      </c>
      <c r="DU21" s="102" t="s">
        <v>853</v>
      </c>
      <c r="DV21" s="102">
        <v>0</v>
      </c>
      <c r="DW21" s="102">
        <v>0</v>
      </c>
      <c r="DX21" s="102" t="s">
        <v>853</v>
      </c>
      <c r="DY21" s="102">
        <v>0</v>
      </c>
      <c r="DZ21" s="102">
        <v>0</v>
      </c>
      <c r="EA21" s="102" t="s">
        <v>853</v>
      </c>
      <c r="EB21" s="102">
        <v>0</v>
      </c>
      <c r="EC21" s="102">
        <v>0</v>
      </c>
      <c r="ED21" s="102">
        <v>0</v>
      </c>
      <c r="EE21" s="102">
        <v>0</v>
      </c>
      <c r="EF21" s="102">
        <v>1</v>
      </c>
      <c r="EG21" s="102">
        <v>0</v>
      </c>
      <c r="EH21" s="102" t="s">
        <v>853</v>
      </c>
      <c r="EI21" s="102">
        <v>2</v>
      </c>
      <c r="EJ21" s="102">
        <v>0</v>
      </c>
      <c r="EK21" s="102">
        <v>1</v>
      </c>
      <c r="EL21" s="102">
        <v>3</v>
      </c>
      <c r="EM21" s="102"/>
    </row>
    <row r="22" spans="1:143" ht="15.75" customHeight="1" x14ac:dyDescent="0.55000000000000004">
      <c r="A22" s="99">
        <v>20</v>
      </c>
      <c r="B22" s="102" t="s">
        <v>998</v>
      </c>
      <c r="C22" s="102" t="s">
        <v>999</v>
      </c>
      <c r="D22" s="103">
        <v>29875</v>
      </c>
      <c r="E22" s="102" t="s">
        <v>959</v>
      </c>
      <c r="F22" s="102">
        <v>16</v>
      </c>
      <c r="G22" s="102">
        <v>10</v>
      </c>
      <c r="H22" s="102">
        <v>1981</v>
      </c>
      <c r="I22" s="102" t="s">
        <v>1000</v>
      </c>
      <c r="J22" s="102" t="s">
        <v>1001</v>
      </c>
      <c r="K22" s="102" t="s">
        <v>1002</v>
      </c>
      <c r="L22" s="102">
        <v>17</v>
      </c>
      <c r="M22" s="102">
        <v>0</v>
      </c>
      <c r="N22" s="102">
        <v>2</v>
      </c>
      <c r="O22" s="102">
        <v>4</v>
      </c>
      <c r="P22" s="102">
        <v>0</v>
      </c>
      <c r="Q22" s="104">
        <v>0</v>
      </c>
      <c r="R22" s="102">
        <v>0</v>
      </c>
      <c r="S22" s="102" t="s">
        <v>853</v>
      </c>
      <c r="T22" s="102">
        <v>0</v>
      </c>
      <c r="U22" s="102">
        <v>0</v>
      </c>
      <c r="V22" s="102">
        <v>5</v>
      </c>
      <c r="W22" s="102">
        <v>3</v>
      </c>
      <c r="X22" s="102">
        <v>0</v>
      </c>
      <c r="Y22" s="102">
        <v>0</v>
      </c>
      <c r="Z22" s="102">
        <v>0</v>
      </c>
      <c r="AA22" s="102">
        <v>70</v>
      </c>
      <c r="AB22" s="102">
        <v>0</v>
      </c>
      <c r="AC22" s="102">
        <v>0</v>
      </c>
      <c r="AD22" s="102">
        <v>0</v>
      </c>
      <c r="AE22" s="102">
        <v>0</v>
      </c>
      <c r="AF22" s="102"/>
      <c r="AG22" s="102"/>
      <c r="AH22" s="102"/>
      <c r="AI22" s="102"/>
      <c r="AJ22" s="102"/>
      <c r="AK22" s="102"/>
      <c r="AL22" s="102"/>
      <c r="AM22" s="102"/>
      <c r="AN22" s="102">
        <v>0</v>
      </c>
      <c r="AO22" s="102">
        <v>0</v>
      </c>
      <c r="AP22" s="102">
        <v>0</v>
      </c>
      <c r="AQ22" s="102">
        <v>0</v>
      </c>
      <c r="AR22" s="102">
        <v>0</v>
      </c>
      <c r="AS22" s="102" t="s">
        <v>853</v>
      </c>
      <c r="AT22" s="102"/>
      <c r="AU22" s="102"/>
      <c r="AV22" s="102">
        <v>0</v>
      </c>
      <c r="AW22" s="102">
        <v>1</v>
      </c>
      <c r="AX22" s="102">
        <v>1</v>
      </c>
      <c r="AY22" s="102">
        <v>0</v>
      </c>
      <c r="AZ22" s="102">
        <v>4</v>
      </c>
      <c r="BA22" s="102">
        <v>1</v>
      </c>
      <c r="BB22" s="102">
        <v>0</v>
      </c>
      <c r="BC22" s="102">
        <v>0</v>
      </c>
      <c r="BD22" s="102">
        <v>0</v>
      </c>
      <c r="BE22" s="102">
        <v>0</v>
      </c>
      <c r="BF22" s="102">
        <v>0</v>
      </c>
      <c r="BG22" s="102">
        <v>0</v>
      </c>
      <c r="BH22" s="102">
        <v>0</v>
      </c>
      <c r="BI22" s="102">
        <v>3</v>
      </c>
      <c r="BJ22" s="102">
        <v>0</v>
      </c>
      <c r="BK22" s="102">
        <v>0</v>
      </c>
      <c r="BL22" s="102">
        <v>0</v>
      </c>
      <c r="BM22" s="102">
        <v>0</v>
      </c>
      <c r="BN22" s="102">
        <v>0</v>
      </c>
      <c r="BO22" s="102">
        <v>0</v>
      </c>
      <c r="BP22" s="102">
        <v>0</v>
      </c>
      <c r="BQ22" s="102">
        <v>0</v>
      </c>
      <c r="BR22" s="102">
        <v>0</v>
      </c>
      <c r="BS22" s="102">
        <v>0</v>
      </c>
      <c r="BT22" s="102">
        <v>0</v>
      </c>
      <c r="BU22" s="102">
        <v>0</v>
      </c>
      <c r="BV22" s="102">
        <v>0</v>
      </c>
      <c r="BW22" s="102">
        <v>0</v>
      </c>
      <c r="BX22" s="102">
        <v>0</v>
      </c>
      <c r="BY22" s="102">
        <v>0</v>
      </c>
      <c r="BZ22" s="102">
        <v>0</v>
      </c>
      <c r="CA22" s="102">
        <v>0</v>
      </c>
      <c r="CB22" s="102">
        <v>0</v>
      </c>
      <c r="CC22" s="102" t="s">
        <v>853</v>
      </c>
      <c r="CD22" s="102"/>
      <c r="CE22" s="102">
        <v>0</v>
      </c>
      <c r="CF22" s="102">
        <v>0</v>
      </c>
      <c r="CG22" s="102">
        <v>0</v>
      </c>
      <c r="CH22" s="102">
        <v>0</v>
      </c>
      <c r="CI22" s="102">
        <v>0</v>
      </c>
      <c r="CJ22" s="102">
        <v>0</v>
      </c>
      <c r="CK22" s="102">
        <v>0</v>
      </c>
      <c r="CL22" s="102">
        <v>0</v>
      </c>
      <c r="CM22" s="102">
        <v>0</v>
      </c>
      <c r="CN22" s="102">
        <v>0</v>
      </c>
      <c r="CO22" s="102">
        <v>0</v>
      </c>
      <c r="CP22" s="102">
        <v>0</v>
      </c>
      <c r="CQ22" s="102">
        <v>0</v>
      </c>
      <c r="CR22" s="102">
        <v>0</v>
      </c>
      <c r="CS22" s="102">
        <v>0</v>
      </c>
      <c r="CT22" s="102" t="s">
        <v>853</v>
      </c>
      <c r="CU22" s="102">
        <v>0</v>
      </c>
      <c r="CV22" s="102">
        <v>0</v>
      </c>
      <c r="CW22" s="102">
        <v>0</v>
      </c>
      <c r="CX22" s="102">
        <v>0</v>
      </c>
      <c r="CY22" s="102">
        <v>0</v>
      </c>
      <c r="CZ22" s="102">
        <v>1</v>
      </c>
      <c r="DA22" s="102" t="s">
        <v>1003</v>
      </c>
      <c r="DB22" s="102">
        <v>0</v>
      </c>
      <c r="DC22" s="102">
        <v>0</v>
      </c>
      <c r="DD22" s="102">
        <v>0</v>
      </c>
      <c r="DE22" s="102">
        <v>0</v>
      </c>
      <c r="DF22" s="102">
        <v>0</v>
      </c>
      <c r="DG22" s="102">
        <v>0</v>
      </c>
      <c r="DH22" s="102">
        <v>0</v>
      </c>
      <c r="DI22" s="102">
        <v>1</v>
      </c>
      <c r="DJ22" s="102">
        <v>0</v>
      </c>
      <c r="DK22" s="102">
        <v>1</v>
      </c>
      <c r="DL22" s="102">
        <v>1</v>
      </c>
      <c r="DM22" s="102">
        <v>0</v>
      </c>
      <c r="DN22" s="102">
        <v>0</v>
      </c>
      <c r="DO22" s="102">
        <v>0</v>
      </c>
      <c r="DP22" s="102">
        <v>0</v>
      </c>
      <c r="DQ22" s="102">
        <v>2</v>
      </c>
      <c r="DR22" s="102">
        <v>0</v>
      </c>
      <c r="DS22" s="102" t="s">
        <v>853</v>
      </c>
      <c r="DT22" s="105" t="s">
        <v>853</v>
      </c>
      <c r="DU22" s="102" t="s">
        <v>853</v>
      </c>
      <c r="DV22" s="102">
        <v>0</v>
      </c>
      <c r="DW22" s="102">
        <v>0</v>
      </c>
      <c r="DX22" s="102" t="s">
        <v>853</v>
      </c>
      <c r="DY22" s="102">
        <v>0</v>
      </c>
      <c r="DZ22" s="102">
        <v>0</v>
      </c>
      <c r="EA22" s="102" t="s">
        <v>853</v>
      </c>
      <c r="EB22" s="102">
        <v>0</v>
      </c>
      <c r="EC22" s="102">
        <v>0</v>
      </c>
      <c r="ED22" s="102">
        <v>0</v>
      </c>
      <c r="EE22" s="102">
        <v>0</v>
      </c>
      <c r="EF22" s="102">
        <v>1</v>
      </c>
      <c r="EG22" s="102">
        <v>0</v>
      </c>
      <c r="EH22" s="102" t="s">
        <v>853</v>
      </c>
      <c r="EI22" s="102">
        <v>2</v>
      </c>
      <c r="EJ22" s="102">
        <v>0</v>
      </c>
      <c r="EK22" s="102">
        <v>0</v>
      </c>
      <c r="EL22" s="102">
        <v>1</v>
      </c>
      <c r="EM22" s="102"/>
    </row>
    <row r="23" spans="1:143" ht="15.75" customHeight="1" x14ac:dyDescent="0.55000000000000004">
      <c r="A23" s="99">
        <v>21</v>
      </c>
      <c r="B23" s="102" t="s">
        <v>1004</v>
      </c>
      <c r="C23" s="102" t="s">
        <v>845</v>
      </c>
      <c r="D23" s="103">
        <v>30074</v>
      </c>
      <c r="E23" s="102" t="s">
        <v>846</v>
      </c>
      <c r="F23" s="102">
        <v>3</v>
      </c>
      <c r="G23" s="102">
        <v>5</v>
      </c>
      <c r="H23" s="102">
        <v>1982</v>
      </c>
      <c r="I23" s="102" t="s">
        <v>1005</v>
      </c>
      <c r="J23" s="102" t="s">
        <v>1006</v>
      </c>
      <c r="K23" s="102" t="s">
        <v>1007</v>
      </c>
      <c r="L23" s="102">
        <v>2</v>
      </c>
      <c r="M23" s="102">
        <v>3</v>
      </c>
      <c r="N23" s="102">
        <v>0</v>
      </c>
      <c r="O23" s="102">
        <v>8</v>
      </c>
      <c r="P23" s="102">
        <v>0</v>
      </c>
      <c r="Q23" s="104">
        <v>0</v>
      </c>
      <c r="R23" s="102">
        <v>0</v>
      </c>
      <c r="S23" s="102" t="s">
        <v>853</v>
      </c>
      <c r="T23" s="102">
        <v>0</v>
      </c>
      <c r="U23" s="102">
        <v>0</v>
      </c>
      <c r="V23" s="102">
        <v>4</v>
      </c>
      <c r="W23" s="102">
        <v>0</v>
      </c>
      <c r="X23" s="102">
        <v>0</v>
      </c>
      <c r="Y23" s="102">
        <v>0</v>
      </c>
      <c r="Z23" s="102">
        <v>0</v>
      </c>
      <c r="AA23" s="102">
        <v>34</v>
      </c>
      <c r="AB23" s="102">
        <v>0</v>
      </c>
      <c r="AC23" s="102">
        <v>0</v>
      </c>
      <c r="AD23" s="102">
        <v>0</v>
      </c>
      <c r="AE23" s="102">
        <v>0</v>
      </c>
      <c r="AF23" s="102">
        <v>1</v>
      </c>
      <c r="AG23" s="102">
        <v>2</v>
      </c>
      <c r="AH23" s="102">
        <v>0</v>
      </c>
      <c r="AI23" s="102" t="s">
        <v>1008</v>
      </c>
      <c r="AJ23" s="102"/>
      <c r="AK23" s="102"/>
      <c r="AL23" s="102"/>
      <c r="AM23" s="102"/>
      <c r="AN23" s="102">
        <v>0</v>
      </c>
      <c r="AO23" s="102">
        <v>0</v>
      </c>
      <c r="AP23" s="102">
        <v>1</v>
      </c>
      <c r="AQ23" s="102">
        <v>0</v>
      </c>
      <c r="AR23" s="102">
        <v>0</v>
      </c>
      <c r="AS23" s="102" t="s">
        <v>853</v>
      </c>
      <c r="AT23" s="102">
        <v>1</v>
      </c>
      <c r="AU23" s="102" t="s">
        <v>1009</v>
      </c>
      <c r="AV23" s="102">
        <v>0</v>
      </c>
      <c r="AW23" s="102">
        <v>1</v>
      </c>
      <c r="AX23" s="102">
        <v>1</v>
      </c>
      <c r="AY23" s="102" t="s">
        <v>1010</v>
      </c>
      <c r="AZ23" s="102">
        <v>4</v>
      </c>
      <c r="BA23" s="102">
        <v>0</v>
      </c>
      <c r="BB23" s="102">
        <v>0</v>
      </c>
      <c r="BC23" s="102">
        <v>1</v>
      </c>
      <c r="BD23" s="102">
        <v>1</v>
      </c>
      <c r="BE23" s="102">
        <v>0</v>
      </c>
      <c r="BF23" s="102">
        <v>0</v>
      </c>
      <c r="BG23" s="102">
        <v>0</v>
      </c>
      <c r="BH23" s="102">
        <v>0</v>
      </c>
      <c r="BI23" s="102">
        <v>3</v>
      </c>
      <c r="BJ23" s="102">
        <v>0</v>
      </c>
      <c r="BK23" s="102">
        <v>0</v>
      </c>
      <c r="BL23" s="102">
        <v>0</v>
      </c>
      <c r="BM23" s="102">
        <v>1</v>
      </c>
      <c r="BN23" s="102">
        <v>0</v>
      </c>
      <c r="BO23" s="102">
        <v>0</v>
      </c>
      <c r="BP23" s="102">
        <v>0</v>
      </c>
      <c r="BQ23" s="102">
        <v>0</v>
      </c>
      <c r="BR23" s="102">
        <v>0</v>
      </c>
      <c r="BS23" s="102">
        <v>0</v>
      </c>
      <c r="BT23" s="102">
        <v>0</v>
      </c>
      <c r="BU23" s="102">
        <v>1</v>
      </c>
      <c r="BV23" s="102">
        <v>0</v>
      </c>
      <c r="BW23" s="102">
        <v>0</v>
      </c>
      <c r="BX23" s="102">
        <v>0</v>
      </c>
      <c r="BY23" s="102">
        <v>1</v>
      </c>
      <c r="BZ23" s="102">
        <v>0</v>
      </c>
      <c r="CA23" s="102">
        <v>0</v>
      </c>
      <c r="CB23" s="102">
        <v>0</v>
      </c>
      <c r="CC23" s="102" t="s">
        <v>853</v>
      </c>
      <c r="CD23" s="102"/>
      <c r="CE23" s="102">
        <v>0</v>
      </c>
      <c r="CF23" s="102">
        <v>0</v>
      </c>
      <c r="CG23" s="102">
        <v>0</v>
      </c>
      <c r="CH23" s="102">
        <v>0</v>
      </c>
      <c r="CI23" s="102">
        <v>0</v>
      </c>
      <c r="CJ23" s="102">
        <v>0</v>
      </c>
      <c r="CK23" s="102">
        <v>0</v>
      </c>
      <c r="CL23" s="102">
        <v>0</v>
      </c>
      <c r="CM23" s="102">
        <v>0</v>
      </c>
      <c r="CN23" s="102">
        <v>0</v>
      </c>
      <c r="CO23" s="102">
        <v>1</v>
      </c>
      <c r="CP23" s="102">
        <v>2</v>
      </c>
      <c r="CQ23" s="102">
        <v>0</v>
      </c>
      <c r="CR23" s="102">
        <v>0</v>
      </c>
      <c r="CS23" s="102">
        <v>1</v>
      </c>
      <c r="CT23" s="102" t="s">
        <v>1011</v>
      </c>
      <c r="CU23" s="102">
        <v>1</v>
      </c>
      <c r="CV23" s="102">
        <v>2</v>
      </c>
      <c r="CW23" s="102">
        <v>1</v>
      </c>
      <c r="CX23" s="102">
        <v>0</v>
      </c>
      <c r="CY23" s="102" t="s">
        <v>954</v>
      </c>
      <c r="CZ23" s="102">
        <v>1</v>
      </c>
      <c r="DA23" s="102" t="s">
        <v>1012</v>
      </c>
      <c r="DB23" s="102">
        <v>0</v>
      </c>
      <c r="DC23" s="102">
        <v>0</v>
      </c>
      <c r="DD23" s="102">
        <v>0</v>
      </c>
      <c r="DE23" s="102">
        <v>0</v>
      </c>
      <c r="DF23" s="102">
        <v>0</v>
      </c>
      <c r="DG23" s="102">
        <v>0</v>
      </c>
      <c r="DH23" s="102">
        <v>0</v>
      </c>
      <c r="DI23" s="102">
        <v>0</v>
      </c>
      <c r="DJ23" s="102">
        <v>0</v>
      </c>
      <c r="DK23" s="102">
        <v>0</v>
      </c>
      <c r="DL23" s="102">
        <v>0</v>
      </c>
      <c r="DM23" s="102">
        <v>0</v>
      </c>
      <c r="DN23" s="102">
        <v>1</v>
      </c>
      <c r="DO23" s="102">
        <v>0</v>
      </c>
      <c r="DP23" s="102">
        <v>0</v>
      </c>
      <c r="DQ23" s="102">
        <v>2</v>
      </c>
      <c r="DR23" s="102">
        <v>0</v>
      </c>
      <c r="DS23" s="102" t="s">
        <v>853</v>
      </c>
      <c r="DT23" s="105" t="s">
        <v>853</v>
      </c>
      <c r="DU23" s="102" t="s">
        <v>853</v>
      </c>
      <c r="DV23" s="102">
        <v>0</v>
      </c>
      <c r="DW23" s="102">
        <v>0</v>
      </c>
      <c r="DX23" s="102" t="s">
        <v>853</v>
      </c>
      <c r="DY23" s="102">
        <v>0</v>
      </c>
      <c r="DZ23" s="102">
        <v>0</v>
      </c>
      <c r="EA23" s="102" t="s">
        <v>853</v>
      </c>
      <c r="EB23" s="102">
        <v>0</v>
      </c>
      <c r="EC23" s="102">
        <v>0</v>
      </c>
      <c r="ED23" s="102">
        <v>0</v>
      </c>
      <c r="EE23" s="102">
        <v>0</v>
      </c>
      <c r="EF23" s="102">
        <v>1</v>
      </c>
      <c r="EG23" s="102">
        <v>0</v>
      </c>
      <c r="EH23" s="102" t="s">
        <v>853</v>
      </c>
      <c r="EI23" s="102">
        <v>2</v>
      </c>
      <c r="EJ23" s="102">
        <v>1</v>
      </c>
      <c r="EK23" s="102">
        <v>1</v>
      </c>
      <c r="EL23" s="102">
        <v>2</v>
      </c>
      <c r="EM23" s="102"/>
    </row>
    <row r="24" spans="1:143" ht="15.75" customHeight="1" x14ac:dyDescent="0.55000000000000004">
      <c r="A24" s="99">
        <v>22</v>
      </c>
      <c r="B24" s="102" t="s">
        <v>1013</v>
      </c>
      <c r="C24" s="102" t="s">
        <v>1014</v>
      </c>
      <c r="D24" s="103">
        <v>30172</v>
      </c>
      <c r="E24" s="102" t="s">
        <v>846</v>
      </c>
      <c r="F24" s="102">
        <v>9</v>
      </c>
      <c r="G24" s="102">
        <v>8</v>
      </c>
      <c r="H24" s="102">
        <v>1982</v>
      </c>
      <c r="I24" s="102" t="s">
        <v>1015</v>
      </c>
      <c r="J24" s="102" t="s">
        <v>1016</v>
      </c>
      <c r="K24" s="102" t="s">
        <v>849</v>
      </c>
      <c r="L24" s="102">
        <v>43</v>
      </c>
      <c r="M24" s="102">
        <v>0</v>
      </c>
      <c r="N24" s="102">
        <v>1</v>
      </c>
      <c r="O24" s="106">
        <v>9</v>
      </c>
      <c r="P24" s="102">
        <v>1</v>
      </c>
      <c r="Q24" s="104">
        <v>1</v>
      </c>
      <c r="R24" s="102">
        <v>1</v>
      </c>
      <c r="S24" s="102">
        <v>8</v>
      </c>
      <c r="T24" s="102">
        <v>0</v>
      </c>
      <c r="U24" s="102">
        <v>0</v>
      </c>
      <c r="V24" s="102">
        <v>6</v>
      </c>
      <c r="W24" s="102">
        <v>4</v>
      </c>
      <c r="X24" s="102">
        <v>0</v>
      </c>
      <c r="Y24" s="102">
        <v>0</v>
      </c>
      <c r="Z24" s="102">
        <v>0</v>
      </c>
      <c r="AA24" s="102">
        <v>46</v>
      </c>
      <c r="AB24" s="102">
        <v>0</v>
      </c>
      <c r="AC24" s="102">
        <v>1</v>
      </c>
      <c r="AD24" s="102">
        <v>0</v>
      </c>
      <c r="AE24" s="102">
        <v>0</v>
      </c>
      <c r="AF24" s="102"/>
      <c r="AG24" s="102"/>
      <c r="AH24" s="102"/>
      <c r="AI24" s="102"/>
      <c r="AJ24" s="102">
        <v>2</v>
      </c>
      <c r="AK24" s="102">
        <v>2</v>
      </c>
      <c r="AL24" s="102">
        <v>1</v>
      </c>
      <c r="AM24" s="102">
        <v>1</v>
      </c>
      <c r="AN24" s="102">
        <v>3</v>
      </c>
      <c r="AO24" s="102">
        <v>1</v>
      </c>
      <c r="AP24" s="102">
        <v>1</v>
      </c>
      <c r="AQ24" s="102">
        <v>0</v>
      </c>
      <c r="AR24" s="102">
        <v>0</v>
      </c>
      <c r="AS24" s="102" t="s">
        <v>853</v>
      </c>
      <c r="AT24" s="102"/>
      <c r="AU24" s="102"/>
      <c r="AV24" s="102">
        <v>0</v>
      </c>
      <c r="AW24" s="102">
        <v>0</v>
      </c>
      <c r="AX24" s="102">
        <v>0</v>
      </c>
      <c r="AY24" s="102">
        <v>0</v>
      </c>
      <c r="AZ24" s="102">
        <v>0</v>
      </c>
      <c r="BA24" s="102">
        <v>0</v>
      </c>
      <c r="BB24" s="102">
        <v>0</v>
      </c>
      <c r="BC24" s="102">
        <v>0</v>
      </c>
      <c r="BD24" s="102">
        <v>0</v>
      </c>
      <c r="BE24" s="102">
        <v>0</v>
      </c>
      <c r="BF24" s="102">
        <v>0</v>
      </c>
      <c r="BG24" s="102">
        <v>0</v>
      </c>
      <c r="BH24" s="102">
        <v>0</v>
      </c>
      <c r="BI24" s="102">
        <v>3</v>
      </c>
      <c r="BJ24" s="102">
        <v>0</v>
      </c>
      <c r="BK24" s="102">
        <v>0</v>
      </c>
      <c r="BL24" s="102">
        <v>0</v>
      </c>
      <c r="BM24" s="102">
        <v>0</v>
      </c>
      <c r="BN24" s="102">
        <v>0</v>
      </c>
      <c r="BO24" s="102">
        <v>0</v>
      </c>
      <c r="BP24" s="102">
        <v>0</v>
      </c>
      <c r="BQ24" s="102">
        <v>0</v>
      </c>
      <c r="BR24" s="102">
        <v>0</v>
      </c>
      <c r="BS24" s="102">
        <v>0</v>
      </c>
      <c r="BT24" s="102">
        <v>0</v>
      </c>
      <c r="BU24" s="102"/>
      <c r="BV24" s="102">
        <v>0</v>
      </c>
      <c r="BW24" s="102">
        <v>0</v>
      </c>
      <c r="BX24" s="102">
        <v>0</v>
      </c>
      <c r="BY24" s="102">
        <v>0</v>
      </c>
      <c r="BZ24" s="102">
        <v>0</v>
      </c>
      <c r="CA24" s="102" t="s">
        <v>937</v>
      </c>
      <c r="CB24" s="102">
        <v>1</v>
      </c>
      <c r="CC24" s="102">
        <v>1</v>
      </c>
      <c r="CD24" s="102" t="s">
        <v>1017</v>
      </c>
      <c r="CE24" s="102">
        <v>0</v>
      </c>
      <c r="CF24" s="102">
        <v>0</v>
      </c>
      <c r="CG24" s="102">
        <v>0</v>
      </c>
      <c r="CH24" s="102">
        <v>0</v>
      </c>
      <c r="CI24" s="102">
        <v>1</v>
      </c>
      <c r="CJ24" s="102">
        <v>0</v>
      </c>
      <c r="CK24" s="102">
        <v>0</v>
      </c>
      <c r="CL24" s="102">
        <v>0</v>
      </c>
      <c r="CM24" s="102">
        <v>0</v>
      </c>
      <c r="CN24" s="102">
        <v>0</v>
      </c>
      <c r="CO24" s="102">
        <v>0</v>
      </c>
      <c r="CP24" s="102">
        <v>0</v>
      </c>
      <c r="CQ24" s="102">
        <v>0</v>
      </c>
      <c r="CR24" s="102">
        <v>0</v>
      </c>
      <c r="CS24" s="102">
        <v>0</v>
      </c>
      <c r="CT24" s="102" t="s">
        <v>853</v>
      </c>
      <c r="CU24" s="102">
        <v>0</v>
      </c>
      <c r="CV24" s="102">
        <v>0</v>
      </c>
      <c r="CW24" s="102">
        <v>0</v>
      </c>
      <c r="CX24" s="102">
        <v>0</v>
      </c>
      <c r="CY24" s="102">
        <v>0</v>
      </c>
      <c r="CZ24" s="102">
        <v>0</v>
      </c>
      <c r="DA24" s="102" t="s">
        <v>853</v>
      </c>
      <c r="DB24" s="102">
        <v>0</v>
      </c>
      <c r="DC24" s="102">
        <v>0</v>
      </c>
      <c r="DD24" s="102">
        <v>0</v>
      </c>
      <c r="DE24" s="102">
        <v>0</v>
      </c>
      <c r="DF24" s="102">
        <v>0</v>
      </c>
      <c r="DG24" s="102">
        <v>0</v>
      </c>
      <c r="DH24" s="102">
        <v>1</v>
      </c>
      <c r="DI24" s="102">
        <v>1</v>
      </c>
      <c r="DJ24" s="102">
        <v>0</v>
      </c>
      <c r="DK24" s="102">
        <v>0</v>
      </c>
      <c r="DL24" s="102">
        <v>0</v>
      </c>
      <c r="DM24" s="102">
        <v>0</v>
      </c>
      <c r="DN24" s="102">
        <v>0</v>
      </c>
      <c r="DO24" s="102">
        <v>0</v>
      </c>
      <c r="DP24" s="102">
        <v>0</v>
      </c>
      <c r="DQ24" s="102">
        <v>2</v>
      </c>
      <c r="DR24" s="102">
        <v>0</v>
      </c>
      <c r="DS24" s="102" t="s">
        <v>853</v>
      </c>
      <c r="DT24" s="105" t="s">
        <v>853</v>
      </c>
      <c r="DU24" s="102" t="s">
        <v>853</v>
      </c>
      <c r="DV24" s="102">
        <v>0</v>
      </c>
      <c r="DW24" s="102">
        <v>0</v>
      </c>
      <c r="DX24" s="102" t="s">
        <v>853</v>
      </c>
      <c r="DY24" s="102">
        <v>0</v>
      </c>
      <c r="DZ24" s="102">
        <v>0</v>
      </c>
      <c r="EA24" s="102" t="s">
        <v>853</v>
      </c>
      <c r="EB24" s="102">
        <v>0</v>
      </c>
      <c r="EC24" s="102">
        <v>0</v>
      </c>
      <c r="ED24" s="102">
        <v>0</v>
      </c>
      <c r="EE24" s="102">
        <v>0</v>
      </c>
      <c r="EF24" s="102">
        <v>3</v>
      </c>
      <c r="EG24" s="102">
        <v>0</v>
      </c>
      <c r="EH24" s="102" t="s">
        <v>853</v>
      </c>
      <c r="EI24" s="102">
        <v>1</v>
      </c>
      <c r="EJ24" s="102">
        <v>0</v>
      </c>
      <c r="EK24" s="102">
        <v>2</v>
      </c>
      <c r="EL24" s="102">
        <v>0</v>
      </c>
      <c r="EM24" s="102"/>
    </row>
    <row r="25" spans="1:143" ht="15.75" customHeight="1" x14ac:dyDescent="0.55000000000000004">
      <c r="A25" s="99">
        <v>23</v>
      </c>
      <c r="B25" s="102" t="s">
        <v>1018</v>
      </c>
      <c r="C25" s="102" t="s">
        <v>1019</v>
      </c>
      <c r="D25" s="103">
        <v>30183</v>
      </c>
      <c r="E25" s="102" t="s">
        <v>959</v>
      </c>
      <c r="F25" s="102">
        <v>20</v>
      </c>
      <c r="G25" s="102">
        <v>8</v>
      </c>
      <c r="H25" s="102">
        <v>1982</v>
      </c>
      <c r="I25" s="102" t="s">
        <v>1020</v>
      </c>
      <c r="J25" s="102" t="s">
        <v>1021</v>
      </c>
      <c r="K25" s="102" t="s">
        <v>1022</v>
      </c>
      <c r="L25" s="102">
        <v>9</v>
      </c>
      <c r="M25" s="102">
        <v>0</v>
      </c>
      <c r="N25" s="102">
        <v>0</v>
      </c>
      <c r="O25" s="102">
        <v>4</v>
      </c>
      <c r="P25" s="102">
        <v>0</v>
      </c>
      <c r="Q25" s="104">
        <v>0</v>
      </c>
      <c r="R25" s="102">
        <v>0</v>
      </c>
      <c r="S25" s="102" t="s">
        <v>853</v>
      </c>
      <c r="T25" s="102">
        <v>1</v>
      </c>
      <c r="U25" s="102">
        <v>2</v>
      </c>
      <c r="V25" s="102">
        <v>8</v>
      </c>
      <c r="W25" s="102">
        <v>3</v>
      </c>
      <c r="X25" s="102">
        <v>0</v>
      </c>
      <c r="Y25" s="102">
        <v>0</v>
      </c>
      <c r="Z25" s="102">
        <v>0</v>
      </c>
      <c r="AA25" s="102">
        <v>51</v>
      </c>
      <c r="AB25" s="102">
        <v>0</v>
      </c>
      <c r="AC25" s="102">
        <v>0</v>
      </c>
      <c r="AD25" s="102">
        <v>0</v>
      </c>
      <c r="AE25" s="102">
        <v>0</v>
      </c>
      <c r="AF25" s="102">
        <v>0</v>
      </c>
      <c r="AG25" s="102">
        <v>4</v>
      </c>
      <c r="AH25" s="102">
        <v>2</v>
      </c>
      <c r="AI25" s="102" t="s">
        <v>1023</v>
      </c>
      <c r="AJ25" s="102"/>
      <c r="AK25" s="102"/>
      <c r="AL25" s="102"/>
      <c r="AM25" s="102"/>
      <c r="AN25" s="102">
        <v>3</v>
      </c>
      <c r="AO25" s="102">
        <v>1</v>
      </c>
      <c r="AP25" s="102">
        <v>0</v>
      </c>
      <c r="AQ25" s="102">
        <v>1</v>
      </c>
      <c r="AR25" s="102">
        <v>1</v>
      </c>
      <c r="AS25" s="102">
        <v>1</v>
      </c>
      <c r="AT25" s="102">
        <v>0</v>
      </c>
      <c r="AU25" s="102"/>
      <c r="AV25" s="102">
        <v>0</v>
      </c>
      <c r="AW25" s="102">
        <v>0</v>
      </c>
      <c r="AX25" s="102">
        <v>0</v>
      </c>
      <c r="AY25" s="102">
        <v>0</v>
      </c>
      <c r="AZ25" s="102">
        <v>0</v>
      </c>
      <c r="BA25" s="102">
        <v>0</v>
      </c>
      <c r="BB25" s="102">
        <v>0</v>
      </c>
      <c r="BC25" s="102">
        <v>1</v>
      </c>
      <c r="BD25" s="102">
        <v>3</v>
      </c>
      <c r="BE25" s="102">
        <v>0</v>
      </c>
      <c r="BF25" s="102">
        <v>0</v>
      </c>
      <c r="BG25" s="102">
        <v>0</v>
      </c>
      <c r="BH25" s="102">
        <v>0</v>
      </c>
      <c r="BI25" s="102">
        <v>3</v>
      </c>
      <c r="BJ25" s="102">
        <v>0</v>
      </c>
      <c r="BK25" s="102">
        <v>0</v>
      </c>
      <c r="BL25" s="102">
        <v>0</v>
      </c>
      <c r="BM25" s="102">
        <v>0</v>
      </c>
      <c r="BN25" s="102">
        <v>0</v>
      </c>
      <c r="BO25" s="102">
        <v>0</v>
      </c>
      <c r="BP25" s="102">
        <v>0</v>
      </c>
      <c r="BQ25" s="102">
        <v>0</v>
      </c>
      <c r="BR25" s="102">
        <v>0</v>
      </c>
      <c r="BS25" s="102">
        <v>0</v>
      </c>
      <c r="BT25" s="102">
        <v>0</v>
      </c>
      <c r="BU25" s="102"/>
      <c r="BV25" s="102">
        <v>0</v>
      </c>
      <c r="BW25" s="102">
        <v>0</v>
      </c>
      <c r="BX25" s="102">
        <v>0</v>
      </c>
      <c r="BY25" s="102">
        <v>0</v>
      </c>
      <c r="BZ25" s="102">
        <v>0</v>
      </c>
      <c r="CA25" s="102" t="s">
        <v>937</v>
      </c>
      <c r="CB25" s="102">
        <v>1</v>
      </c>
      <c r="CC25" s="102">
        <v>3</v>
      </c>
      <c r="CD25" s="102" t="s">
        <v>1024</v>
      </c>
      <c r="CE25" s="102">
        <v>1</v>
      </c>
      <c r="CF25" s="102">
        <v>0</v>
      </c>
      <c r="CG25" s="102">
        <v>0</v>
      </c>
      <c r="CH25" s="102">
        <v>1</v>
      </c>
      <c r="CI25" s="102">
        <v>1</v>
      </c>
      <c r="CJ25" s="102">
        <v>1</v>
      </c>
      <c r="CK25" s="102">
        <v>1</v>
      </c>
      <c r="CL25" s="102">
        <v>1</v>
      </c>
      <c r="CM25" s="102">
        <v>1</v>
      </c>
      <c r="CN25" s="102">
        <v>0</v>
      </c>
      <c r="CO25" s="102">
        <v>0</v>
      </c>
      <c r="CP25" s="102">
        <v>0</v>
      </c>
      <c r="CQ25" s="102">
        <v>1</v>
      </c>
      <c r="CR25" s="102">
        <v>2</v>
      </c>
      <c r="CS25" s="102">
        <v>0</v>
      </c>
      <c r="CT25" s="102" t="s">
        <v>853</v>
      </c>
      <c r="CU25" s="102">
        <v>0</v>
      </c>
      <c r="CV25" s="102">
        <v>2</v>
      </c>
      <c r="CW25" s="102">
        <v>0</v>
      </c>
      <c r="CX25" s="102">
        <v>0</v>
      </c>
      <c r="CY25" s="102">
        <v>1</v>
      </c>
      <c r="CZ25" s="102">
        <v>0</v>
      </c>
      <c r="DA25" s="102" t="s">
        <v>853</v>
      </c>
      <c r="DB25" s="102">
        <v>0</v>
      </c>
      <c r="DC25" s="102">
        <v>1</v>
      </c>
      <c r="DD25" s="102">
        <v>0</v>
      </c>
      <c r="DE25" s="102">
        <v>0</v>
      </c>
      <c r="DF25" s="102">
        <v>0</v>
      </c>
      <c r="DG25" s="102">
        <v>0</v>
      </c>
      <c r="DH25" s="102">
        <v>0</v>
      </c>
      <c r="DI25" s="102">
        <v>0</v>
      </c>
      <c r="DJ25" s="102">
        <v>0</v>
      </c>
      <c r="DK25" s="102">
        <v>0</v>
      </c>
      <c r="DL25" s="102">
        <v>1</v>
      </c>
      <c r="DM25" s="102">
        <v>0</v>
      </c>
      <c r="DN25" s="102">
        <v>0</v>
      </c>
      <c r="DO25" s="102">
        <v>0</v>
      </c>
      <c r="DP25" s="102">
        <v>2</v>
      </c>
      <c r="DQ25" s="102">
        <v>2</v>
      </c>
      <c r="DR25" s="102">
        <v>1</v>
      </c>
      <c r="DS25" s="102">
        <v>0</v>
      </c>
      <c r="DT25" s="105" t="s">
        <v>1025</v>
      </c>
      <c r="DU25" s="102">
        <v>1</v>
      </c>
      <c r="DV25" s="102">
        <v>0</v>
      </c>
      <c r="DW25" s="102">
        <v>0</v>
      </c>
      <c r="DX25" s="102" t="s">
        <v>853</v>
      </c>
      <c r="DY25" s="102">
        <v>1</v>
      </c>
      <c r="DZ25" s="102">
        <v>0</v>
      </c>
      <c r="EA25" s="102" t="s">
        <v>853</v>
      </c>
      <c r="EB25" s="102">
        <v>0</v>
      </c>
      <c r="EC25" s="102">
        <v>0</v>
      </c>
      <c r="ED25" s="102">
        <v>0</v>
      </c>
      <c r="EE25" s="102">
        <v>3</v>
      </c>
      <c r="EF25" s="102">
        <v>1</v>
      </c>
      <c r="EG25" s="102">
        <v>0</v>
      </c>
      <c r="EH25" s="102" t="s">
        <v>853</v>
      </c>
      <c r="EI25" s="102">
        <v>1</v>
      </c>
      <c r="EJ25" s="102">
        <v>0</v>
      </c>
      <c r="EK25" s="102">
        <v>2</v>
      </c>
      <c r="EL25" s="102">
        <v>0</v>
      </c>
      <c r="EM25" s="102"/>
    </row>
    <row r="26" spans="1:143" ht="15.75" customHeight="1" x14ac:dyDescent="0.55000000000000004">
      <c r="A26" s="99">
        <v>24</v>
      </c>
      <c r="B26" s="102" t="s">
        <v>1026</v>
      </c>
      <c r="C26" s="102" t="s">
        <v>1027</v>
      </c>
      <c r="D26" s="103">
        <v>30350</v>
      </c>
      <c r="E26" s="102" t="s">
        <v>995</v>
      </c>
      <c r="F26" s="102">
        <v>3</v>
      </c>
      <c r="G26" s="102">
        <v>2</v>
      </c>
      <c r="H26" s="102">
        <v>1983</v>
      </c>
      <c r="I26" s="102" t="s">
        <v>1028</v>
      </c>
      <c r="J26" s="102" t="s">
        <v>1029</v>
      </c>
      <c r="K26" s="102" t="s">
        <v>894</v>
      </c>
      <c r="L26" s="102">
        <v>32</v>
      </c>
      <c r="M26" s="102">
        <v>2</v>
      </c>
      <c r="N26" s="102">
        <v>0</v>
      </c>
      <c r="O26" s="102">
        <v>7</v>
      </c>
      <c r="P26" s="102">
        <v>1</v>
      </c>
      <c r="Q26" s="104">
        <v>1</v>
      </c>
      <c r="R26" s="102">
        <v>1</v>
      </c>
      <c r="S26" s="106">
        <v>4</v>
      </c>
      <c r="T26" s="102">
        <v>0</v>
      </c>
      <c r="U26" s="102">
        <v>0</v>
      </c>
      <c r="V26" s="102">
        <v>4</v>
      </c>
      <c r="W26" s="102">
        <v>1</v>
      </c>
      <c r="X26" s="102">
        <v>0</v>
      </c>
      <c r="Y26" s="102">
        <v>1</v>
      </c>
      <c r="Z26" s="102">
        <v>0</v>
      </c>
      <c r="AA26" s="102">
        <v>41</v>
      </c>
      <c r="AB26" s="102">
        <v>0</v>
      </c>
      <c r="AC26" s="102"/>
      <c r="AD26" s="102">
        <v>0</v>
      </c>
      <c r="AE26" s="102">
        <v>0</v>
      </c>
      <c r="AF26" s="102"/>
      <c r="AG26" s="102"/>
      <c r="AH26" s="102"/>
      <c r="AI26" s="102"/>
      <c r="AJ26" s="102"/>
      <c r="AK26" s="102"/>
      <c r="AL26" s="102"/>
      <c r="AM26" s="102"/>
      <c r="AN26" s="102">
        <v>0</v>
      </c>
      <c r="AO26" s="102"/>
      <c r="AP26" s="102">
        <v>1</v>
      </c>
      <c r="AQ26" s="102">
        <v>0</v>
      </c>
      <c r="AR26" s="102">
        <v>0</v>
      </c>
      <c r="AS26" s="102" t="s">
        <v>853</v>
      </c>
      <c r="AT26" s="102"/>
      <c r="AU26" s="102"/>
      <c r="AV26" s="102">
        <v>0</v>
      </c>
      <c r="AW26" s="102">
        <v>0</v>
      </c>
      <c r="AX26" s="102">
        <v>0</v>
      </c>
      <c r="AY26" s="102">
        <v>0</v>
      </c>
      <c r="AZ26" s="102">
        <v>0</v>
      </c>
      <c r="BA26" s="102">
        <v>1</v>
      </c>
      <c r="BB26" s="102">
        <v>0</v>
      </c>
      <c r="BC26" s="102">
        <v>1</v>
      </c>
      <c r="BD26" s="102">
        <v>3</v>
      </c>
      <c r="BE26" s="102">
        <v>0</v>
      </c>
      <c r="BF26" s="102">
        <v>0</v>
      </c>
      <c r="BG26" s="102">
        <v>0</v>
      </c>
      <c r="BH26" s="102">
        <v>0</v>
      </c>
      <c r="BI26" s="102">
        <v>3</v>
      </c>
      <c r="BJ26" s="102">
        <v>1</v>
      </c>
      <c r="BK26" s="102">
        <v>0</v>
      </c>
      <c r="BL26" s="102">
        <v>0</v>
      </c>
      <c r="BM26" s="102">
        <v>0</v>
      </c>
      <c r="BN26" s="102">
        <v>0</v>
      </c>
      <c r="BO26" s="102">
        <v>0</v>
      </c>
      <c r="BP26" s="102">
        <v>0</v>
      </c>
      <c r="BQ26" s="102">
        <v>0</v>
      </c>
      <c r="BR26" s="102">
        <v>0</v>
      </c>
      <c r="BS26" s="102">
        <v>0</v>
      </c>
      <c r="BT26" s="102">
        <v>0</v>
      </c>
      <c r="BU26" s="102"/>
      <c r="BV26" s="102">
        <v>0</v>
      </c>
      <c r="BW26" s="102">
        <v>0</v>
      </c>
      <c r="BX26" s="102">
        <v>0</v>
      </c>
      <c r="BY26" s="102">
        <v>0</v>
      </c>
      <c r="BZ26" s="102">
        <v>0</v>
      </c>
      <c r="CA26" s="102">
        <v>2</v>
      </c>
      <c r="CB26" s="102">
        <v>0</v>
      </c>
      <c r="CC26" s="102" t="s">
        <v>853</v>
      </c>
      <c r="CD26" s="102"/>
      <c r="CE26" s="102">
        <v>0</v>
      </c>
      <c r="CF26" s="102">
        <v>0</v>
      </c>
      <c r="CG26" s="102">
        <v>0</v>
      </c>
      <c r="CH26" s="102">
        <v>0</v>
      </c>
      <c r="CI26" s="102">
        <v>1</v>
      </c>
      <c r="CJ26" s="102">
        <v>1</v>
      </c>
      <c r="CK26" s="102">
        <v>0</v>
      </c>
      <c r="CL26" s="102">
        <v>0</v>
      </c>
      <c r="CM26" s="102">
        <v>0</v>
      </c>
      <c r="CN26" s="102">
        <v>0</v>
      </c>
      <c r="CO26" s="102">
        <v>0</v>
      </c>
      <c r="CP26" s="102">
        <v>0</v>
      </c>
      <c r="CQ26" s="102">
        <v>0</v>
      </c>
      <c r="CR26" s="102">
        <v>0</v>
      </c>
      <c r="CS26" s="102">
        <v>0</v>
      </c>
      <c r="CT26" s="102" t="s">
        <v>853</v>
      </c>
      <c r="CU26" s="102">
        <v>0</v>
      </c>
      <c r="CV26" s="102">
        <v>4</v>
      </c>
      <c r="CW26" s="102">
        <v>0</v>
      </c>
      <c r="CX26" s="102">
        <v>0</v>
      </c>
      <c r="CY26" s="102">
        <v>0</v>
      </c>
      <c r="CZ26" s="102">
        <v>0</v>
      </c>
      <c r="DA26" s="102" t="s">
        <v>853</v>
      </c>
      <c r="DB26" s="102">
        <v>0</v>
      </c>
      <c r="DC26" s="102">
        <v>0</v>
      </c>
      <c r="DD26" s="102">
        <v>0</v>
      </c>
      <c r="DE26" s="102">
        <v>0</v>
      </c>
      <c r="DF26" s="102">
        <v>0</v>
      </c>
      <c r="DG26" s="102">
        <v>0</v>
      </c>
      <c r="DH26" s="102">
        <v>1</v>
      </c>
      <c r="DI26" s="102">
        <v>0</v>
      </c>
      <c r="DJ26" s="102">
        <v>0</v>
      </c>
      <c r="DK26" s="102">
        <v>0</v>
      </c>
      <c r="DL26" s="102">
        <v>0</v>
      </c>
      <c r="DM26" s="102">
        <v>0</v>
      </c>
      <c r="DN26" s="102">
        <v>0</v>
      </c>
      <c r="DO26" s="102">
        <v>1</v>
      </c>
      <c r="DP26" s="102">
        <v>0</v>
      </c>
      <c r="DQ26" s="102">
        <v>2</v>
      </c>
      <c r="DR26" s="102">
        <v>0</v>
      </c>
      <c r="DS26" s="102" t="s">
        <v>853</v>
      </c>
      <c r="DT26" s="105" t="s">
        <v>853</v>
      </c>
      <c r="DU26" s="102" t="s">
        <v>853</v>
      </c>
      <c r="DV26" s="102">
        <v>0</v>
      </c>
      <c r="DW26" s="102">
        <v>0</v>
      </c>
      <c r="DX26" s="102" t="s">
        <v>853</v>
      </c>
      <c r="DY26" s="102">
        <v>0</v>
      </c>
      <c r="DZ26" s="102">
        <v>0</v>
      </c>
      <c r="EA26" s="102" t="s">
        <v>853</v>
      </c>
      <c r="EB26" s="102">
        <v>0</v>
      </c>
      <c r="EC26" s="102">
        <v>0</v>
      </c>
      <c r="ED26" s="102">
        <v>0</v>
      </c>
      <c r="EE26" s="102">
        <v>0</v>
      </c>
      <c r="EF26" s="102">
        <v>1</v>
      </c>
      <c r="EG26" s="102">
        <v>0</v>
      </c>
      <c r="EH26" s="102" t="s">
        <v>853</v>
      </c>
      <c r="EI26" s="102">
        <v>2</v>
      </c>
      <c r="EJ26" s="102">
        <v>0</v>
      </c>
      <c r="EK26" s="102">
        <v>0</v>
      </c>
      <c r="EL26" s="102">
        <v>3</v>
      </c>
      <c r="EM26" s="102"/>
    </row>
    <row r="27" spans="1:143" ht="15.75" customHeight="1" x14ac:dyDescent="0.55000000000000004">
      <c r="A27" s="99">
        <v>25</v>
      </c>
      <c r="B27" s="102" t="s">
        <v>1030</v>
      </c>
      <c r="C27" s="102" t="s">
        <v>1031</v>
      </c>
      <c r="D27" s="103">
        <v>30376</v>
      </c>
      <c r="E27" s="102" t="s">
        <v>1032</v>
      </c>
      <c r="F27" s="102">
        <v>1</v>
      </c>
      <c r="G27" s="102">
        <v>3</v>
      </c>
      <c r="H27" s="102">
        <v>1983</v>
      </c>
      <c r="I27" s="102" t="s">
        <v>1033</v>
      </c>
      <c r="J27" s="102" t="s">
        <v>1034</v>
      </c>
      <c r="K27" s="102" t="s">
        <v>1007</v>
      </c>
      <c r="L27" s="102">
        <v>2</v>
      </c>
      <c r="M27" s="102">
        <v>3</v>
      </c>
      <c r="N27" s="102">
        <v>2</v>
      </c>
      <c r="O27" s="102">
        <v>8</v>
      </c>
      <c r="P27" s="102">
        <v>0</v>
      </c>
      <c r="Q27" s="104">
        <v>0</v>
      </c>
      <c r="R27" s="102">
        <v>1</v>
      </c>
      <c r="S27" s="102">
        <v>7</v>
      </c>
      <c r="T27" s="102">
        <v>0</v>
      </c>
      <c r="U27" s="102">
        <v>0</v>
      </c>
      <c r="V27" s="102">
        <v>6</v>
      </c>
      <c r="W27" s="102">
        <v>2</v>
      </c>
      <c r="X27" s="102">
        <v>0</v>
      </c>
      <c r="Y27" s="102">
        <v>0</v>
      </c>
      <c r="Z27" s="102">
        <v>0</v>
      </c>
      <c r="AA27" s="102">
        <v>39</v>
      </c>
      <c r="AB27" s="102">
        <v>0</v>
      </c>
      <c r="AC27" s="102">
        <v>0</v>
      </c>
      <c r="AD27" s="102">
        <v>0</v>
      </c>
      <c r="AE27" s="102">
        <v>0</v>
      </c>
      <c r="AF27" s="102"/>
      <c r="AG27" s="102"/>
      <c r="AH27" s="102">
        <v>2</v>
      </c>
      <c r="AI27" s="102" t="s">
        <v>1035</v>
      </c>
      <c r="AJ27" s="102"/>
      <c r="AK27" s="102">
        <v>1</v>
      </c>
      <c r="AL27" s="102"/>
      <c r="AM27" s="102"/>
      <c r="AN27" s="102">
        <v>3</v>
      </c>
      <c r="AO27" s="102">
        <v>0</v>
      </c>
      <c r="AP27" s="102">
        <v>0</v>
      </c>
      <c r="AQ27" s="102">
        <v>2</v>
      </c>
      <c r="AR27" s="102">
        <v>1</v>
      </c>
      <c r="AS27" s="102">
        <v>2</v>
      </c>
      <c r="AT27" s="102">
        <v>3</v>
      </c>
      <c r="AU27" s="102" t="s">
        <v>1036</v>
      </c>
      <c r="AV27" s="102">
        <v>0</v>
      </c>
      <c r="AW27" s="102">
        <v>0</v>
      </c>
      <c r="AX27" s="102">
        <v>0</v>
      </c>
      <c r="AY27" s="102">
        <v>0</v>
      </c>
      <c r="AZ27" s="102">
        <v>0</v>
      </c>
      <c r="BA27" s="102">
        <v>0</v>
      </c>
      <c r="BB27" s="102">
        <v>0</v>
      </c>
      <c r="BC27" s="102">
        <v>0</v>
      </c>
      <c r="BD27" s="102">
        <v>0</v>
      </c>
      <c r="BE27" s="102">
        <v>0</v>
      </c>
      <c r="BF27" s="102">
        <v>0</v>
      </c>
      <c r="BG27" s="102">
        <v>0</v>
      </c>
      <c r="BH27" s="102">
        <v>0</v>
      </c>
      <c r="BI27" s="102">
        <v>3</v>
      </c>
      <c r="BJ27" s="102">
        <v>0</v>
      </c>
      <c r="BK27" s="102">
        <v>0</v>
      </c>
      <c r="BL27" s="102">
        <v>0</v>
      </c>
      <c r="BM27" s="102">
        <v>1</v>
      </c>
      <c r="BN27" s="102">
        <v>0</v>
      </c>
      <c r="BO27" s="102">
        <v>0</v>
      </c>
      <c r="BP27" s="102">
        <v>1</v>
      </c>
      <c r="BQ27" s="102">
        <v>0</v>
      </c>
      <c r="BR27" s="102">
        <v>0</v>
      </c>
      <c r="BS27" s="102">
        <v>1</v>
      </c>
      <c r="BT27" s="102">
        <v>0</v>
      </c>
      <c r="BU27" s="102">
        <v>0</v>
      </c>
      <c r="BV27" s="102">
        <v>0</v>
      </c>
      <c r="BW27" s="102">
        <v>0</v>
      </c>
      <c r="BX27" s="102">
        <v>0</v>
      </c>
      <c r="BY27" s="102">
        <v>0</v>
      </c>
      <c r="BZ27" s="102">
        <v>0</v>
      </c>
      <c r="CA27" s="102" t="s">
        <v>954</v>
      </c>
      <c r="CB27" s="102">
        <v>0</v>
      </c>
      <c r="CC27" s="102" t="s">
        <v>853</v>
      </c>
      <c r="CD27" s="102"/>
      <c r="CE27" s="102">
        <v>0</v>
      </c>
      <c r="CF27" s="102">
        <v>0</v>
      </c>
      <c r="CG27" s="102">
        <v>0</v>
      </c>
      <c r="CH27" s="102">
        <v>0</v>
      </c>
      <c r="CI27" s="102">
        <v>0</v>
      </c>
      <c r="CJ27" s="102">
        <v>0</v>
      </c>
      <c r="CK27" s="102">
        <v>0</v>
      </c>
      <c r="CL27" s="102">
        <v>0</v>
      </c>
      <c r="CM27" s="102">
        <v>0</v>
      </c>
      <c r="CN27" s="102">
        <v>1</v>
      </c>
      <c r="CO27" s="102">
        <v>0</v>
      </c>
      <c r="CP27" s="102">
        <v>0</v>
      </c>
      <c r="CQ27" s="102">
        <v>0</v>
      </c>
      <c r="CR27" s="102">
        <v>0</v>
      </c>
      <c r="CS27" s="102">
        <v>0</v>
      </c>
      <c r="CT27" s="102" t="s">
        <v>853</v>
      </c>
      <c r="CU27" s="102">
        <v>0</v>
      </c>
      <c r="CV27" s="102">
        <v>3</v>
      </c>
      <c r="CW27" s="102">
        <v>0</v>
      </c>
      <c r="CX27" s="102">
        <v>0</v>
      </c>
      <c r="CY27" s="102">
        <v>0</v>
      </c>
      <c r="CZ27" s="102">
        <v>1</v>
      </c>
      <c r="DA27" s="102" t="s">
        <v>1037</v>
      </c>
      <c r="DB27" s="102">
        <v>0</v>
      </c>
      <c r="DC27" s="102">
        <v>0</v>
      </c>
      <c r="DD27" s="102">
        <v>0</v>
      </c>
      <c r="DE27" s="102">
        <v>0</v>
      </c>
      <c r="DF27" s="102">
        <v>0</v>
      </c>
      <c r="DG27" s="102">
        <v>0</v>
      </c>
      <c r="DH27" s="102">
        <v>0</v>
      </c>
      <c r="DI27" s="102">
        <v>0</v>
      </c>
      <c r="DJ27" s="102">
        <v>0</v>
      </c>
      <c r="DK27" s="102">
        <v>0</v>
      </c>
      <c r="DL27" s="102">
        <v>0</v>
      </c>
      <c r="DM27" s="102">
        <v>0</v>
      </c>
      <c r="DN27" s="102">
        <v>1</v>
      </c>
      <c r="DO27" s="102">
        <v>0</v>
      </c>
      <c r="DP27" s="102">
        <v>0</v>
      </c>
      <c r="DQ27" s="102">
        <v>2</v>
      </c>
      <c r="DR27" s="102">
        <v>0</v>
      </c>
      <c r="DS27" s="102" t="s">
        <v>853</v>
      </c>
      <c r="DT27" s="105" t="s">
        <v>853</v>
      </c>
      <c r="DU27" s="102" t="s">
        <v>853</v>
      </c>
      <c r="DV27" s="102">
        <v>0</v>
      </c>
      <c r="DW27" s="102">
        <v>0</v>
      </c>
      <c r="DX27" s="102" t="s">
        <v>853</v>
      </c>
      <c r="DY27" s="102">
        <v>0</v>
      </c>
      <c r="DZ27" s="102">
        <v>0</v>
      </c>
      <c r="EA27" s="102" t="s">
        <v>853</v>
      </c>
      <c r="EB27" s="102">
        <v>1</v>
      </c>
      <c r="EC27" s="102">
        <v>0</v>
      </c>
      <c r="ED27" s="102">
        <v>1</v>
      </c>
      <c r="EE27" s="102">
        <v>3</v>
      </c>
      <c r="EF27" s="102">
        <v>3</v>
      </c>
      <c r="EG27" s="102">
        <v>1</v>
      </c>
      <c r="EH27" s="102" t="s">
        <v>1038</v>
      </c>
      <c r="EI27" s="102">
        <v>2</v>
      </c>
      <c r="EJ27" s="102">
        <v>1</v>
      </c>
      <c r="EK27" s="102">
        <v>1</v>
      </c>
      <c r="EL27" s="102">
        <v>2</v>
      </c>
      <c r="EM27" s="102"/>
    </row>
    <row r="28" spans="1:143" ht="15.75" customHeight="1" x14ac:dyDescent="0.55000000000000004">
      <c r="A28" s="99">
        <v>26</v>
      </c>
      <c r="B28" s="102" t="s">
        <v>1039</v>
      </c>
      <c r="C28" s="102" t="s">
        <v>1040</v>
      </c>
      <c r="D28" s="103">
        <v>30600</v>
      </c>
      <c r="E28" s="102" t="s">
        <v>1032</v>
      </c>
      <c r="F28" s="102">
        <v>11</v>
      </c>
      <c r="G28" s="102">
        <v>10</v>
      </c>
      <c r="H28" s="102">
        <v>1983</v>
      </c>
      <c r="I28" s="102" t="s">
        <v>1041</v>
      </c>
      <c r="J28" s="102" t="s">
        <v>1042</v>
      </c>
      <c r="K28" s="102" t="s">
        <v>849</v>
      </c>
      <c r="L28" s="102">
        <v>43</v>
      </c>
      <c r="M28" s="102">
        <v>0</v>
      </c>
      <c r="N28" s="102">
        <v>1</v>
      </c>
      <c r="O28" s="102">
        <v>7</v>
      </c>
      <c r="P28" s="102">
        <v>0</v>
      </c>
      <c r="Q28" s="104">
        <v>0</v>
      </c>
      <c r="R28" s="102">
        <v>1</v>
      </c>
      <c r="S28" s="102">
        <v>8</v>
      </c>
      <c r="T28" s="102">
        <v>0</v>
      </c>
      <c r="U28" s="102">
        <v>0</v>
      </c>
      <c r="V28" s="102">
        <v>6</v>
      </c>
      <c r="W28" s="102">
        <v>0</v>
      </c>
      <c r="X28" s="102">
        <v>1</v>
      </c>
      <c r="Y28" s="102">
        <v>0</v>
      </c>
      <c r="Z28" s="102">
        <v>1</v>
      </c>
      <c r="AA28" s="102">
        <v>24</v>
      </c>
      <c r="AB28" s="102">
        <v>0</v>
      </c>
      <c r="AC28" s="102">
        <v>2</v>
      </c>
      <c r="AD28" s="102">
        <v>0</v>
      </c>
      <c r="AE28" s="102">
        <v>0</v>
      </c>
      <c r="AF28" s="102">
        <v>1</v>
      </c>
      <c r="AG28" s="102">
        <v>0</v>
      </c>
      <c r="AH28" s="102">
        <v>0</v>
      </c>
      <c r="AI28" s="102" t="s">
        <v>1043</v>
      </c>
      <c r="AJ28" s="102"/>
      <c r="AK28" s="102">
        <v>10</v>
      </c>
      <c r="AL28" s="102"/>
      <c r="AM28" s="102"/>
      <c r="AN28" s="102">
        <v>3</v>
      </c>
      <c r="AO28" s="102">
        <v>1</v>
      </c>
      <c r="AP28" s="102">
        <v>0</v>
      </c>
      <c r="AQ28" s="102">
        <v>0</v>
      </c>
      <c r="AR28" s="102">
        <v>0</v>
      </c>
      <c r="AS28" s="102" t="s">
        <v>853</v>
      </c>
      <c r="AT28" s="102"/>
      <c r="AU28" s="102"/>
      <c r="AV28" s="102">
        <v>0</v>
      </c>
      <c r="AW28" s="102">
        <v>0</v>
      </c>
      <c r="AX28" s="102">
        <v>0</v>
      </c>
      <c r="AY28" s="102">
        <v>1</v>
      </c>
      <c r="AZ28" s="102">
        <v>0</v>
      </c>
      <c r="BA28" s="102">
        <v>0</v>
      </c>
      <c r="BB28" s="102">
        <v>0</v>
      </c>
      <c r="BC28" s="102">
        <v>0</v>
      </c>
      <c r="BD28" s="102">
        <v>0</v>
      </c>
      <c r="BE28" s="102">
        <v>0</v>
      </c>
      <c r="BF28" s="102">
        <v>0</v>
      </c>
      <c r="BG28" s="102">
        <v>0</v>
      </c>
      <c r="BH28" s="102">
        <v>0</v>
      </c>
      <c r="BI28" s="102">
        <v>3</v>
      </c>
      <c r="BJ28" s="102">
        <v>0</v>
      </c>
      <c r="BK28" s="102">
        <v>0</v>
      </c>
      <c r="BL28" s="102">
        <v>0</v>
      </c>
      <c r="BM28" s="102">
        <v>0</v>
      </c>
      <c r="BN28" s="102">
        <v>0</v>
      </c>
      <c r="BO28" s="102">
        <v>0</v>
      </c>
      <c r="BP28" s="102">
        <v>0</v>
      </c>
      <c r="BQ28" s="102">
        <v>0</v>
      </c>
      <c r="BR28" s="102">
        <v>0</v>
      </c>
      <c r="BS28" s="102">
        <v>0</v>
      </c>
      <c r="BT28" s="102">
        <v>0</v>
      </c>
      <c r="BU28" s="102">
        <v>0</v>
      </c>
      <c r="BV28" s="102">
        <v>0</v>
      </c>
      <c r="BW28" s="102">
        <v>0</v>
      </c>
      <c r="BX28" s="102">
        <v>0</v>
      </c>
      <c r="BY28" s="102">
        <v>0</v>
      </c>
      <c r="BZ28" s="102">
        <v>0</v>
      </c>
      <c r="CA28" s="102">
        <v>1</v>
      </c>
      <c r="CB28" s="102">
        <v>1</v>
      </c>
      <c r="CC28" s="102">
        <v>0</v>
      </c>
      <c r="CD28" s="102" t="s">
        <v>1044</v>
      </c>
      <c r="CE28" s="102">
        <v>0</v>
      </c>
      <c r="CF28" s="102">
        <v>1</v>
      </c>
      <c r="CG28" s="102">
        <v>0</v>
      </c>
      <c r="CH28" s="102">
        <v>0</v>
      </c>
      <c r="CI28" s="102">
        <v>1</v>
      </c>
      <c r="CJ28" s="102">
        <v>0</v>
      </c>
      <c r="CK28" s="102">
        <v>1</v>
      </c>
      <c r="CL28" s="102">
        <v>0</v>
      </c>
      <c r="CM28" s="102">
        <v>0</v>
      </c>
      <c r="CN28" s="102">
        <v>0</v>
      </c>
      <c r="CO28" s="102">
        <v>0</v>
      </c>
      <c r="CP28" s="102">
        <v>0</v>
      </c>
      <c r="CQ28" s="102">
        <v>0</v>
      </c>
      <c r="CR28" s="102">
        <v>0</v>
      </c>
      <c r="CS28" s="102">
        <v>0</v>
      </c>
      <c r="CT28" s="102" t="s">
        <v>853</v>
      </c>
      <c r="CU28" s="102">
        <v>0</v>
      </c>
      <c r="CV28" s="102">
        <v>0</v>
      </c>
      <c r="CW28" s="102">
        <v>0</v>
      </c>
      <c r="CX28" s="102">
        <v>0</v>
      </c>
      <c r="CY28" s="102">
        <v>1</v>
      </c>
      <c r="CZ28" s="102">
        <v>0</v>
      </c>
      <c r="DA28" s="102" t="s">
        <v>853</v>
      </c>
      <c r="DB28" s="102">
        <v>0</v>
      </c>
      <c r="DC28" s="102">
        <v>0</v>
      </c>
      <c r="DD28" s="102">
        <v>0</v>
      </c>
      <c r="DE28" s="102">
        <v>0</v>
      </c>
      <c r="DF28" s="102">
        <v>0</v>
      </c>
      <c r="DG28" s="102">
        <v>0</v>
      </c>
      <c r="DH28" s="102">
        <v>0</v>
      </c>
      <c r="DI28" s="102">
        <v>0</v>
      </c>
      <c r="DJ28" s="102">
        <v>0</v>
      </c>
      <c r="DK28" s="102">
        <v>1</v>
      </c>
      <c r="DL28" s="102">
        <v>0</v>
      </c>
      <c r="DM28" s="102">
        <v>0</v>
      </c>
      <c r="DN28" s="102">
        <v>0</v>
      </c>
      <c r="DO28" s="102">
        <v>1</v>
      </c>
      <c r="DP28" s="102">
        <v>0</v>
      </c>
      <c r="DQ28" s="102">
        <v>2</v>
      </c>
      <c r="DR28" s="102">
        <v>0</v>
      </c>
      <c r="DS28" s="102" t="s">
        <v>853</v>
      </c>
      <c r="DT28" s="105" t="s">
        <v>853</v>
      </c>
      <c r="DU28" s="102" t="s">
        <v>853</v>
      </c>
      <c r="DV28" s="102">
        <v>0</v>
      </c>
      <c r="DW28" s="102">
        <v>0</v>
      </c>
      <c r="DX28" s="102" t="s">
        <v>853</v>
      </c>
      <c r="DY28" s="102">
        <v>0</v>
      </c>
      <c r="DZ28" s="102">
        <v>0</v>
      </c>
      <c r="EA28" s="102" t="s">
        <v>853</v>
      </c>
      <c r="EB28" s="102">
        <v>0</v>
      </c>
      <c r="EC28" s="102">
        <v>0</v>
      </c>
      <c r="ED28" s="102">
        <v>0</v>
      </c>
      <c r="EE28" s="102">
        <v>0</v>
      </c>
      <c r="EF28" s="102">
        <v>3</v>
      </c>
      <c r="EG28" s="102">
        <v>0</v>
      </c>
      <c r="EH28" s="102" t="s">
        <v>853</v>
      </c>
      <c r="EI28" s="102">
        <v>2</v>
      </c>
      <c r="EJ28" s="102">
        <v>1</v>
      </c>
      <c r="EK28" s="102">
        <v>0</v>
      </c>
      <c r="EL28" s="102">
        <v>1</v>
      </c>
      <c r="EM28" s="102"/>
    </row>
    <row r="29" spans="1:143" ht="15.75" customHeight="1" x14ac:dyDescent="0.55000000000000004">
      <c r="A29" s="99">
        <v>27</v>
      </c>
      <c r="B29" s="102" t="s">
        <v>1045</v>
      </c>
      <c r="C29" s="102" t="s">
        <v>1046</v>
      </c>
      <c r="D29" s="103">
        <v>30819</v>
      </c>
      <c r="E29" s="102" t="s">
        <v>995</v>
      </c>
      <c r="F29" s="102">
        <v>17</v>
      </c>
      <c r="G29" s="102">
        <v>5</v>
      </c>
      <c r="H29" s="102">
        <v>1984</v>
      </c>
      <c r="I29" s="102" t="s">
        <v>1047</v>
      </c>
      <c r="J29" s="102" t="s">
        <v>1048</v>
      </c>
      <c r="K29" s="102" t="s">
        <v>1007</v>
      </c>
      <c r="L29" s="102">
        <v>2</v>
      </c>
      <c r="M29" s="102">
        <v>3</v>
      </c>
      <c r="N29" s="102">
        <v>2</v>
      </c>
      <c r="O29" s="102">
        <v>8</v>
      </c>
      <c r="P29" s="102">
        <v>0</v>
      </c>
      <c r="Q29" s="104">
        <v>0</v>
      </c>
      <c r="R29" s="102">
        <v>1</v>
      </c>
      <c r="S29" s="102">
        <v>8</v>
      </c>
      <c r="T29" s="102">
        <v>0</v>
      </c>
      <c r="U29" s="102">
        <v>0</v>
      </c>
      <c r="V29" s="102">
        <v>8</v>
      </c>
      <c r="W29" s="102">
        <v>1</v>
      </c>
      <c r="X29" s="102">
        <v>0</v>
      </c>
      <c r="Y29" s="102">
        <v>0</v>
      </c>
      <c r="Z29" s="102">
        <v>0</v>
      </c>
      <c r="AA29" s="102">
        <v>25</v>
      </c>
      <c r="AB29" s="102">
        <v>0</v>
      </c>
      <c r="AC29" s="102">
        <v>0</v>
      </c>
      <c r="AD29" s="102">
        <v>0</v>
      </c>
      <c r="AE29" s="102">
        <v>0</v>
      </c>
      <c r="AF29" s="102"/>
      <c r="AG29" s="102">
        <v>1</v>
      </c>
      <c r="AH29" s="102"/>
      <c r="AI29" s="102"/>
      <c r="AJ29" s="102"/>
      <c r="AK29" s="102">
        <v>2</v>
      </c>
      <c r="AL29" s="102"/>
      <c r="AM29" s="102"/>
      <c r="AN29" s="102">
        <v>0</v>
      </c>
      <c r="AO29" s="102">
        <v>0</v>
      </c>
      <c r="AP29" s="102">
        <v>0</v>
      </c>
      <c r="AQ29" s="102">
        <v>0</v>
      </c>
      <c r="AR29" s="102">
        <v>1</v>
      </c>
      <c r="AS29" s="102">
        <v>0</v>
      </c>
      <c r="AT29" s="102">
        <v>0</v>
      </c>
      <c r="AU29" s="102"/>
      <c r="AV29" s="102">
        <v>0</v>
      </c>
      <c r="AW29" s="102">
        <v>1</v>
      </c>
      <c r="AX29" s="102" t="s">
        <v>1049</v>
      </c>
      <c r="AY29" s="102" t="s">
        <v>1050</v>
      </c>
      <c r="AZ29" s="102">
        <v>4</v>
      </c>
      <c r="BA29" s="102">
        <v>0</v>
      </c>
      <c r="BB29" s="102">
        <v>0</v>
      </c>
      <c r="BC29" s="102">
        <v>0</v>
      </c>
      <c r="BD29" s="102">
        <v>0</v>
      </c>
      <c r="BE29" s="102">
        <v>0</v>
      </c>
      <c r="BF29" s="102">
        <v>0</v>
      </c>
      <c r="BG29" s="102">
        <v>0</v>
      </c>
      <c r="BH29" s="102">
        <v>0</v>
      </c>
      <c r="BI29" s="102">
        <v>3</v>
      </c>
      <c r="BJ29" s="102">
        <v>0</v>
      </c>
      <c r="BK29" s="102">
        <v>0</v>
      </c>
      <c r="BL29" s="102">
        <v>0</v>
      </c>
      <c r="BM29" s="102">
        <v>0</v>
      </c>
      <c r="BN29" s="102">
        <v>0</v>
      </c>
      <c r="BO29" s="102">
        <v>0</v>
      </c>
      <c r="BP29" s="102">
        <v>0</v>
      </c>
      <c r="BQ29" s="102">
        <v>0</v>
      </c>
      <c r="BR29" s="102">
        <v>0</v>
      </c>
      <c r="BS29" s="102">
        <v>0</v>
      </c>
      <c r="BT29" s="102">
        <v>0</v>
      </c>
      <c r="BU29" s="102">
        <v>1</v>
      </c>
      <c r="BV29" s="102">
        <v>0</v>
      </c>
      <c r="BW29" s="102">
        <v>0</v>
      </c>
      <c r="BX29" s="102">
        <v>0</v>
      </c>
      <c r="BY29" s="102">
        <v>0</v>
      </c>
      <c r="BZ29" s="102">
        <v>0</v>
      </c>
      <c r="CA29" s="102">
        <v>0</v>
      </c>
      <c r="CB29" s="102">
        <v>0</v>
      </c>
      <c r="CC29" s="102" t="s">
        <v>853</v>
      </c>
      <c r="CD29" s="102"/>
      <c r="CE29" s="102">
        <v>0</v>
      </c>
      <c r="CF29" s="102">
        <v>0</v>
      </c>
      <c r="CG29" s="102">
        <v>0</v>
      </c>
      <c r="CH29" s="102">
        <v>0</v>
      </c>
      <c r="CI29" s="102">
        <v>0</v>
      </c>
      <c r="CJ29" s="102">
        <v>0</v>
      </c>
      <c r="CK29" s="102">
        <v>0</v>
      </c>
      <c r="CL29" s="102">
        <v>0</v>
      </c>
      <c r="CM29" s="102">
        <v>0</v>
      </c>
      <c r="CN29" s="102">
        <v>0</v>
      </c>
      <c r="CO29" s="102">
        <v>0</v>
      </c>
      <c r="CP29" s="102">
        <v>0</v>
      </c>
      <c r="CQ29" s="102">
        <v>0</v>
      </c>
      <c r="CR29" s="102">
        <v>0</v>
      </c>
      <c r="CS29" s="102">
        <v>0</v>
      </c>
      <c r="CT29" s="102" t="s">
        <v>853</v>
      </c>
      <c r="CU29" s="102">
        <v>0</v>
      </c>
      <c r="CV29" s="102">
        <v>0</v>
      </c>
      <c r="CW29" s="102">
        <v>0</v>
      </c>
      <c r="CX29" s="102">
        <v>0</v>
      </c>
      <c r="CY29" s="102">
        <v>0</v>
      </c>
      <c r="CZ29" s="102">
        <v>0</v>
      </c>
      <c r="DA29" s="102" t="s">
        <v>853</v>
      </c>
      <c r="DB29" s="102">
        <v>0</v>
      </c>
      <c r="DC29" s="102">
        <v>0</v>
      </c>
      <c r="DD29" s="102">
        <v>0</v>
      </c>
      <c r="DE29" s="102">
        <v>0</v>
      </c>
      <c r="DF29" s="102">
        <v>0</v>
      </c>
      <c r="DG29" s="102">
        <v>0</v>
      </c>
      <c r="DH29" s="102">
        <v>0</v>
      </c>
      <c r="DI29" s="102">
        <v>0</v>
      </c>
      <c r="DJ29" s="102">
        <v>0</v>
      </c>
      <c r="DK29" s="102">
        <v>0</v>
      </c>
      <c r="DL29" s="102">
        <v>1</v>
      </c>
      <c r="DM29" s="102">
        <v>0</v>
      </c>
      <c r="DN29" s="102">
        <v>0</v>
      </c>
      <c r="DO29" s="102">
        <v>1</v>
      </c>
      <c r="DP29" s="102">
        <v>0</v>
      </c>
      <c r="DQ29" s="102">
        <v>2</v>
      </c>
      <c r="DR29" s="102">
        <v>0</v>
      </c>
      <c r="DS29" s="102" t="s">
        <v>853</v>
      </c>
      <c r="DT29" s="105" t="s">
        <v>853</v>
      </c>
      <c r="DU29" s="102" t="s">
        <v>853</v>
      </c>
      <c r="DV29" s="102">
        <v>0</v>
      </c>
      <c r="DW29" s="102">
        <v>0</v>
      </c>
      <c r="DX29" s="102" t="s">
        <v>853</v>
      </c>
      <c r="DY29" s="102">
        <v>0</v>
      </c>
      <c r="DZ29" s="102">
        <v>0</v>
      </c>
      <c r="EA29" s="102" t="s">
        <v>853</v>
      </c>
      <c r="EB29" s="102">
        <v>0</v>
      </c>
      <c r="EC29" s="102">
        <v>0</v>
      </c>
      <c r="ED29" s="102">
        <v>1</v>
      </c>
      <c r="EE29" s="102">
        <v>3</v>
      </c>
      <c r="EF29" s="102">
        <v>1</v>
      </c>
      <c r="EG29" s="102">
        <v>0</v>
      </c>
      <c r="EH29" s="102" t="s">
        <v>853</v>
      </c>
      <c r="EI29" s="102">
        <v>1</v>
      </c>
      <c r="EJ29" s="102">
        <v>0</v>
      </c>
      <c r="EK29" s="102">
        <v>2</v>
      </c>
      <c r="EL29" s="102">
        <v>0</v>
      </c>
      <c r="EM29" s="102"/>
    </row>
    <row r="30" spans="1:143" ht="15.75" customHeight="1" x14ac:dyDescent="0.55000000000000004">
      <c r="A30" s="99">
        <v>28</v>
      </c>
      <c r="B30" s="102" t="s">
        <v>1051</v>
      </c>
      <c r="C30" s="102" t="s">
        <v>1052</v>
      </c>
      <c r="D30" s="103">
        <v>30862</v>
      </c>
      <c r="E30" s="102" t="s">
        <v>959</v>
      </c>
      <c r="F30" s="102">
        <v>29</v>
      </c>
      <c r="G30" s="102">
        <v>6</v>
      </c>
      <c r="H30" s="102">
        <v>1984</v>
      </c>
      <c r="I30" s="102" t="s">
        <v>1053</v>
      </c>
      <c r="J30" s="102" t="s">
        <v>1054</v>
      </c>
      <c r="K30" s="102" t="s">
        <v>849</v>
      </c>
      <c r="L30" s="102">
        <v>43</v>
      </c>
      <c r="M30" s="102">
        <v>0</v>
      </c>
      <c r="N30" s="102">
        <v>0</v>
      </c>
      <c r="O30" s="102">
        <v>5</v>
      </c>
      <c r="P30" s="102">
        <v>0</v>
      </c>
      <c r="Q30" s="104">
        <v>0</v>
      </c>
      <c r="R30" s="102">
        <v>0</v>
      </c>
      <c r="S30" s="102" t="s">
        <v>853</v>
      </c>
      <c r="T30" s="102">
        <v>0</v>
      </c>
      <c r="U30" s="102">
        <v>0</v>
      </c>
      <c r="V30" s="102">
        <v>6</v>
      </c>
      <c r="W30" s="102">
        <v>1</v>
      </c>
      <c r="X30" s="102">
        <v>0</v>
      </c>
      <c r="Y30" s="102">
        <v>1</v>
      </c>
      <c r="Z30" s="102">
        <v>0</v>
      </c>
      <c r="AA30" s="102">
        <v>39</v>
      </c>
      <c r="AB30" s="102">
        <v>0</v>
      </c>
      <c r="AC30" s="102">
        <v>6</v>
      </c>
      <c r="AD30" s="102">
        <v>1</v>
      </c>
      <c r="AE30" s="102">
        <v>0</v>
      </c>
      <c r="AF30" s="102">
        <v>2</v>
      </c>
      <c r="AG30" s="102">
        <v>0</v>
      </c>
      <c r="AH30" s="102">
        <v>0</v>
      </c>
      <c r="AI30" s="102" t="s">
        <v>1055</v>
      </c>
      <c r="AJ30" s="102">
        <v>2</v>
      </c>
      <c r="AK30" s="102">
        <v>11</v>
      </c>
      <c r="AL30" s="102">
        <v>3</v>
      </c>
      <c r="AM30" s="102">
        <v>8</v>
      </c>
      <c r="AN30" s="102">
        <v>3</v>
      </c>
      <c r="AO30" s="102">
        <v>1</v>
      </c>
      <c r="AP30" s="102">
        <v>0</v>
      </c>
      <c r="AQ30" s="102">
        <v>0</v>
      </c>
      <c r="AR30" s="102">
        <v>0</v>
      </c>
      <c r="AS30" s="102" t="s">
        <v>853</v>
      </c>
      <c r="AT30" s="102">
        <v>0</v>
      </c>
      <c r="AU30" s="102"/>
      <c r="AV30" s="102">
        <v>0</v>
      </c>
      <c r="AW30" s="102">
        <v>1</v>
      </c>
      <c r="AX30" s="102" t="s">
        <v>1056</v>
      </c>
      <c r="AY30" s="102" t="s">
        <v>1057</v>
      </c>
      <c r="AZ30" s="102">
        <v>4</v>
      </c>
      <c r="BA30" s="102">
        <v>1</v>
      </c>
      <c r="BB30" s="102">
        <v>0</v>
      </c>
      <c r="BC30" s="102">
        <v>1</v>
      </c>
      <c r="BD30" s="102" t="s">
        <v>954</v>
      </c>
      <c r="BE30" s="102">
        <v>0</v>
      </c>
      <c r="BF30" s="102">
        <v>0</v>
      </c>
      <c r="BG30" s="102">
        <v>0</v>
      </c>
      <c r="BH30" s="102">
        <v>0</v>
      </c>
      <c r="BI30" s="102">
        <v>3</v>
      </c>
      <c r="BJ30" s="102">
        <v>0</v>
      </c>
      <c r="BK30" s="102">
        <v>1</v>
      </c>
      <c r="BL30" s="102">
        <v>0</v>
      </c>
      <c r="BM30" s="102">
        <v>0</v>
      </c>
      <c r="BN30" s="102">
        <v>0</v>
      </c>
      <c r="BO30" s="102">
        <v>0</v>
      </c>
      <c r="BP30" s="102">
        <v>1</v>
      </c>
      <c r="BQ30" s="102">
        <v>1</v>
      </c>
      <c r="BR30" s="102">
        <v>0</v>
      </c>
      <c r="BS30" s="102">
        <v>1</v>
      </c>
      <c r="BT30" s="102">
        <v>0</v>
      </c>
      <c r="BU30" s="102">
        <v>0</v>
      </c>
      <c r="BV30" s="102">
        <v>0</v>
      </c>
      <c r="BW30" s="102">
        <v>0</v>
      </c>
      <c r="BX30" s="102">
        <v>0</v>
      </c>
      <c r="BY30" s="102">
        <v>0</v>
      </c>
      <c r="BZ30" s="102">
        <v>0</v>
      </c>
      <c r="CA30" s="102" t="s">
        <v>937</v>
      </c>
      <c r="CB30" s="102">
        <v>0</v>
      </c>
      <c r="CC30" s="102" t="s">
        <v>853</v>
      </c>
      <c r="CD30" s="102"/>
      <c r="CE30" s="102">
        <v>0</v>
      </c>
      <c r="CF30" s="102">
        <v>0</v>
      </c>
      <c r="CG30" s="102">
        <v>0</v>
      </c>
      <c r="CH30" s="102">
        <v>0</v>
      </c>
      <c r="CI30" s="102">
        <v>0</v>
      </c>
      <c r="CJ30" s="102">
        <v>0</v>
      </c>
      <c r="CK30" s="102">
        <v>0</v>
      </c>
      <c r="CL30" s="102">
        <v>0</v>
      </c>
      <c r="CM30" s="102">
        <v>0</v>
      </c>
      <c r="CN30" s="102">
        <v>1</v>
      </c>
      <c r="CO30" s="102">
        <v>1</v>
      </c>
      <c r="CP30" s="102">
        <v>2</v>
      </c>
      <c r="CQ30" s="102">
        <v>0</v>
      </c>
      <c r="CR30" s="102">
        <v>0</v>
      </c>
      <c r="CS30" s="102">
        <v>0</v>
      </c>
      <c r="CT30" s="102" t="s">
        <v>853</v>
      </c>
      <c r="CU30" s="102">
        <v>0</v>
      </c>
      <c r="CV30" s="102">
        <v>2</v>
      </c>
      <c r="CW30" s="102">
        <v>0</v>
      </c>
      <c r="CX30" s="102">
        <v>0</v>
      </c>
      <c r="CY30" s="102">
        <v>1</v>
      </c>
      <c r="CZ30" s="102">
        <v>1</v>
      </c>
      <c r="DA30" s="102" t="s">
        <v>1058</v>
      </c>
      <c r="DB30" s="102">
        <v>1</v>
      </c>
      <c r="DC30" s="102">
        <v>2</v>
      </c>
      <c r="DD30" s="102">
        <v>0</v>
      </c>
      <c r="DE30" s="102">
        <v>0</v>
      </c>
      <c r="DF30" s="102">
        <v>1</v>
      </c>
      <c r="DG30" s="102">
        <v>0</v>
      </c>
      <c r="DH30" s="102">
        <v>0</v>
      </c>
      <c r="DI30" s="102">
        <v>0</v>
      </c>
      <c r="DJ30" s="102">
        <v>0</v>
      </c>
      <c r="DK30" s="102">
        <v>1</v>
      </c>
      <c r="DL30" s="102">
        <v>0</v>
      </c>
      <c r="DM30" s="102">
        <v>0</v>
      </c>
      <c r="DN30" s="102">
        <v>0</v>
      </c>
      <c r="DO30" s="102">
        <v>0</v>
      </c>
      <c r="DP30" s="102">
        <v>1</v>
      </c>
      <c r="DQ30" s="102">
        <v>2</v>
      </c>
      <c r="DR30" s="102">
        <v>1</v>
      </c>
      <c r="DS30" s="102">
        <v>0</v>
      </c>
      <c r="DT30" s="105" t="s">
        <v>1059</v>
      </c>
      <c r="DU30" s="102">
        <v>0</v>
      </c>
      <c r="DV30" s="102">
        <v>0</v>
      </c>
      <c r="DW30" s="102">
        <v>0</v>
      </c>
      <c r="DX30" s="102" t="s">
        <v>853</v>
      </c>
      <c r="DY30" s="102">
        <v>0</v>
      </c>
      <c r="DZ30" s="102">
        <v>0</v>
      </c>
      <c r="EA30" s="102" t="s">
        <v>853</v>
      </c>
      <c r="EB30" s="102">
        <v>0</v>
      </c>
      <c r="EC30" s="102">
        <v>0</v>
      </c>
      <c r="ED30" s="102">
        <v>0</v>
      </c>
      <c r="EE30" s="102">
        <v>0</v>
      </c>
      <c r="EF30" s="102">
        <v>1</v>
      </c>
      <c r="EG30" s="102">
        <v>0</v>
      </c>
      <c r="EH30" s="102" t="s">
        <v>853</v>
      </c>
      <c r="EI30" s="102">
        <v>2</v>
      </c>
      <c r="EJ30" s="102">
        <v>1</v>
      </c>
      <c r="EK30" s="102">
        <v>1</v>
      </c>
      <c r="EL30" s="102">
        <v>3</v>
      </c>
      <c r="EM30" s="102"/>
    </row>
    <row r="31" spans="1:143" ht="15.75" customHeight="1" x14ac:dyDescent="0.55000000000000004">
      <c r="A31" s="99">
        <v>29</v>
      </c>
      <c r="B31" s="102" t="s">
        <v>1060</v>
      </c>
      <c r="C31" s="102" t="s">
        <v>1061</v>
      </c>
      <c r="D31" s="103">
        <v>30881</v>
      </c>
      <c r="E31" s="102" t="s">
        <v>891</v>
      </c>
      <c r="F31" s="102">
        <v>18</v>
      </c>
      <c r="G31" s="102">
        <v>7</v>
      </c>
      <c r="H31" s="102">
        <v>1984</v>
      </c>
      <c r="I31" s="102" t="s">
        <v>1062</v>
      </c>
      <c r="J31" s="102" t="s">
        <v>1063</v>
      </c>
      <c r="K31" s="102" t="s">
        <v>930</v>
      </c>
      <c r="L31" s="102">
        <v>5</v>
      </c>
      <c r="M31" s="102">
        <v>3</v>
      </c>
      <c r="N31" s="102">
        <v>2</v>
      </c>
      <c r="O31" s="102">
        <v>5</v>
      </c>
      <c r="P31" s="102">
        <v>0</v>
      </c>
      <c r="Q31" s="104">
        <v>0</v>
      </c>
      <c r="R31" s="102">
        <v>0</v>
      </c>
      <c r="S31" s="102" t="s">
        <v>853</v>
      </c>
      <c r="T31" s="102">
        <v>0</v>
      </c>
      <c r="U31" s="102">
        <v>0</v>
      </c>
      <c r="V31" s="102">
        <v>21</v>
      </c>
      <c r="W31" s="102">
        <v>19</v>
      </c>
      <c r="X31" s="102">
        <v>0</v>
      </c>
      <c r="Y31" s="102">
        <v>0</v>
      </c>
      <c r="Z31" s="102">
        <v>1</v>
      </c>
      <c r="AA31" s="102">
        <v>41</v>
      </c>
      <c r="AB31" s="102">
        <v>0</v>
      </c>
      <c r="AC31" s="102">
        <v>0</v>
      </c>
      <c r="AD31" s="102">
        <v>0</v>
      </c>
      <c r="AE31" s="102">
        <v>0</v>
      </c>
      <c r="AF31" s="102">
        <v>1</v>
      </c>
      <c r="AG31" s="102">
        <v>3</v>
      </c>
      <c r="AH31" s="102">
        <v>0</v>
      </c>
      <c r="AI31" s="102" t="s">
        <v>1064</v>
      </c>
      <c r="AJ31" s="102">
        <v>3</v>
      </c>
      <c r="AK31" s="102">
        <v>1</v>
      </c>
      <c r="AL31" s="102">
        <v>1</v>
      </c>
      <c r="AM31" s="102">
        <v>0</v>
      </c>
      <c r="AN31" s="102">
        <v>2</v>
      </c>
      <c r="AO31" s="102">
        <v>1</v>
      </c>
      <c r="AP31" s="102">
        <v>0</v>
      </c>
      <c r="AQ31" s="102">
        <v>0</v>
      </c>
      <c r="AR31" s="102">
        <v>0</v>
      </c>
      <c r="AS31" s="102" t="s">
        <v>853</v>
      </c>
      <c r="AT31" s="102">
        <v>0</v>
      </c>
      <c r="AU31" s="102"/>
      <c r="AV31" s="102">
        <v>1</v>
      </c>
      <c r="AW31" s="102">
        <v>1</v>
      </c>
      <c r="AX31" s="102">
        <v>0</v>
      </c>
      <c r="AY31" s="102">
        <v>9</v>
      </c>
      <c r="AZ31" s="102">
        <v>4</v>
      </c>
      <c r="BA31" s="102">
        <v>0</v>
      </c>
      <c r="BB31" s="102">
        <v>1</v>
      </c>
      <c r="BC31" s="102">
        <v>3</v>
      </c>
      <c r="BD31" s="102" t="s">
        <v>922</v>
      </c>
      <c r="BE31" s="102">
        <v>0</v>
      </c>
      <c r="BF31" s="102">
        <v>0</v>
      </c>
      <c r="BG31" s="102">
        <v>0</v>
      </c>
      <c r="BH31" s="102">
        <v>0</v>
      </c>
      <c r="BI31" s="102">
        <v>3</v>
      </c>
      <c r="BJ31" s="102">
        <v>0</v>
      </c>
      <c r="BK31" s="102">
        <v>1</v>
      </c>
      <c r="BL31" s="102">
        <v>1</v>
      </c>
      <c r="BM31" s="102">
        <v>1</v>
      </c>
      <c r="BN31" s="102">
        <v>0</v>
      </c>
      <c r="BO31" s="102">
        <v>0</v>
      </c>
      <c r="BP31" s="102">
        <v>1</v>
      </c>
      <c r="BQ31" s="102">
        <v>0</v>
      </c>
      <c r="BR31" s="102">
        <v>0</v>
      </c>
      <c r="BS31" s="102">
        <v>0</v>
      </c>
      <c r="BT31" s="102">
        <v>0</v>
      </c>
      <c r="BU31" s="102">
        <v>0</v>
      </c>
      <c r="BV31" s="102">
        <v>0</v>
      </c>
      <c r="BW31" s="102">
        <v>0</v>
      </c>
      <c r="BX31" s="102">
        <v>0</v>
      </c>
      <c r="BY31" s="102">
        <v>0</v>
      </c>
      <c r="BZ31" s="102">
        <v>0</v>
      </c>
      <c r="CA31" s="102">
        <v>2</v>
      </c>
      <c r="CB31" s="102">
        <v>1</v>
      </c>
      <c r="CC31" s="102">
        <v>0</v>
      </c>
      <c r="CD31" s="102" t="s">
        <v>1065</v>
      </c>
      <c r="CE31" s="102">
        <v>0</v>
      </c>
      <c r="CF31" s="102">
        <v>0</v>
      </c>
      <c r="CG31" s="102">
        <v>0</v>
      </c>
      <c r="CH31" s="102">
        <v>0</v>
      </c>
      <c r="CI31" s="102">
        <v>1</v>
      </c>
      <c r="CJ31" s="102">
        <v>0</v>
      </c>
      <c r="CK31" s="102">
        <v>0</v>
      </c>
      <c r="CL31" s="102">
        <v>0</v>
      </c>
      <c r="CM31" s="102">
        <v>0</v>
      </c>
      <c r="CN31" s="102">
        <v>2</v>
      </c>
      <c r="CO31" s="102">
        <v>0</v>
      </c>
      <c r="CP31" s="102">
        <v>0</v>
      </c>
      <c r="CQ31" s="102">
        <v>0</v>
      </c>
      <c r="CR31" s="102">
        <v>0</v>
      </c>
      <c r="CS31" s="102">
        <v>0</v>
      </c>
      <c r="CT31" s="102" t="s">
        <v>853</v>
      </c>
      <c r="CU31" s="102">
        <v>0</v>
      </c>
      <c r="CV31" s="102">
        <v>2</v>
      </c>
      <c r="CW31" s="102">
        <v>0</v>
      </c>
      <c r="CX31" s="102">
        <v>0</v>
      </c>
      <c r="CY31" s="102">
        <v>1</v>
      </c>
      <c r="CZ31" s="102">
        <v>1</v>
      </c>
      <c r="DA31" s="102" t="s">
        <v>1066</v>
      </c>
      <c r="DB31" s="102">
        <v>0</v>
      </c>
      <c r="DC31" s="102">
        <v>1</v>
      </c>
      <c r="DD31" s="102">
        <v>1</v>
      </c>
      <c r="DE31" s="102">
        <v>0</v>
      </c>
      <c r="DF31" s="102">
        <v>0</v>
      </c>
      <c r="DG31" s="102">
        <v>0</v>
      </c>
      <c r="DH31" s="102">
        <v>0</v>
      </c>
      <c r="DI31" s="102">
        <v>0</v>
      </c>
      <c r="DJ31" s="102">
        <v>0</v>
      </c>
      <c r="DK31" s="102">
        <v>0</v>
      </c>
      <c r="DL31" s="102">
        <v>0</v>
      </c>
      <c r="DM31" s="102">
        <v>0</v>
      </c>
      <c r="DN31" s="102">
        <v>0</v>
      </c>
      <c r="DO31" s="102">
        <v>1</v>
      </c>
      <c r="DP31" s="102">
        <v>0</v>
      </c>
      <c r="DQ31" s="102">
        <v>2</v>
      </c>
      <c r="DR31" s="102">
        <v>1</v>
      </c>
      <c r="DS31" s="102">
        <v>0</v>
      </c>
      <c r="DT31" s="105" t="s">
        <v>1067</v>
      </c>
      <c r="DU31" s="102">
        <v>0</v>
      </c>
      <c r="DV31" s="102">
        <v>0</v>
      </c>
      <c r="DW31" s="102">
        <v>0</v>
      </c>
      <c r="DX31" s="102" t="s">
        <v>853</v>
      </c>
      <c r="DY31" s="102">
        <v>0</v>
      </c>
      <c r="DZ31" s="102">
        <v>0</v>
      </c>
      <c r="EA31" s="102" t="s">
        <v>853</v>
      </c>
      <c r="EB31" s="102">
        <v>0</v>
      </c>
      <c r="EC31" s="102">
        <v>0</v>
      </c>
      <c r="ED31" s="102">
        <v>1</v>
      </c>
      <c r="EE31" s="102">
        <v>2</v>
      </c>
      <c r="EF31" s="102">
        <v>3</v>
      </c>
      <c r="EG31" s="102">
        <v>0</v>
      </c>
      <c r="EH31" s="102" t="s">
        <v>853</v>
      </c>
      <c r="EI31" s="102">
        <v>1</v>
      </c>
      <c r="EJ31" s="102">
        <v>0</v>
      </c>
      <c r="EK31" s="102">
        <v>2</v>
      </c>
      <c r="EL31" s="102">
        <v>0</v>
      </c>
      <c r="EM31" s="102"/>
    </row>
    <row r="32" spans="1:143" ht="15.75" customHeight="1" x14ac:dyDescent="0.55000000000000004">
      <c r="A32" s="99">
        <v>30</v>
      </c>
      <c r="B32" s="102" t="s">
        <v>1068</v>
      </c>
      <c r="C32" s="102" t="s">
        <v>1069</v>
      </c>
      <c r="D32" s="103">
        <v>30887</v>
      </c>
      <c r="E32" s="102" t="s">
        <v>1032</v>
      </c>
      <c r="F32" s="102">
        <v>24</v>
      </c>
      <c r="G32" s="102">
        <v>7</v>
      </c>
      <c r="H32" s="102">
        <v>1984</v>
      </c>
      <c r="I32" s="102" t="s">
        <v>1070</v>
      </c>
      <c r="J32" s="102" t="s">
        <v>1071</v>
      </c>
      <c r="K32" s="102" t="s">
        <v>1072</v>
      </c>
      <c r="L32" s="102">
        <v>4</v>
      </c>
      <c r="M32" s="102">
        <v>0</v>
      </c>
      <c r="N32" s="102">
        <v>1</v>
      </c>
      <c r="O32" s="102">
        <v>5</v>
      </c>
      <c r="P32" s="102">
        <v>0</v>
      </c>
      <c r="Q32" s="104">
        <v>0</v>
      </c>
      <c r="R32" s="102">
        <v>1</v>
      </c>
      <c r="S32" s="102">
        <v>8</v>
      </c>
      <c r="T32" s="102">
        <v>0</v>
      </c>
      <c r="U32" s="102">
        <v>0</v>
      </c>
      <c r="V32" s="102">
        <v>5</v>
      </c>
      <c r="W32" s="102">
        <v>1</v>
      </c>
      <c r="X32" s="102">
        <v>0</v>
      </c>
      <c r="Y32" s="102">
        <v>0</v>
      </c>
      <c r="Z32" s="102">
        <v>0</v>
      </c>
      <c r="AA32" s="102">
        <v>33</v>
      </c>
      <c r="AB32" s="102">
        <v>0</v>
      </c>
      <c r="AC32" s="102">
        <v>0</v>
      </c>
      <c r="AD32" s="102">
        <v>0</v>
      </c>
      <c r="AE32" s="102">
        <v>0</v>
      </c>
      <c r="AF32" s="102"/>
      <c r="AG32" s="102"/>
      <c r="AH32" s="102"/>
      <c r="AI32" s="102"/>
      <c r="AJ32" s="102"/>
      <c r="AK32" s="102"/>
      <c r="AL32" s="102"/>
      <c r="AM32" s="102"/>
      <c r="AN32" s="102">
        <v>0</v>
      </c>
      <c r="AO32" s="102">
        <v>0</v>
      </c>
      <c r="AP32" s="102"/>
      <c r="AQ32" s="102"/>
      <c r="AR32" s="102">
        <v>0</v>
      </c>
      <c r="AS32" s="102" t="s">
        <v>853</v>
      </c>
      <c r="AT32" s="102"/>
      <c r="AU32" s="102"/>
      <c r="AV32" s="102">
        <v>0</v>
      </c>
      <c r="AW32" s="102">
        <v>1</v>
      </c>
      <c r="AX32" s="102">
        <v>0</v>
      </c>
      <c r="AY32" s="102">
        <v>9</v>
      </c>
      <c r="AZ32" s="102">
        <v>4</v>
      </c>
      <c r="BA32" s="102">
        <v>1</v>
      </c>
      <c r="BB32" s="102">
        <v>0</v>
      </c>
      <c r="BC32" s="102">
        <v>0</v>
      </c>
      <c r="BD32" s="102">
        <v>0</v>
      </c>
      <c r="BE32" s="102">
        <v>0</v>
      </c>
      <c r="BF32" s="102">
        <v>0</v>
      </c>
      <c r="BG32" s="102">
        <v>0</v>
      </c>
      <c r="BH32" s="102">
        <v>0</v>
      </c>
      <c r="BI32" s="102">
        <v>3</v>
      </c>
      <c r="BJ32" s="102">
        <v>1</v>
      </c>
      <c r="BK32" s="102">
        <v>0</v>
      </c>
      <c r="BL32" s="102">
        <v>0</v>
      </c>
      <c r="BM32" s="102">
        <v>0</v>
      </c>
      <c r="BN32" s="102">
        <v>0</v>
      </c>
      <c r="BO32" s="102">
        <v>0</v>
      </c>
      <c r="BP32" s="102">
        <v>0</v>
      </c>
      <c r="BQ32" s="102">
        <v>0</v>
      </c>
      <c r="BR32" s="102">
        <v>0</v>
      </c>
      <c r="BS32" s="102">
        <v>0</v>
      </c>
      <c r="BT32" s="102">
        <v>0</v>
      </c>
      <c r="BU32" s="102">
        <v>1</v>
      </c>
      <c r="BV32" s="102">
        <v>0</v>
      </c>
      <c r="BW32" s="102">
        <v>0</v>
      </c>
      <c r="BX32" s="102">
        <v>0</v>
      </c>
      <c r="BY32" s="102">
        <v>0</v>
      </c>
      <c r="BZ32" s="102">
        <v>0</v>
      </c>
      <c r="CA32" s="102">
        <v>1</v>
      </c>
      <c r="CB32" s="102">
        <v>1</v>
      </c>
      <c r="CC32" s="102">
        <v>2</v>
      </c>
      <c r="CD32" s="102" t="s">
        <v>1073</v>
      </c>
      <c r="CE32" s="102">
        <v>0</v>
      </c>
      <c r="CF32" s="102">
        <v>1</v>
      </c>
      <c r="CG32" s="102">
        <v>0</v>
      </c>
      <c r="CH32" s="102">
        <v>0</v>
      </c>
      <c r="CI32" s="102">
        <v>1</v>
      </c>
      <c r="CJ32" s="102">
        <v>1</v>
      </c>
      <c r="CK32" s="102">
        <v>0</v>
      </c>
      <c r="CL32" s="102">
        <v>0</v>
      </c>
      <c r="CM32" s="102">
        <v>0</v>
      </c>
      <c r="CN32" s="102">
        <v>2</v>
      </c>
      <c r="CO32" s="102">
        <v>0</v>
      </c>
      <c r="CP32" s="102">
        <v>0</v>
      </c>
      <c r="CQ32" s="102">
        <v>0</v>
      </c>
      <c r="CR32" s="102">
        <v>0</v>
      </c>
      <c r="CS32" s="102">
        <v>0</v>
      </c>
      <c r="CT32" s="102" t="s">
        <v>853</v>
      </c>
      <c r="CU32" s="102">
        <v>0</v>
      </c>
      <c r="CV32" s="102">
        <v>0</v>
      </c>
      <c r="CW32" s="102">
        <v>0</v>
      </c>
      <c r="CX32" s="102">
        <v>0</v>
      </c>
      <c r="CY32" s="102">
        <v>1</v>
      </c>
      <c r="CZ32" s="102">
        <v>0</v>
      </c>
      <c r="DA32" s="102" t="s">
        <v>853</v>
      </c>
      <c r="DB32" s="102">
        <v>0</v>
      </c>
      <c r="DC32" s="102">
        <v>0</v>
      </c>
      <c r="DD32" s="102">
        <v>0</v>
      </c>
      <c r="DE32" s="102">
        <v>0</v>
      </c>
      <c r="DF32" s="102">
        <v>0</v>
      </c>
      <c r="DG32" s="102">
        <v>0</v>
      </c>
      <c r="DH32" s="102">
        <v>0</v>
      </c>
      <c r="DI32" s="102">
        <v>0</v>
      </c>
      <c r="DJ32" s="102">
        <v>0</v>
      </c>
      <c r="DK32" s="102">
        <v>1</v>
      </c>
      <c r="DL32" s="102">
        <v>0</v>
      </c>
      <c r="DM32" s="102">
        <v>0</v>
      </c>
      <c r="DN32" s="102">
        <v>1</v>
      </c>
      <c r="DO32" s="102">
        <v>0</v>
      </c>
      <c r="DP32" s="102">
        <v>0</v>
      </c>
      <c r="DQ32" s="102">
        <v>2</v>
      </c>
      <c r="DR32" s="102">
        <v>1</v>
      </c>
      <c r="DS32" s="102">
        <v>0</v>
      </c>
      <c r="DT32" s="105" t="s">
        <v>956</v>
      </c>
      <c r="DU32" s="102">
        <v>0</v>
      </c>
      <c r="DV32" s="102">
        <v>0</v>
      </c>
      <c r="DW32" s="102">
        <v>1</v>
      </c>
      <c r="DX32" s="102" t="s">
        <v>1074</v>
      </c>
      <c r="DY32" s="102">
        <v>0</v>
      </c>
      <c r="DZ32" s="102">
        <v>0</v>
      </c>
      <c r="EA32" s="102" t="s">
        <v>853</v>
      </c>
      <c r="EB32" s="102">
        <v>0</v>
      </c>
      <c r="EC32" s="102">
        <v>0</v>
      </c>
      <c r="ED32" s="102">
        <v>0</v>
      </c>
      <c r="EE32" s="102">
        <v>1</v>
      </c>
      <c r="EF32" s="102">
        <v>2</v>
      </c>
      <c r="EG32" s="102">
        <v>0</v>
      </c>
      <c r="EH32" s="102" t="s">
        <v>853</v>
      </c>
      <c r="EI32" s="102">
        <v>0</v>
      </c>
      <c r="EJ32" s="102">
        <v>0</v>
      </c>
      <c r="EK32" s="102">
        <v>2</v>
      </c>
      <c r="EL32" s="102">
        <v>0</v>
      </c>
      <c r="EM32" s="102"/>
    </row>
    <row r="33" spans="1:143" ht="15.75" customHeight="1" x14ac:dyDescent="0.55000000000000004">
      <c r="A33" s="99">
        <v>31</v>
      </c>
      <c r="B33" s="102" t="s">
        <v>1075</v>
      </c>
      <c r="C33" s="102" t="s">
        <v>1076</v>
      </c>
      <c r="D33" s="103">
        <v>31122</v>
      </c>
      <c r="E33" s="102" t="s">
        <v>860</v>
      </c>
      <c r="F33" s="102">
        <v>16</v>
      </c>
      <c r="G33" s="102">
        <v>3</v>
      </c>
      <c r="H33" s="102">
        <v>1985</v>
      </c>
      <c r="I33" s="102" t="s">
        <v>1077</v>
      </c>
      <c r="J33" s="102" t="s">
        <v>1078</v>
      </c>
      <c r="K33" s="102" t="s">
        <v>873</v>
      </c>
      <c r="L33" s="102">
        <v>38</v>
      </c>
      <c r="M33" s="102">
        <v>2</v>
      </c>
      <c r="N33" s="102">
        <v>2</v>
      </c>
      <c r="O33" s="106">
        <v>9</v>
      </c>
      <c r="P33" s="102">
        <v>1</v>
      </c>
      <c r="Q33" s="104">
        <v>1</v>
      </c>
      <c r="R33" s="102">
        <v>0</v>
      </c>
      <c r="S33" s="102" t="s">
        <v>853</v>
      </c>
      <c r="T33" s="102">
        <v>0</v>
      </c>
      <c r="U33" s="102">
        <v>0</v>
      </c>
      <c r="V33" s="102">
        <v>4</v>
      </c>
      <c r="W33" s="102">
        <v>2</v>
      </c>
      <c r="X33" s="102">
        <v>0</v>
      </c>
      <c r="Y33" s="102">
        <v>0</v>
      </c>
      <c r="Z33" s="102">
        <v>0</v>
      </c>
      <c r="AA33" s="102">
        <v>39</v>
      </c>
      <c r="AB33" s="102">
        <v>0</v>
      </c>
      <c r="AC33" s="102"/>
      <c r="AD33" s="102">
        <v>0</v>
      </c>
      <c r="AE33" s="102">
        <v>0</v>
      </c>
      <c r="AF33" s="102"/>
      <c r="AG33" s="102">
        <v>1</v>
      </c>
      <c r="AH33" s="102"/>
      <c r="AI33" s="102"/>
      <c r="AJ33" s="102"/>
      <c r="AK33" s="102"/>
      <c r="AL33" s="102"/>
      <c r="AM33" s="102"/>
      <c r="AN33" s="102">
        <v>2</v>
      </c>
      <c r="AO33" s="102">
        <v>1</v>
      </c>
      <c r="AP33" s="102">
        <v>1</v>
      </c>
      <c r="AQ33" s="102">
        <v>0</v>
      </c>
      <c r="AR33" s="102">
        <v>0</v>
      </c>
      <c r="AS33" s="102" t="s">
        <v>853</v>
      </c>
      <c r="AT33" s="102"/>
      <c r="AU33" s="102"/>
      <c r="AV33" s="102">
        <v>0</v>
      </c>
      <c r="AW33" s="102">
        <v>0</v>
      </c>
      <c r="AX33" s="102">
        <v>0</v>
      </c>
      <c r="AY33" s="102">
        <v>0</v>
      </c>
      <c r="AZ33" s="102">
        <v>0</v>
      </c>
      <c r="BA33" s="102">
        <v>0</v>
      </c>
      <c r="BB33" s="102">
        <v>0</v>
      </c>
      <c r="BC33" s="102">
        <v>0</v>
      </c>
      <c r="BD33" s="102">
        <v>0</v>
      </c>
      <c r="BE33" s="102">
        <v>0</v>
      </c>
      <c r="BF33" s="102">
        <v>0</v>
      </c>
      <c r="BG33" s="102">
        <v>0</v>
      </c>
      <c r="BH33" s="102">
        <v>0</v>
      </c>
      <c r="BI33" s="102">
        <v>3</v>
      </c>
      <c r="BJ33" s="102">
        <v>0</v>
      </c>
      <c r="BK33" s="102">
        <v>0</v>
      </c>
      <c r="BL33" s="102">
        <v>0</v>
      </c>
      <c r="BM33" s="102">
        <v>0</v>
      </c>
      <c r="BN33" s="102">
        <v>0</v>
      </c>
      <c r="BO33" s="102">
        <v>0</v>
      </c>
      <c r="BP33" s="102">
        <v>0</v>
      </c>
      <c r="BQ33" s="102">
        <v>0</v>
      </c>
      <c r="BR33" s="102">
        <v>0</v>
      </c>
      <c r="BS33" s="102">
        <v>0</v>
      </c>
      <c r="BT33" s="102">
        <v>0</v>
      </c>
      <c r="BU33" s="102"/>
      <c r="BV33" s="102">
        <v>0</v>
      </c>
      <c r="BW33" s="102">
        <v>0</v>
      </c>
      <c r="BX33" s="102">
        <v>0</v>
      </c>
      <c r="BY33" s="102">
        <v>0</v>
      </c>
      <c r="BZ33" s="102">
        <v>0</v>
      </c>
      <c r="CA33" s="102">
        <v>2</v>
      </c>
      <c r="CB33" s="102">
        <v>1</v>
      </c>
      <c r="CC33" s="102">
        <v>3</v>
      </c>
      <c r="CD33" s="102" t="s">
        <v>1079</v>
      </c>
      <c r="CE33" s="102">
        <v>0</v>
      </c>
      <c r="CF33" s="102">
        <v>1</v>
      </c>
      <c r="CG33" s="102">
        <v>0</v>
      </c>
      <c r="CH33" s="102">
        <v>0</v>
      </c>
      <c r="CI33" s="102">
        <v>1</v>
      </c>
      <c r="CJ33" s="102">
        <v>0</v>
      </c>
      <c r="CK33" s="102">
        <v>0</v>
      </c>
      <c r="CL33" s="102">
        <v>0</v>
      </c>
      <c r="CM33" s="102">
        <v>0</v>
      </c>
      <c r="CN33" s="102">
        <v>2</v>
      </c>
      <c r="CO33" s="102">
        <v>0</v>
      </c>
      <c r="CP33" s="102">
        <v>0</v>
      </c>
      <c r="CQ33" s="102">
        <v>0</v>
      </c>
      <c r="CR33" s="102">
        <v>0</v>
      </c>
      <c r="CS33" s="102">
        <v>0</v>
      </c>
      <c r="CT33" s="102" t="s">
        <v>853</v>
      </c>
      <c r="CU33" s="102">
        <v>0</v>
      </c>
      <c r="CV33" s="102">
        <v>0</v>
      </c>
      <c r="CW33" s="102">
        <v>0</v>
      </c>
      <c r="CX33" s="102">
        <v>0</v>
      </c>
      <c r="CY33" s="102">
        <v>0</v>
      </c>
      <c r="CZ33" s="102">
        <v>0</v>
      </c>
      <c r="DA33" s="102" t="s">
        <v>853</v>
      </c>
      <c r="DB33" s="102">
        <v>0</v>
      </c>
      <c r="DC33" s="102">
        <v>0</v>
      </c>
      <c r="DD33" s="102">
        <v>0</v>
      </c>
      <c r="DE33" s="102">
        <v>0</v>
      </c>
      <c r="DF33" s="102">
        <v>0</v>
      </c>
      <c r="DG33" s="102">
        <v>0</v>
      </c>
      <c r="DH33" s="102">
        <v>1</v>
      </c>
      <c r="DI33" s="102">
        <v>0</v>
      </c>
      <c r="DJ33" s="102">
        <v>0</v>
      </c>
      <c r="DK33" s="102">
        <v>0</v>
      </c>
      <c r="DL33" s="102">
        <v>0</v>
      </c>
      <c r="DM33" s="102">
        <v>0</v>
      </c>
      <c r="DN33" s="102">
        <v>0</v>
      </c>
      <c r="DO33" s="102">
        <v>0</v>
      </c>
      <c r="DP33" s="102">
        <v>0</v>
      </c>
      <c r="DQ33" s="102">
        <v>2</v>
      </c>
      <c r="DR33" s="102">
        <v>1</v>
      </c>
      <c r="DS33" s="102">
        <v>0</v>
      </c>
      <c r="DT33" s="105" t="s">
        <v>1080</v>
      </c>
      <c r="DU33" s="102">
        <v>1</v>
      </c>
      <c r="DV33" s="102">
        <v>0</v>
      </c>
      <c r="DW33" s="102">
        <v>0</v>
      </c>
      <c r="DX33" s="102" t="s">
        <v>853</v>
      </c>
      <c r="DY33" s="102">
        <v>0</v>
      </c>
      <c r="DZ33" s="102">
        <v>0</v>
      </c>
      <c r="EA33" s="102" t="s">
        <v>853</v>
      </c>
      <c r="EB33" s="102">
        <v>0</v>
      </c>
      <c r="EC33" s="102">
        <v>0</v>
      </c>
      <c r="ED33" s="102">
        <v>0</v>
      </c>
      <c r="EE33" s="102">
        <v>1</v>
      </c>
      <c r="EF33" s="102">
        <v>1</v>
      </c>
      <c r="EG33" s="102">
        <v>0</v>
      </c>
      <c r="EH33" s="102" t="s">
        <v>853</v>
      </c>
      <c r="EI33" s="102">
        <v>0</v>
      </c>
      <c r="EJ33" s="102">
        <v>0</v>
      </c>
      <c r="EK33" s="102">
        <v>2</v>
      </c>
      <c r="EL33" s="102">
        <v>0</v>
      </c>
      <c r="EM33" s="102"/>
    </row>
    <row r="34" spans="1:143" ht="15.75" customHeight="1" x14ac:dyDescent="0.55000000000000004">
      <c r="A34" s="99">
        <v>32</v>
      </c>
      <c r="B34" s="102" t="s">
        <v>1081</v>
      </c>
      <c r="C34" s="102" t="s">
        <v>1082</v>
      </c>
      <c r="D34" s="103">
        <v>31644</v>
      </c>
      <c r="E34" s="102" t="s">
        <v>891</v>
      </c>
      <c r="F34" s="102">
        <v>20</v>
      </c>
      <c r="G34" s="102">
        <v>8</v>
      </c>
      <c r="H34" s="102">
        <v>1986</v>
      </c>
      <c r="I34" s="102" t="s">
        <v>1083</v>
      </c>
      <c r="J34" s="102" t="s">
        <v>1084</v>
      </c>
      <c r="K34" s="102" t="s">
        <v>1085</v>
      </c>
      <c r="L34" s="102">
        <v>36</v>
      </c>
      <c r="M34" s="102">
        <v>0</v>
      </c>
      <c r="N34" s="102">
        <v>1</v>
      </c>
      <c r="O34" s="106">
        <v>10</v>
      </c>
      <c r="P34" s="102">
        <v>1</v>
      </c>
      <c r="Q34" s="104">
        <v>1</v>
      </c>
      <c r="R34" s="102">
        <v>0</v>
      </c>
      <c r="S34" s="102" t="s">
        <v>853</v>
      </c>
      <c r="T34" s="102">
        <v>0</v>
      </c>
      <c r="U34" s="102">
        <v>0</v>
      </c>
      <c r="V34" s="102">
        <v>14</v>
      </c>
      <c r="W34" s="102">
        <v>6</v>
      </c>
      <c r="X34" s="102">
        <v>0</v>
      </c>
      <c r="Y34" s="102">
        <v>0</v>
      </c>
      <c r="Z34" s="102">
        <v>0</v>
      </c>
      <c r="AA34" s="102">
        <v>44</v>
      </c>
      <c r="AB34" s="102">
        <v>0</v>
      </c>
      <c r="AC34" s="102">
        <v>0</v>
      </c>
      <c r="AD34" s="102">
        <v>0</v>
      </c>
      <c r="AE34" s="102">
        <v>0</v>
      </c>
      <c r="AF34" s="102">
        <v>1</v>
      </c>
      <c r="AG34" s="102">
        <v>2</v>
      </c>
      <c r="AH34" s="102">
        <v>1</v>
      </c>
      <c r="AI34" s="102" t="s">
        <v>1086</v>
      </c>
      <c r="AJ34" s="102">
        <v>3</v>
      </c>
      <c r="AK34" s="102">
        <v>2</v>
      </c>
      <c r="AL34" s="102">
        <v>2</v>
      </c>
      <c r="AM34" s="102">
        <v>0</v>
      </c>
      <c r="AN34" s="102">
        <v>0</v>
      </c>
      <c r="AO34" s="102">
        <v>0</v>
      </c>
      <c r="AP34" s="102">
        <v>1</v>
      </c>
      <c r="AQ34" s="102">
        <v>0</v>
      </c>
      <c r="AR34" s="102">
        <v>1</v>
      </c>
      <c r="AS34" s="102">
        <v>3</v>
      </c>
      <c r="AT34" s="102">
        <v>0</v>
      </c>
      <c r="AU34" s="102"/>
      <c r="AV34" s="102">
        <v>0</v>
      </c>
      <c r="AW34" s="102">
        <v>0</v>
      </c>
      <c r="AX34" s="102">
        <v>0</v>
      </c>
      <c r="AY34" s="102">
        <v>0</v>
      </c>
      <c r="AZ34" s="102">
        <v>0</v>
      </c>
      <c r="BA34" s="102">
        <v>1</v>
      </c>
      <c r="BB34" s="102">
        <v>1</v>
      </c>
      <c r="BC34" s="102">
        <v>2</v>
      </c>
      <c r="BD34" s="102">
        <v>3</v>
      </c>
      <c r="BE34" s="102">
        <v>1</v>
      </c>
      <c r="BF34" s="102">
        <v>0</v>
      </c>
      <c r="BG34" s="102">
        <v>0</v>
      </c>
      <c r="BH34" s="102">
        <v>0</v>
      </c>
      <c r="BI34" s="102">
        <v>3</v>
      </c>
      <c r="BJ34" s="102">
        <v>0</v>
      </c>
      <c r="BK34" s="102">
        <v>0</v>
      </c>
      <c r="BL34" s="102">
        <v>0</v>
      </c>
      <c r="BM34" s="102">
        <v>0</v>
      </c>
      <c r="BN34" s="102">
        <v>0</v>
      </c>
      <c r="BO34" s="102">
        <v>0</v>
      </c>
      <c r="BP34" s="102">
        <v>1</v>
      </c>
      <c r="BQ34" s="102">
        <v>0</v>
      </c>
      <c r="BR34" s="102">
        <v>0</v>
      </c>
      <c r="BS34" s="102">
        <v>0</v>
      </c>
      <c r="BT34" s="102">
        <v>0</v>
      </c>
      <c r="BU34" s="102">
        <v>0</v>
      </c>
      <c r="BV34" s="102">
        <v>0</v>
      </c>
      <c r="BW34" s="102">
        <v>0</v>
      </c>
      <c r="BX34" s="102">
        <v>0</v>
      </c>
      <c r="BY34" s="102">
        <v>0</v>
      </c>
      <c r="BZ34" s="102">
        <v>1</v>
      </c>
      <c r="CA34" s="102">
        <v>2</v>
      </c>
      <c r="CB34" s="102">
        <v>1</v>
      </c>
      <c r="CC34" s="102">
        <v>3</v>
      </c>
      <c r="CD34" s="102" t="s">
        <v>1087</v>
      </c>
      <c r="CE34" s="102">
        <v>1</v>
      </c>
      <c r="CF34" s="102">
        <v>0</v>
      </c>
      <c r="CG34" s="102">
        <v>0</v>
      </c>
      <c r="CH34" s="102">
        <v>0</v>
      </c>
      <c r="CI34" s="102">
        <v>1</v>
      </c>
      <c r="CJ34" s="102">
        <v>0</v>
      </c>
      <c r="CK34" s="102">
        <v>0</v>
      </c>
      <c r="CL34" s="102">
        <v>0</v>
      </c>
      <c r="CM34" s="102">
        <v>1</v>
      </c>
      <c r="CN34" s="102">
        <v>2</v>
      </c>
      <c r="CO34" s="102">
        <v>0</v>
      </c>
      <c r="CP34" s="102">
        <v>0</v>
      </c>
      <c r="CQ34" s="102">
        <v>0</v>
      </c>
      <c r="CR34" s="102">
        <v>0</v>
      </c>
      <c r="CS34" s="102">
        <v>0</v>
      </c>
      <c r="CT34" s="102" t="s">
        <v>853</v>
      </c>
      <c r="CU34" s="102">
        <v>0</v>
      </c>
      <c r="CV34" s="102">
        <v>4</v>
      </c>
      <c r="CW34" s="102">
        <v>1</v>
      </c>
      <c r="CX34" s="102">
        <v>0</v>
      </c>
      <c r="CY34" s="102">
        <v>0</v>
      </c>
      <c r="CZ34" s="102">
        <v>0</v>
      </c>
      <c r="DA34" s="102" t="s">
        <v>853</v>
      </c>
      <c r="DB34" s="102">
        <v>0</v>
      </c>
      <c r="DC34" s="102">
        <v>2</v>
      </c>
      <c r="DD34" s="102">
        <v>0</v>
      </c>
      <c r="DE34" s="102">
        <v>0</v>
      </c>
      <c r="DF34" s="102">
        <v>0</v>
      </c>
      <c r="DG34" s="102">
        <v>0</v>
      </c>
      <c r="DH34" s="102">
        <v>1</v>
      </c>
      <c r="DI34" s="102">
        <v>0</v>
      </c>
      <c r="DJ34" s="102">
        <v>0</v>
      </c>
      <c r="DK34" s="102">
        <v>0</v>
      </c>
      <c r="DL34" s="102">
        <v>0</v>
      </c>
      <c r="DM34" s="102">
        <v>0</v>
      </c>
      <c r="DN34" s="102">
        <v>0</v>
      </c>
      <c r="DO34" s="102">
        <v>0</v>
      </c>
      <c r="DP34" s="102">
        <v>0</v>
      </c>
      <c r="DQ34" s="102">
        <v>2</v>
      </c>
      <c r="DR34" s="102">
        <v>1</v>
      </c>
      <c r="DS34" s="102">
        <v>0</v>
      </c>
      <c r="DT34" s="105" t="s">
        <v>945</v>
      </c>
      <c r="DU34" s="102">
        <v>0</v>
      </c>
      <c r="DV34" s="102">
        <v>0</v>
      </c>
      <c r="DW34" s="102">
        <v>0</v>
      </c>
      <c r="DX34" s="102" t="s">
        <v>853</v>
      </c>
      <c r="DY34" s="102">
        <v>1</v>
      </c>
      <c r="DZ34" s="102">
        <v>0</v>
      </c>
      <c r="EA34" s="102" t="s">
        <v>853</v>
      </c>
      <c r="EB34" s="102">
        <v>0</v>
      </c>
      <c r="EC34" s="102">
        <v>0</v>
      </c>
      <c r="ED34" s="102">
        <v>1</v>
      </c>
      <c r="EE34" s="102">
        <v>3</v>
      </c>
      <c r="EF34" s="102">
        <v>3</v>
      </c>
      <c r="EG34" s="102">
        <v>0</v>
      </c>
      <c r="EH34" s="102" t="s">
        <v>853</v>
      </c>
      <c r="EI34" s="102">
        <v>0</v>
      </c>
      <c r="EJ34" s="102">
        <v>0</v>
      </c>
      <c r="EK34" s="102">
        <v>2</v>
      </c>
      <c r="EL34" s="102">
        <v>0</v>
      </c>
      <c r="EM34" s="102"/>
    </row>
    <row r="35" spans="1:143" ht="15.75" customHeight="1" x14ac:dyDescent="0.55000000000000004">
      <c r="A35" s="99">
        <v>33</v>
      </c>
      <c r="B35" s="102" t="s">
        <v>1088</v>
      </c>
      <c r="C35" s="102" t="s">
        <v>999</v>
      </c>
      <c r="D35" s="103">
        <v>31890</v>
      </c>
      <c r="E35" s="102" t="s">
        <v>995</v>
      </c>
      <c r="F35" s="102">
        <v>23</v>
      </c>
      <c r="G35" s="102">
        <v>4</v>
      </c>
      <c r="H35" s="102">
        <v>1987</v>
      </c>
      <c r="I35" s="102" t="s">
        <v>1089</v>
      </c>
      <c r="J35" s="102" t="s">
        <v>1090</v>
      </c>
      <c r="K35" s="102" t="s">
        <v>1022</v>
      </c>
      <c r="L35" s="102">
        <v>9</v>
      </c>
      <c r="M35" s="102">
        <v>0</v>
      </c>
      <c r="N35" s="102">
        <v>1</v>
      </c>
      <c r="O35" s="102">
        <v>4</v>
      </c>
      <c r="P35" s="102">
        <v>0</v>
      </c>
      <c r="Q35" s="104">
        <v>0</v>
      </c>
      <c r="R35" s="102">
        <v>1</v>
      </c>
      <c r="S35" s="102">
        <v>7</v>
      </c>
      <c r="T35" s="102">
        <v>0</v>
      </c>
      <c r="U35" s="102">
        <v>0</v>
      </c>
      <c r="V35" s="102">
        <v>6</v>
      </c>
      <c r="W35" s="102">
        <v>14</v>
      </c>
      <c r="X35" s="102">
        <v>0</v>
      </c>
      <c r="Y35" s="102">
        <v>0</v>
      </c>
      <c r="Z35" s="102">
        <v>1</v>
      </c>
      <c r="AA35" s="102">
        <v>60</v>
      </c>
      <c r="AB35" s="102">
        <v>0</v>
      </c>
      <c r="AC35" s="102">
        <v>0</v>
      </c>
      <c r="AD35" s="102">
        <v>0</v>
      </c>
      <c r="AE35" s="102">
        <v>0</v>
      </c>
      <c r="AF35" s="102"/>
      <c r="AG35" s="102">
        <v>4</v>
      </c>
      <c r="AH35" s="102">
        <v>1</v>
      </c>
      <c r="AI35" s="102" t="s">
        <v>1091</v>
      </c>
      <c r="AJ35" s="102"/>
      <c r="AK35" s="102"/>
      <c r="AL35" s="102"/>
      <c r="AM35" s="102"/>
      <c r="AN35" s="102">
        <v>2</v>
      </c>
      <c r="AO35" s="102">
        <v>0</v>
      </c>
      <c r="AP35" s="102">
        <v>0</v>
      </c>
      <c r="AQ35" s="102">
        <v>0</v>
      </c>
      <c r="AR35" s="102">
        <v>0</v>
      </c>
      <c r="AS35" s="102" t="s">
        <v>853</v>
      </c>
      <c r="AT35" s="102">
        <v>0</v>
      </c>
      <c r="AU35" s="102"/>
      <c r="AV35" s="102">
        <v>0</v>
      </c>
      <c r="AW35" s="102">
        <v>1</v>
      </c>
      <c r="AX35" s="102">
        <v>0</v>
      </c>
      <c r="AY35" s="102" t="s">
        <v>1092</v>
      </c>
      <c r="AZ35" s="102">
        <v>4</v>
      </c>
      <c r="BA35" s="102">
        <v>0</v>
      </c>
      <c r="BB35" s="102">
        <v>0</v>
      </c>
      <c r="BC35" s="102">
        <v>0</v>
      </c>
      <c r="BD35" s="102">
        <v>0</v>
      </c>
      <c r="BE35" s="102">
        <v>1</v>
      </c>
      <c r="BF35" s="102">
        <v>0</v>
      </c>
      <c r="BG35" s="102">
        <v>0</v>
      </c>
      <c r="BH35" s="102">
        <v>0</v>
      </c>
      <c r="BI35" s="102">
        <v>3</v>
      </c>
      <c r="BJ35" s="102">
        <v>1</v>
      </c>
      <c r="BK35" s="102">
        <v>0</v>
      </c>
      <c r="BL35" s="102">
        <v>0</v>
      </c>
      <c r="BM35" s="102">
        <v>0</v>
      </c>
      <c r="BN35" s="102">
        <v>0</v>
      </c>
      <c r="BO35" s="102">
        <v>0</v>
      </c>
      <c r="BP35" s="102">
        <v>1</v>
      </c>
      <c r="BQ35" s="102">
        <v>0</v>
      </c>
      <c r="BR35" s="102">
        <v>0</v>
      </c>
      <c r="BS35" s="102">
        <v>0</v>
      </c>
      <c r="BT35" s="102">
        <v>0</v>
      </c>
      <c r="BU35" s="102">
        <v>0</v>
      </c>
      <c r="BV35" s="102">
        <v>0</v>
      </c>
      <c r="BW35" s="102">
        <v>1</v>
      </c>
      <c r="BX35" s="102">
        <v>1</v>
      </c>
      <c r="BY35" s="102">
        <v>0</v>
      </c>
      <c r="BZ35" s="102">
        <v>0</v>
      </c>
      <c r="CA35" s="102">
        <v>5</v>
      </c>
      <c r="CB35" s="102">
        <v>1</v>
      </c>
      <c r="CC35" s="102">
        <v>3</v>
      </c>
      <c r="CD35" s="102" t="s">
        <v>1093</v>
      </c>
      <c r="CE35" s="102">
        <v>0</v>
      </c>
      <c r="CF35" s="102">
        <v>0</v>
      </c>
      <c r="CG35" s="102">
        <v>0</v>
      </c>
      <c r="CH35" s="102">
        <v>1</v>
      </c>
      <c r="CI35" s="102">
        <v>1</v>
      </c>
      <c r="CJ35" s="102">
        <v>1</v>
      </c>
      <c r="CK35" s="102">
        <v>1</v>
      </c>
      <c r="CL35" s="102">
        <v>1</v>
      </c>
      <c r="CM35" s="102">
        <v>1</v>
      </c>
      <c r="CN35" s="102">
        <v>2</v>
      </c>
      <c r="CO35" s="102">
        <v>0</v>
      </c>
      <c r="CP35" s="102">
        <v>0</v>
      </c>
      <c r="CQ35" s="102">
        <v>0</v>
      </c>
      <c r="CR35" s="102">
        <v>0</v>
      </c>
      <c r="CS35" s="102">
        <v>0</v>
      </c>
      <c r="CT35" s="102" t="s">
        <v>853</v>
      </c>
      <c r="CU35" s="102">
        <v>0</v>
      </c>
      <c r="CV35" s="102">
        <v>4</v>
      </c>
      <c r="CW35" s="102">
        <v>0</v>
      </c>
      <c r="CX35" s="102">
        <v>0</v>
      </c>
      <c r="CY35" s="102">
        <v>1</v>
      </c>
      <c r="CZ35" s="102">
        <v>0</v>
      </c>
      <c r="DA35" s="102" t="s">
        <v>853</v>
      </c>
      <c r="DB35" s="102">
        <v>1</v>
      </c>
      <c r="DC35" s="102" t="s">
        <v>954</v>
      </c>
      <c r="DD35" s="102">
        <v>0</v>
      </c>
      <c r="DE35" s="102">
        <v>0</v>
      </c>
      <c r="DF35" s="102">
        <v>0</v>
      </c>
      <c r="DG35" s="102">
        <v>0</v>
      </c>
      <c r="DH35" s="102">
        <v>0</v>
      </c>
      <c r="DI35" s="102">
        <v>0</v>
      </c>
      <c r="DJ35" s="102">
        <v>0</v>
      </c>
      <c r="DK35" s="102">
        <v>0</v>
      </c>
      <c r="DL35" s="102">
        <v>1</v>
      </c>
      <c r="DM35" s="102">
        <v>0</v>
      </c>
      <c r="DN35" s="102">
        <v>0</v>
      </c>
      <c r="DO35" s="102">
        <v>0</v>
      </c>
      <c r="DP35" s="102">
        <v>1</v>
      </c>
      <c r="DQ35" s="102">
        <v>2</v>
      </c>
      <c r="DR35" s="102">
        <v>0</v>
      </c>
      <c r="DS35" s="102" t="s">
        <v>853</v>
      </c>
      <c r="DT35" s="105" t="s">
        <v>853</v>
      </c>
      <c r="DU35" s="102" t="s">
        <v>853</v>
      </c>
      <c r="DV35" s="102">
        <v>0</v>
      </c>
      <c r="DW35" s="102">
        <v>0</v>
      </c>
      <c r="DX35" s="102" t="s">
        <v>853</v>
      </c>
      <c r="DY35" s="102">
        <v>0</v>
      </c>
      <c r="DZ35" s="102">
        <v>0</v>
      </c>
      <c r="EA35" s="102" t="s">
        <v>853</v>
      </c>
      <c r="EB35" s="102">
        <v>0</v>
      </c>
      <c r="EC35" s="102">
        <v>0</v>
      </c>
      <c r="ED35" s="102">
        <v>1</v>
      </c>
      <c r="EE35" s="102">
        <v>1</v>
      </c>
      <c r="EF35" s="102">
        <v>3</v>
      </c>
      <c r="EG35" s="102">
        <v>0</v>
      </c>
      <c r="EH35" s="102" t="s">
        <v>853</v>
      </c>
      <c r="EI35" s="102">
        <v>2</v>
      </c>
      <c r="EJ35" s="102">
        <v>1</v>
      </c>
      <c r="EK35" s="102">
        <v>1</v>
      </c>
      <c r="EL35" s="102">
        <v>1</v>
      </c>
      <c r="EM35" s="102"/>
    </row>
    <row r="36" spans="1:143" ht="15.75" customHeight="1" x14ac:dyDescent="0.55000000000000004">
      <c r="A36" s="99">
        <v>34</v>
      </c>
      <c r="B36" s="102" t="s">
        <v>1094</v>
      </c>
      <c r="C36" s="102" t="s">
        <v>1095</v>
      </c>
      <c r="D36" s="103">
        <v>32189</v>
      </c>
      <c r="E36" s="102" t="s">
        <v>1032</v>
      </c>
      <c r="F36" s="102">
        <v>16</v>
      </c>
      <c r="G36" s="102">
        <v>2</v>
      </c>
      <c r="H36" s="102">
        <v>1988</v>
      </c>
      <c r="I36" s="102" t="s">
        <v>1096</v>
      </c>
      <c r="J36" s="102" t="s">
        <v>1097</v>
      </c>
      <c r="K36" s="102" t="s">
        <v>930</v>
      </c>
      <c r="L36" s="102">
        <v>5</v>
      </c>
      <c r="M36" s="102">
        <v>3</v>
      </c>
      <c r="N36" s="102">
        <v>0</v>
      </c>
      <c r="O36" s="107">
        <v>6</v>
      </c>
      <c r="P36" s="102">
        <v>1</v>
      </c>
      <c r="Q36" s="104">
        <v>1</v>
      </c>
      <c r="R36" s="102">
        <v>0</v>
      </c>
      <c r="S36" s="102" t="s">
        <v>853</v>
      </c>
      <c r="T36" s="102">
        <v>0</v>
      </c>
      <c r="U36" s="102">
        <v>0</v>
      </c>
      <c r="V36" s="102">
        <v>7</v>
      </c>
      <c r="W36" s="102">
        <v>4</v>
      </c>
      <c r="X36" s="102">
        <v>0</v>
      </c>
      <c r="Y36" s="102">
        <v>0</v>
      </c>
      <c r="Z36" s="102">
        <v>0</v>
      </c>
      <c r="AA36" s="102">
        <v>39</v>
      </c>
      <c r="AB36" s="102">
        <v>0</v>
      </c>
      <c r="AC36" s="102">
        <v>0</v>
      </c>
      <c r="AD36" s="102">
        <v>0</v>
      </c>
      <c r="AE36" s="102">
        <v>0</v>
      </c>
      <c r="AF36" s="102"/>
      <c r="AG36" s="102">
        <v>2</v>
      </c>
      <c r="AH36" s="102">
        <v>2</v>
      </c>
      <c r="AI36" s="102" t="s">
        <v>1098</v>
      </c>
      <c r="AJ36" s="102">
        <v>1</v>
      </c>
      <c r="AK36" s="102">
        <v>5</v>
      </c>
      <c r="AL36" s="102">
        <v>0</v>
      </c>
      <c r="AM36" s="102">
        <v>5</v>
      </c>
      <c r="AN36" s="102">
        <v>1</v>
      </c>
      <c r="AO36" s="102">
        <v>0</v>
      </c>
      <c r="AP36" s="102">
        <v>1</v>
      </c>
      <c r="AQ36" s="102">
        <v>2</v>
      </c>
      <c r="AR36" s="102">
        <v>1</v>
      </c>
      <c r="AS36" s="102">
        <v>1</v>
      </c>
      <c r="AT36" s="102">
        <v>0</v>
      </c>
      <c r="AU36" s="102"/>
      <c r="AV36" s="102">
        <v>1</v>
      </c>
      <c r="AW36" s="102">
        <v>0</v>
      </c>
      <c r="AX36" s="102">
        <v>0</v>
      </c>
      <c r="AY36" s="102">
        <v>9</v>
      </c>
      <c r="AZ36" s="102">
        <v>1</v>
      </c>
      <c r="BA36" s="102">
        <v>0</v>
      </c>
      <c r="BB36" s="102">
        <v>0</v>
      </c>
      <c r="BC36" s="102">
        <v>1</v>
      </c>
      <c r="BD36" s="102">
        <v>3</v>
      </c>
      <c r="BE36" s="102">
        <v>1</v>
      </c>
      <c r="BF36" s="102">
        <v>0</v>
      </c>
      <c r="BG36" s="102">
        <v>0</v>
      </c>
      <c r="BH36" s="102">
        <v>0</v>
      </c>
      <c r="BI36" s="102">
        <v>3</v>
      </c>
      <c r="BJ36" s="102">
        <v>1</v>
      </c>
      <c r="BK36" s="102">
        <v>0</v>
      </c>
      <c r="BL36" s="102">
        <v>0</v>
      </c>
      <c r="BM36" s="102">
        <v>0</v>
      </c>
      <c r="BN36" s="102">
        <v>0</v>
      </c>
      <c r="BO36" s="102">
        <v>0</v>
      </c>
      <c r="BP36" s="102">
        <v>0</v>
      </c>
      <c r="BQ36" s="102">
        <v>0</v>
      </c>
      <c r="BR36" s="102">
        <v>0</v>
      </c>
      <c r="BS36" s="102">
        <v>0</v>
      </c>
      <c r="BT36" s="102">
        <v>0</v>
      </c>
      <c r="BU36" s="102">
        <v>1</v>
      </c>
      <c r="BV36" s="102">
        <v>0</v>
      </c>
      <c r="BW36" s="102">
        <v>0</v>
      </c>
      <c r="BX36" s="102">
        <v>0</v>
      </c>
      <c r="BY36" s="102">
        <v>0</v>
      </c>
      <c r="BZ36" s="102">
        <v>0</v>
      </c>
      <c r="CA36" s="102">
        <v>5</v>
      </c>
      <c r="CB36" s="102">
        <v>1</v>
      </c>
      <c r="CC36" s="102">
        <v>3</v>
      </c>
      <c r="CD36" s="102" t="s">
        <v>1099</v>
      </c>
      <c r="CE36" s="102">
        <v>1</v>
      </c>
      <c r="CF36" s="102">
        <v>0</v>
      </c>
      <c r="CG36" s="102">
        <v>0</v>
      </c>
      <c r="CH36" s="102">
        <v>0</v>
      </c>
      <c r="CI36" s="102">
        <v>1</v>
      </c>
      <c r="CJ36" s="102">
        <v>1</v>
      </c>
      <c r="CK36" s="102">
        <v>0</v>
      </c>
      <c r="CL36" s="102">
        <v>1</v>
      </c>
      <c r="CM36" s="102">
        <v>0</v>
      </c>
      <c r="CN36" s="102">
        <v>1</v>
      </c>
      <c r="CO36" s="102">
        <v>0</v>
      </c>
      <c r="CP36" s="102">
        <v>0</v>
      </c>
      <c r="CQ36" s="102">
        <v>1</v>
      </c>
      <c r="CR36" s="102">
        <v>2</v>
      </c>
      <c r="CS36" s="102">
        <v>0</v>
      </c>
      <c r="CT36" s="102" t="s">
        <v>853</v>
      </c>
      <c r="CU36" s="102">
        <v>0</v>
      </c>
      <c r="CV36" s="102">
        <v>0</v>
      </c>
      <c r="CW36" s="102">
        <v>0</v>
      </c>
      <c r="CX36" s="102">
        <v>0</v>
      </c>
      <c r="CY36" s="102">
        <v>0</v>
      </c>
      <c r="CZ36" s="102">
        <v>0</v>
      </c>
      <c r="DA36" s="102" t="s">
        <v>853</v>
      </c>
      <c r="DB36" s="102">
        <v>0</v>
      </c>
      <c r="DC36" s="102">
        <v>2</v>
      </c>
      <c r="DD36" s="102">
        <v>0</v>
      </c>
      <c r="DE36" s="102">
        <v>0</v>
      </c>
      <c r="DF36" s="102">
        <v>0</v>
      </c>
      <c r="DG36" s="102">
        <v>0</v>
      </c>
      <c r="DH36" s="102">
        <v>0</v>
      </c>
      <c r="DI36" s="102">
        <v>0</v>
      </c>
      <c r="DJ36" s="102">
        <v>1</v>
      </c>
      <c r="DK36" s="102">
        <v>1</v>
      </c>
      <c r="DL36" s="102">
        <v>1</v>
      </c>
      <c r="DM36" s="102">
        <v>0</v>
      </c>
      <c r="DN36" s="102">
        <v>0</v>
      </c>
      <c r="DO36" s="102">
        <v>0</v>
      </c>
      <c r="DP36" s="102">
        <v>0</v>
      </c>
      <c r="DQ36" s="102">
        <v>2</v>
      </c>
      <c r="DR36" s="102">
        <v>1</v>
      </c>
      <c r="DS36" s="102" t="s">
        <v>925</v>
      </c>
      <c r="DT36" s="105" t="s">
        <v>1100</v>
      </c>
      <c r="DU36" s="102" t="s">
        <v>923</v>
      </c>
      <c r="DV36" s="102">
        <v>1</v>
      </c>
      <c r="DW36" s="102">
        <v>0</v>
      </c>
      <c r="DX36" s="102" t="s">
        <v>853</v>
      </c>
      <c r="DY36" s="102">
        <v>0</v>
      </c>
      <c r="DZ36" s="102">
        <v>0</v>
      </c>
      <c r="EA36" s="102" t="s">
        <v>853</v>
      </c>
      <c r="EB36" s="102">
        <v>1</v>
      </c>
      <c r="EC36" s="102">
        <v>0</v>
      </c>
      <c r="ED36" s="102">
        <v>1</v>
      </c>
      <c r="EE36" s="102">
        <v>3</v>
      </c>
      <c r="EF36" s="102">
        <v>7</v>
      </c>
      <c r="EG36" s="102">
        <v>1</v>
      </c>
      <c r="EH36" s="102" t="s">
        <v>1101</v>
      </c>
      <c r="EI36" s="102">
        <v>2</v>
      </c>
      <c r="EJ36" s="102">
        <v>0</v>
      </c>
      <c r="EK36" s="102">
        <v>0</v>
      </c>
      <c r="EL36" s="102">
        <v>1</v>
      </c>
      <c r="EM36" s="102"/>
    </row>
    <row r="37" spans="1:143" ht="15.75" customHeight="1" x14ac:dyDescent="0.55000000000000004">
      <c r="A37" s="99">
        <v>35</v>
      </c>
      <c r="B37" s="102" t="s">
        <v>1102</v>
      </c>
      <c r="C37" s="102" t="s">
        <v>1046</v>
      </c>
      <c r="D37" s="103">
        <v>32341</v>
      </c>
      <c r="E37" s="102" t="s">
        <v>914</v>
      </c>
      <c r="F37" s="102">
        <v>17</v>
      </c>
      <c r="G37" s="102">
        <v>7</v>
      </c>
      <c r="H37" s="102">
        <v>1988</v>
      </c>
      <c r="I37" s="102" t="s">
        <v>1103</v>
      </c>
      <c r="J37" s="102" t="s">
        <v>1104</v>
      </c>
      <c r="K37" s="102" t="s">
        <v>901</v>
      </c>
      <c r="L37" s="102">
        <v>33</v>
      </c>
      <c r="M37" s="102">
        <v>0</v>
      </c>
      <c r="N37" s="102">
        <v>2</v>
      </c>
      <c r="O37" s="102">
        <v>8</v>
      </c>
      <c r="P37" s="102">
        <v>0</v>
      </c>
      <c r="Q37" s="104">
        <v>0</v>
      </c>
      <c r="R37" s="102">
        <v>0</v>
      </c>
      <c r="S37" s="102" t="s">
        <v>853</v>
      </c>
      <c r="T37" s="102">
        <v>0</v>
      </c>
      <c r="U37" s="102">
        <v>0</v>
      </c>
      <c r="V37" s="102">
        <v>4</v>
      </c>
      <c r="W37" s="102">
        <v>5</v>
      </c>
      <c r="X37" s="102">
        <v>0</v>
      </c>
      <c r="Y37" s="102">
        <v>0</v>
      </c>
      <c r="Z37" s="102">
        <v>0</v>
      </c>
      <c r="AA37" s="102">
        <v>24</v>
      </c>
      <c r="AB37" s="102">
        <v>0</v>
      </c>
      <c r="AC37" s="102">
        <v>0</v>
      </c>
      <c r="AD37" s="102">
        <v>0</v>
      </c>
      <c r="AE37" s="102">
        <v>0</v>
      </c>
      <c r="AF37" s="102"/>
      <c r="AG37" s="102"/>
      <c r="AH37" s="102"/>
      <c r="AI37" s="102"/>
      <c r="AJ37" s="102"/>
      <c r="AK37" s="102"/>
      <c r="AL37" s="102"/>
      <c r="AM37" s="102"/>
      <c r="AN37" s="102">
        <v>3</v>
      </c>
      <c r="AO37" s="102">
        <v>0</v>
      </c>
      <c r="AP37" s="102">
        <v>1</v>
      </c>
      <c r="AQ37" s="102">
        <v>0</v>
      </c>
      <c r="AR37" s="102">
        <v>0</v>
      </c>
      <c r="AS37" s="102" t="s">
        <v>853</v>
      </c>
      <c r="AT37" s="102">
        <v>0</v>
      </c>
      <c r="AU37" s="102"/>
      <c r="AV37" s="102">
        <v>1</v>
      </c>
      <c r="AW37" s="102">
        <v>1</v>
      </c>
      <c r="AX37" s="102">
        <v>0</v>
      </c>
      <c r="AY37" s="102">
        <v>0</v>
      </c>
      <c r="AZ37" s="102">
        <v>2</v>
      </c>
      <c r="BA37" s="102">
        <v>2</v>
      </c>
      <c r="BB37" s="102">
        <v>0</v>
      </c>
      <c r="BC37" s="102">
        <v>0</v>
      </c>
      <c r="BD37" s="102">
        <v>0</v>
      </c>
      <c r="BE37" s="102">
        <v>0</v>
      </c>
      <c r="BF37" s="102">
        <v>0</v>
      </c>
      <c r="BG37" s="102">
        <v>0</v>
      </c>
      <c r="BH37" s="102">
        <v>0</v>
      </c>
      <c r="BI37" s="102">
        <v>3</v>
      </c>
      <c r="BJ37" s="102">
        <v>0</v>
      </c>
      <c r="BK37" s="102">
        <v>0</v>
      </c>
      <c r="BL37" s="102">
        <v>0</v>
      </c>
      <c r="BM37" s="102">
        <v>1</v>
      </c>
      <c r="BN37" s="102">
        <v>0</v>
      </c>
      <c r="BO37" s="102">
        <v>0</v>
      </c>
      <c r="BP37" s="102">
        <v>0</v>
      </c>
      <c r="BQ37" s="102">
        <v>0</v>
      </c>
      <c r="BR37" s="102">
        <v>0</v>
      </c>
      <c r="BS37" s="102">
        <v>0</v>
      </c>
      <c r="BT37" s="102">
        <v>0</v>
      </c>
      <c r="BU37" s="102">
        <v>1</v>
      </c>
      <c r="BV37" s="102">
        <v>0</v>
      </c>
      <c r="BW37" s="102">
        <v>0</v>
      </c>
      <c r="BX37" s="102">
        <v>0</v>
      </c>
      <c r="BY37" s="102">
        <v>0</v>
      </c>
      <c r="BZ37" s="102">
        <v>0</v>
      </c>
      <c r="CA37" s="102" t="s">
        <v>937</v>
      </c>
      <c r="CB37" s="102">
        <v>1</v>
      </c>
      <c r="CC37" s="102">
        <v>0</v>
      </c>
      <c r="CD37" s="102" t="s">
        <v>1105</v>
      </c>
      <c r="CE37" s="102">
        <v>1</v>
      </c>
      <c r="CF37" s="102">
        <v>1</v>
      </c>
      <c r="CG37" s="102">
        <v>0</v>
      </c>
      <c r="CH37" s="102">
        <v>0</v>
      </c>
      <c r="CI37" s="102">
        <v>1</v>
      </c>
      <c r="CJ37" s="102">
        <v>0</v>
      </c>
      <c r="CK37" s="102">
        <v>0</v>
      </c>
      <c r="CL37" s="102">
        <v>1</v>
      </c>
      <c r="CM37" s="102">
        <v>1</v>
      </c>
      <c r="CN37" s="102">
        <v>0</v>
      </c>
      <c r="CO37" s="102">
        <v>0</v>
      </c>
      <c r="CP37" s="102">
        <v>0</v>
      </c>
      <c r="CQ37" s="102">
        <v>0</v>
      </c>
      <c r="CR37" s="102">
        <v>0</v>
      </c>
      <c r="CS37" s="102">
        <v>0</v>
      </c>
      <c r="CT37" s="102" t="s">
        <v>853</v>
      </c>
      <c r="CU37" s="102">
        <v>0</v>
      </c>
      <c r="CV37" s="102">
        <v>2</v>
      </c>
      <c r="CW37" s="102">
        <v>0</v>
      </c>
      <c r="CX37" s="102">
        <v>0</v>
      </c>
      <c r="CY37" s="102" t="s">
        <v>954</v>
      </c>
      <c r="CZ37" s="102">
        <v>0</v>
      </c>
      <c r="DA37" s="102" t="s">
        <v>853</v>
      </c>
      <c r="DB37" s="102">
        <v>0</v>
      </c>
      <c r="DC37" s="102">
        <v>0</v>
      </c>
      <c r="DD37" s="102">
        <v>0</v>
      </c>
      <c r="DE37" s="102">
        <v>0</v>
      </c>
      <c r="DF37" s="102">
        <v>0</v>
      </c>
      <c r="DG37" s="102">
        <v>0</v>
      </c>
      <c r="DH37" s="102">
        <v>0</v>
      </c>
      <c r="DI37" s="102">
        <v>0</v>
      </c>
      <c r="DJ37" s="102">
        <v>0</v>
      </c>
      <c r="DK37" s="102">
        <v>0</v>
      </c>
      <c r="DL37" s="102">
        <v>0</v>
      </c>
      <c r="DM37" s="102">
        <v>0</v>
      </c>
      <c r="DN37" s="102">
        <v>1</v>
      </c>
      <c r="DO37" s="102">
        <v>0</v>
      </c>
      <c r="DP37" s="102">
        <v>3</v>
      </c>
      <c r="DQ37" s="102">
        <v>2</v>
      </c>
      <c r="DR37" s="102">
        <v>1</v>
      </c>
      <c r="DS37" s="102">
        <v>0</v>
      </c>
      <c r="DT37" s="105" t="s">
        <v>1106</v>
      </c>
      <c r="DU37" s="102">
        <v>1</v>
      </c>
      <c r="DV37" s="102">
        <v>0</v>
      </c>
      <c r="DW37" s="102">
        <v>0</v>
      </c>
      <c r="DX37" s="102" t="s">
        <v>853</v>
      </c>
      <c r="DY37" s="102">
        <v>0</v>
      </c>
      <c r="DZ37" s="102">
        <v>0</v>
      </c>
      <c r="EA37" s="102" t="s">
        <v>853</v>
      </c>
      <c r="EB37" s="102">
        <v>0</v>
      </c>
      <c r="EC37" s="102">
        <v>0</v>
      </c>
      <c r="ED37" s="102">
        <v>0</v>
      </c>
      <c r="EE37" s="102">
        <v>0</v>
      </c>
      <c r="EF37" s="102">
        <v>1</v>
      </c>
      <c r="EG37" s="102">
        <v>0</v>
      </c>
      <c r="EH37" s="102" t="s">
        <v>853</v>
      </c>
      <c r="EI37" s="102">
        <v>2</v>
      </c>
      <c r="EJ37" s="102">
        <v>0</v>
      </c>
      <c r="EK37" s="102">
        <v>1</v>
      </c>
      <c r="EL37" s="102">
        <v>4</v>
      </c>
      <c r="EM37" s="102"/>
    </row>
    <row r="38" spans="1:143" ht="15.75" customHeight="1" x14ac:dyDescent="0.55000000000000004">
      <c r="A38" s="99">
        <v>36</v>
      </c>
      <c r="B38" s="102" t="s">
        <v>1107</v>
      </c>
      <c r="C38" s="102" t="s">
        <v>1108</v>
      </c>
      <c r="D38" s="103">
        <v>32408</v>
      </c>
      <c r="E38" s="102" t="s">
        <v>995</v>
      </c>
      <c r="F38" s="102">
        <v>22</v>
      </c>
      <c r="G38" s="102">
        <v>9</v>
      </c>
      <c r="H38" s="102">
        <v>1988</v>
      </c>
      <c r="I38" s="102" t="s">
        <v>1109</v>
      </c>
      <c r="J38" s="102" t="s">
        <v>1110</v>
      </c>
      <c r="K38" s="102" t="s">
        <v>1111</v>
      </c>
      <c r="L38" s="102">
        <v>13</v>
      </c>
      <c r="M38" s="102">
        <v>1</v>
      </c>
      <c r="N38" s="102">
        <v>0</v>
      </c>
      <c r="O38" s="102">
        <v>4</v>
      </c>
      <c r="P38" s="102">
        <v>0</v>
      </c>
      <c r="Q38" s="104">
        <v>0</v>
      </c>
      <c r="R38" s="102">
        <v>1</v>
      </c>
      <c r="S38" s="102">
        <v>0</v>
      </c>
      <c r="T38" s="102">
        <v>1</v>
      </c>
      <c r="U38" s="102">
        <v>1</v>
      </c>
      <c r="V38" s="102">
        <v>4</v>
      </c>
      <c r="W38" s="102">
        <v>2</v>
      </c>
      <c r="X38" s="102">
        <v>0</v>
      </c>
      <c r="Y38" s="102">
        <v>0</v>
      </c>
      <c r="Z38" s="102">
        <v>0</v>
      </c>
      <c r="AA38" s="102">
        <v>40</v>
      </c>
      <c r="AB38" s="102">
        <v>0</v>
      </c>
      <c r="AC38" s="102">
        <v>1</v>
      </c>
      <c r="AD38" s="102">
        <v>0</v>
      </c>
      <c r="AE38" s="102">
        <v>0</v>
      </c>
      <c r="AF38" s="102">
        <v>1</v>
      </c>
      <c r="AG38" s="102"/>
      <c r="AH38" s="102"/>
      <c r="AI38" s="102"/>
      <c r="AJ38" s="102"/>
      <c r="AK38" s="102"/>
      <c r="AL38" s="102"/>
      <c r="AM38" s="102"/>
      <c r="AN38" s="102">
        <v>2</v>
      </c>
      <c r="AO38" s="102">
        <v>1</v>
      </c>
      <c r="AP38" s="102">
        <v>0</v>
      </c>
      <c r="AQ38" s="102">
        <v>0</v>
      </c>
      <c r="AR38" s="102">
        <v>1</v>
      </c>
      <c r="AS38" s="102">
        <v>0</v>
      </c>
      <c r="AT38" s="102">
        <v>0</v>
      </c>
      <c r="AU38" s="102"/>
      <c r="AV38" s="102">
        <v>0</v>
      </c>
      <c r="AW38" s="102">
        <v>1</v>
      </c>
      <c r="AX38" s="102">
        <v>0</v>
      </c>
      <c r="AY38" s="102" t="s">
        <v>1112</v>
      </c>
      <c r="AZ38" s="102">
        <v>4</v>
      </c>
      <c r="BA38" s="102">
        <v>1</v>
      </c>
      <c r="BB38" s="102">
        <v>0</v>
      </c>
      <c r="BC38" s="102">
        <v>0</v>
      </c>
      <c r="BD38" s="102">
        <v>0</v>
      </c>
      <c r="BE38" s="102">
        <v>0</v>
      </c>
      <c r="BF38" s="102">
        <v>0</v>
      </c>
      <c r="BG38" s="102">
        <v>0</v>
      </c>
      <c r="BH38" s="102">
        <v>0</v>
      </c>
      <c r="BI38" s="102">
        <v>3</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4</v>
      </c>
      <c r="CA38" s="102">
        <v>0</v>
      </c>
      <c r="CB38" s="102">
        <v>1</v>
      </c>
      <c r="CC38" s="102">
        <v>3</v>
      </c>
      <c r="CD38" s="102" t="s">
        <v>1113</v>
      </c>
      <c r="CE38" s="102">
        <v>0</v>
      </c>
      <c r="CF38" s="102">
        <v>0</v>
      </c>
      <c r="CG38" s="102">
        <v>1</v>
      </c>
      <c r="CH38" s="102">
        <v>1</v>
      </c>
      <c r="CI38" s="102">
        <v>1</v>
      </c>
      <c r="CJ38" s="102">
        <v>1</v>
      </c>
      <c r="CK38" s="102">
        <v>1</v>
      </c>
      <c r="CL38" s="102">
        <v>1</v>
      </c>
      <c r="CM38" s="102">
        <v>0</v>
      </c>
      <c r="CN38" s="102">
        <v>0</v>
      </c>
      <c r="CO38" s="102">
        <v>0</v>
      </c>
      <c r="CP38" s="102">
        <v>0</v>
      </c>
      <c r="CQ38" s="102">
        <v>0</v>
      </c>
      <c r="CR38" s="102">
        <v>0</v>
      </c>
      <c r="CS38" s="102">
        <v>1</v>
      </c>
      <c r="CT38" s="102" t="s">
        <v>1114</v>
      </c>
      <c r="CU38" s="102">
        <v>1</v>
      </c>
      <c r="CV38" s="102" t="s">
        <v>937</v>
      </c>
      <c r="CW38" s="102">
        <v>0</v>
      </c>
      <c r="CX38" s="102">
        <v>0</v>
      </c>
      <c r="CY38" s="102">
        <v>2</v>
      </c>
      <c r="CZ38" s="102">
        <v>1</v>
      </c>
      <c r="DA38" s="102" t="s">
        <v>1115</v>
      </c>
      <c r="DB38" s="102">
        <v>1</v>
      </c>
      <c r="DC38" s="102">
        <v>0</v>
      </c>
      <c r="DD38" s="102">
        <v>0</v>
      </c>
      <c r="DE38" s="102">
        <v>0</v>
      </c>
      <c r="DF38" s="102">
        <v>0</v>
      </c>
      <c r="DG38" s="102">
        <v>0</v>
      </c>
      <c r="DH38" s="102">
        <v>0</v>
      </c>
      <c r="DI38" s="102">
        <v>0</v>
      </c>
      <c r="DJ38" s="102">
        <v>0</v>
      </c>
      <c r="DK38" s="102">
        <v>0</v>
      </c>
      <c r="DL38" s="102">
        <v>0</v>
      </c>
      <c r="DM38" s="102">
        <v>0</v>
      </c>
      <c r="DN38" s="102">
        <v>0</v>
      </c>
      <c r="DO38" s="102">
        <v>1</v>
      </c>
      <c r="DP38" s="102">
        <v>1</v>
      </c>
      <c r="DQ38" s="102">
        <v>2</v>
      </c>
      <c r="DR38" s="102">
        <v>0</v>
      </c>
      <c r="DS38" s="102" t="s">
        <v>853</v>
      </c>
      <c r="DT38" s="105" t="s">
        <v>853</v>
      </c>
      <c r="DU38" s="102" t="s">
        <v>853</v>
      </c>
      <c r="DV38" s="102">
        <v>0</v>
      </c>
      <c r="DW38" s="102">
        <v>0</v>
      </c>
      <c r="DX38" s="102" t="s">
        <v>853</v>
      </c>
      <c r="DY38" s="102">
        <v>0</v>
      </c>
      <c r="DZ38" s="102">
        <v>0</v>
      </c>
      <c r="EA38" s="102" t="s">
        <v>853</v>
      </c>
      <c r="EB38" s="102">
        <v>0</v>
      </c>
      <c r="EC38" s="102">
        <v>0</v>
      </c>
      <c r="ED38" s="102">
        <v>0</v>
      </c>
      <c r="EE38" s="102">
        <v>3</v>
      </c>
      <c r="EF38" s="102">
        <v>1</v>
      </c>
      <c r="EG38" s="102">
        <v>0</v>
      </c>
      <c r="EH38" s="102" t="s">
        <v>853</v>
      </c>
      <c r="EI38" s="102">
        <v>1</v>
      </c>
      <c r="EJ38" s="102">
        <v>0</v>
      </c>
      <c r="EK38" s="102">
        <v>2</v>
      </c>
      <c r="EL38" s="102">
        <v>0</v>
      </c>
      <c r="EM38" s="102"/>
    </row>
    <row r="39" spans="1:143" ht="15.75" customHeight="1" x14ac:dyDescent="0.55000000000000004">
      <c r="A39" s="99">
        <v>37</v>
      </c>
      <c r="B39" s="102" t="s">
        <v>1116</v>
      </c>
      <c r="C39" s="102" t="s">
        <v>1082</v>
      </c>
      <c r="D39" s="103">
        <v>32525</v>
      </c>
      <c r="E39" s="102" t="s">
        <v>1032</v>
      </c>
      <c r="F39" s="102">
        <v>17</v>
      </c>
      <c r="G39" s="102">
        <v>1</v>
      </c>
      <c r="H39" s="102">
        <v>1989</v>
      </c>
      <c r="I39" s="102" t="s">
        <v>1117</v>
      </c>
      <c r="J39" s="102" t="s">
        <v>1118</v>
      </c>
      <c r="K39" s="102" t="s">
        <v>930</v>
      </c>
      <c r="L39" s="102">
        <v>5</v>
      </c>
      <c r="M39" s="102">
        <v>3</v>
      </c>
      <c r="N39" s="102">
        <v>2</v>
      </c>
      <c r="O39" s="102">
        <v>0</v>
      </c>
      <c r="P39" s="102">
        <v>0</v>
      </c>
      <c r="Q39" s="104">
        <v>0</v>
      </c>
      <c r="R39" s="102">
        <v>0</v>
      </c>
      <c r="S39" s="102" t="s">
        <v>853</v>
      </c>
      <c r="T39" s="102">
        <v>0</v>
      </c>
      <c r="U39" s="102">
        <v>0</v>
      </c>
      <c r="V39" s="102">
        <v>5</v>
      </c>
      <c r="W39" s="102">
        <v>30</v>
      </c>
      <c r="X39" s="102">
        <v>0</v>
      </c>
      <c r="Y39" s="102">
        <v>0</v>
      </c>
      <c r="Z39" s="102">
        <v>0</v>
      </c>
      <c r="AA39" s="102">
        <v>24</v>
      </c>
      <c r="AB39" s="102">
        <v>0</v>
      </c>
      <c r="AC39" s="102">
        <v>0</v>
      </c>
      <c r="AD39" s="102">
        <v>0</v>
      </c>
      <c r="AE39" s="102">
        <v>1</v>
      </c>
      <c r="AF39" s="102">
        <v>0</v>
      </c>
      <c r="AG39" s="102">
        <v>2</v>
      </c>
      <c r="AH39" s="102">
        <v>0</v>
      </c>
      <c r="AI39" s="102" t="s">
        <v>1119</v>
      </c>
      <c r="AJ39" s="102">
        <v>2</v>
      </c>
      <c r="AK39" s="102">
        <v>2</v>
      </c>
      <c r="AL39" s="102">
        <v>1</v>
      </c>
      <c r="AM39" s="102">
        <v>1</v>
      </c>
      <c r="AN39" s="102">
        <v>0</v>
      </c>
      <c r="AO39" s="102">
        <v>0</v>
      </c>
      <c r="AP39" s="102">
        <v>0</v>
      </c>
      <c r="AQ39" s="102">
        <v>0</v>
      </c>
      <c r="AR39" s="102">
        <v>0</v>
      </c>
      <c r="AS39" s="102" t="s">
        <v>853</v>
      </c>
      <c r="AT39" s="102">
        <v>0</v>
      </c>
      <c r="AU39" s="102"/>
      <c r="AV39" s="102">
        <v>0</v>
      </c>
      <c r="AW39" s="102">
        <v>1</v>
      </c>
      <c r="AX39" s="102">
        <v>0</v>
      </c>
      <c r="AY39" s="102" t="s">
        <v>1120</v>
      </c>
      <c r="AZ39" s="102">
        <v>4</v>
      </c>
      <c r="BA39" s="102">
        <v>1</v>
      </c>
      <c r="BB39" s="102">
        <v>0</v>
      </c>
      <c r="BC39" s="102">
        <v>2</v>
      </c>
      <c r="BD39" s="102">
        <v>1</v>
      </c>
      <c r="BE39" s="102">
        <v>0</v>
      </c>
      <c r="BF39" s="102">
        <v>0</v>
      </c>
      <c r="BG39" s="102">
        <v>0</v>
      </c>
      <c r="BH39" s="102">
        <v>0</v>
      </c>
      <c r="BI39" s="102">
        <v>3</v>
      </c>
      <c r="BJ39" s="102">
        <v>0</v>
      </c>
      <c r="BK39" s="102">
        <v>0</v>
      </c>
      <c r="BL39" s="102">
        <v>1</v>
      </c>
      <c r="BM39" s="102">
        <v>1</v>
      </c>
      <c r="BN39" s="102">
        <v>0</v>
      </c>
      <c r="BO39" s="102">
        <v>0</v>
      </c>
      <c r="BP39" s="102">
        <v>1</v>
      </c>
      <c r="BQ39" s="102">
        <v>0</v>
      </c>
      <c r="BR39" s="102">
        <v>1</v>
      </c>
      <c r="BS39" s="102">
        <v>0</v>
      </c>
      <c r="BT39" s="102">
        <v>1</v>
      </c>
      <c r="BU39" s="102">
        <v>0</v>
      </c>
      <c r="BV39" s="102">
        <v>1</v>
      </c>
      <c r="BW39" s="102">
        <v>0</v>
      </c>
      <c r="BX39" s="102">
        <v>1</v>
      </c>
      <c r="BY39" s="102">
        <v>0</v>
      </c>
      <c r="BZ39" s="102">
        <v>0</v>
      </c>
      <c r="CA39" s="102">
        <v>2</v>
      </c>
      <c r="CB39" s="102">
        <v>1</v>
      </c>
      <c r="CC39" s="102">
        <v>3</v>
      </c>
      <c r="CD39" s="102" t="s">
        <v>1121</v>
      </c>
      <c r="CE39" s="102">
        <v>1</v>
      </c>
      <c r="CF39" s="102">
        <v>0</v>
      </c>
      <c r="CG39" s="102">
        <v>0</v>
      </c>
      <c r="CH39" s="102">
        <v>0</v>
      </c>
      <c r="CI39" s="102">
        <v>1</v>
      </c>
      <c r="CJ39" s="102">
        <v>0</v>
      </c>
      <c r="CK39" s="102">
        <v>1</v>
      </c>
      <c r="CL39" s="102">
        <v>0</v>
      </c>
      <c r="CM39" s="102">
        <v>0</v>
      </c>
      <c r="CN39" s="102">
        <v>1</v>
      </c>
      <c r="CO39" s="102">
        <v>1</v>
      </c>
      <c r="CP39" s="102">
        <v>2</v>
      </c>
      <c r="CQ39" s="102">
        <v>1</v>
      </c>
      <c r="CR39" s="102" t="s">
        <v>937</v>
      </c>
      <c r="CS39" s="102">
        <v>1</v>
      </c>
      <c r="CT39" s="102" t="s">
        <v>1122</v>
      </c>
      <c r="CU39" s="102">
        <v>0</v>
      </c>
      <c r="CV39" s="102">
        <v>1</v>
      </c>
      <c r="CW39" s="102">
        <v>1</v>
      </c>
      <c r="CX39" s="102">
        <v>0</v>
      </c>
      <c r="CY39" s="102" t="s">
        <v>1123</v>
      </c>
      <c r="CZ39" s="102">
        <v>1</v>
      </c>
      <c r="DA39" s="102" t="s">
        <v>1124</v>
      </c>
      <c r="DB39" s="102">
        <v>0</v>
      </c>
      <c r="DC39" s="102">
        <v>1</v>
      </c>
      <c r="DD39" s="102">
        <v>1</v>
      </c>
      <c r="DE39" s="102">
        <v>0</v>
      </c>
      <c r="DF39" s="102">
        <v>0</v>
      </c>
      <c r="DG39" s="102">
        <v>0</v>
      </c>
      <c r="DH39" s="102">
        <v>0</v>
      </c>
      <c r="DI39" s="102">
        <v>0</v>
      </c>
      <c r="DJ39" s="102">
        <v>0</v>
      </c>
      <c r="DK39" s="102">
        <v>0</v>
      </c>
      <c r="DL39" s="102">
        <v>0</v>
      </c>
      <c r="DM39" s="102">
        <v>1</v>
      </c>
      <c r="DN39" s="102">
        <v>0</v>
      </c>
      <c r="DO39" s="102">
        <v>0</v>
      </c>
      <c r="DP39" s="102">
        <v>0</v>
      </c>
      <c r="DQ39" s="102">
        <v>2</v>
      </c>
      <c r="DR39" s="102">
        <v>1</v>
      </c>
      <c r="DS39" s="102">
        <v>0</v>
      </c>
      <c r="DT39" s="105" t="s">
        <v>956</v>
      </c>
      <c r="DU39" s="102">
        <v>0</v>
      </c>
      <c r="DV39" s="102">
        <v>1</v>
      </c>
      <c r="DW39" s="102">
        <v>0</v>
      </c>
      <c r="DX39" s="102" t="s">
        <v>853</v>
      </c>
      <c r="DY39" s="102">
        <v>0</v>
      </c>
      <c r="DZ39" s="102">
        <v>0</v>
      </c>
      <c r="EA39" s="102" t="s">
        <v>853</v>
      </c>
      <c r="EB39" s="102">
        <v>1</v>
      </c>
      <c r="EC39" s="102">
        <v>0</v>
      </c>
      <c r="ED39" s="102">
        <v>1</v>
      </c>
      <c r="EE39" s="102">
        <v>1</v>
      </c>
      <c r="EF39" s="102">
        <v>2</v>
      </c>
      <c r="EG39" s="102">
        <v>1</v>
      </c>
      <c r="EH39" s="102" t="s">
        <v>1125</v>
      </c>
      <c r="EI39" s="102">
        <v>0</v>
      </c>
      <c r="EJ39" s="102">
        <v>0</v>
      </c>
      <c r="EK39" s="102">
        <v>2</v>
      </c>
      <c r="EL39" s="102">
        <v>0</v>
      </c>
      <c r="EM39" s="102"/>
    </row>
    <row r="40" spans="1:143" ht="15.75" customHeight="1" x14ac:dyDescent="0.55000000000000004">
      <c r="A40" s="99">
        <v>38</v>
      </c>
      <c r="B40" s="102" t="s">
        <v>1126</v>
      </c>
      <c r="C40" s="102" t="s">
        <v>890</v>
      </c>
      <c r="D40" s="103">
        <v>32765</v>
      </c>
      <c r="E40" s="102" t="s">
        <v>995</v>
      </c>
      <c r="F40" s="102">
        <v>14</v>
      </c>
      <c r="G40" s="102">
        <v>9</v>
      </c>
      <c r="H40" s="102">
        <v>1989</v>
      </c>
      <c r="I40" s="102" t="s">
        <v>1127</v>
      </c>
      <c r="J40" s="102" t="s">
        <v>1128</v>
      </c>
      <c r="K40" s="102" t="s">
        <v>1002</v>
      </c>
      <c r="L40" s="102">
        <v>17</v>
      </c>
      <c r="M40" s="102">
        <v>0</v>
      </c>
      <c r="N40" s="102">
        <v>0</v>
      </c>
      <c r="O40" s="106">
        <v>9</v>
      </c>
      <c r="P40" s="102">
        <v>1</v>
      </c>
      <c r="Q40" s="104">
        <v>1</v>
      </c>
      <c r="R40" s="102">
        <v>0</v>
      </c>
      <c r="S40" s="102" t="s">
        <v>853</v>
      </c>
      <c r="T40" s="102">
        <v>0</v>
      </c>
      <c r="U40" s="102">
        <v>0</v>
      </c>
      <c r="V40" s="102">
        <v>9</v>
      </c>
      <c r="W40" s="102">
        <v>12</v>
      </c>
      <c r="X40" s="102">
        <v>0</v>
      </c>
      <c r="Y40" s="102">
        <v>0</v>
      </c>
      <c r="Z40" s="102">
        <v>0</v>
      </c>
      <c r="AA40" s="102">
        <v>47</v>
      </c>
      <c r="AB40" s="102">
        <v>0</v>
      </c>
      <c r="AC40" s="102">
        <v>0</v>
      </c>
      <c r="AD40" s="102">
        <v>0</v>
      </c>
      <c r="AE40" s="102">
        <v>0</v>
      </c>
      <c r="AF40" s="102"/>
      <c r="AG40" s="102">
        <v>1</v>
      </c>
      <c r="AH40" s="102">
        <v>0</v>
      </c>
      <c r="AI40" s="102" t="s">
        <v>1129</v>
      </c>
      <c r="AJ40" s="102">
        <v>0</v>
      </c>
      <c r="AK40" s="102">
        <v>0</v>
      </c>
      <c r="AL40" s="102">
        <v>0</v>
      </c>
      <c r="AM40" s="102">
        <v>0</v>
      </c>
      <c r="AN40" s="102">
        <v>1</v>
      </c>
      <c r="AO40" s="102">
        <v>1</v>
      </c>
      <c r="AP40" s="102">
        <v>0</v>
      </c>
      <c r="AQ40" s="102">
        <v>0</v>
      </c>
      <c r="AR40" s="102">
        <v>0</v>
      </c>
      <c r="AS40" s="102" t="s">
        <v>853</v>
      </c>
      <c r="AT40" s="102">
        <v>0</v>
      </c>
      <c r="AU40" s="102"/>
      <c r="AV40" s="102">
        <v>0</v>
      </c>
      <c r="AW40" s="102">
        <v>0</v>
      </c>
      <c r="AX40" s="102">
        <v>0</v>
      </c>
      <c r="AY40" s="102">
        <v>0</v>
      </c>
      <c r="AZ40" s="102">
        <v>0</v>
      </c>
      <c r="BA40" s="102">
        <v>0</v>
      </c>
      <c r="BB40" s="102">
        <v>0</v>
      </c>
      <c r="BC40" s="102">
        <v>0</v>
      </c>
      <c r="BD40" s="102">
        <v>0</v>
      </c>
      <c r="BE40" s="102">
        <v>0</v>
      </c>
      <c r="BF40" s="102">
        <v>0</v>
      </c>
      <c r="BG40" s="102">
        <v>0</v>
      </c>
      <c r="BH40" s="102">
        <v>0</v>
      </c>
      <c r="BI40" s="102">
        <v>3</v>
      </c>
      <c r="BJ40" s="102">
        <v>0</v>
      </c>
      <c r="BK40" s="102">
        <v>0</v>
      </c>
      <c r="BL40" s="102">
        <v>1</v>
      </c>
      <c r="BM40" s="102">
        <v>0</v>
      </c>
      <c r="BN40" s="102">
        <v>1</v>
      </c>
      <c r="BO40" s="102">
        <v>0</v>
      </c>
      <c r="BP40" s="102">
        <v>1</v>
      </c>
      <c r="BQ40" s="102">
        <v>0</v>
      </c>
      <c r="BR40" s="102">
        <v>0</v>
      </c>
      <c r="BS40" s="102">
        <v>0</v>
      </c>
      <c r="BT40" s="102">
        <v>1</v>
      </c>
      <c r="BU40" s="102">
        <v>0</v>
      </c>
      <c r="BV40" s="102">
        <v>0</v>
      </c>
      <c r="BW40" s="102">
        <v>0</v>
      </c>
      <c r="BX40" s="102">
        <v>0</v>
      </c>
      <c r="BY40" s="102">
        <v>0</v>
      </c>
      <c r="BZ40" s="102">
        <v>0</v>
      </c>
      <c r="CA40" s="102">
        <v>2</v>
      </c>
      <c r="CB40" s="102">
        <v>1</v>
      </c>
      <c r="CC40" s="102">
        <v>3</v>
      </c>
      <c r="CD40" s="102" t="s">
        <v>1130</v>
      </c>
      <c r="CE40" s="102">
        <v>1</v>
      </c>
      <c r="CF40" s="102">
        <v>1</v>
      </c>
      <c r="CG40" s="102">
        <v>0</v>
      </c>
      <c r="CH40" s="102">
        <v>0</v>
      </c>
      <c r="CI40" s="102">
        <v>1</v>
      </c>
      <c r="CJ40" s="102">
        <v>1</v>
      </c>
      <c r="CK40" s="102">
        <v>1</v>
      </c>
      <c r="CL40" s="102">
        <v>1</v>
      </c>
      <c r="CM40" s="102">
        <v>1</v>
      </c>
      <c r="CN40" s="102">
        <v>1</v>
      </c>
      <c r="CO40" s="102">
        <v>1</v>
      </c>
      <c r="CP40" s="102">
        <v>1</v>
      </c>
      <c r="CQ40" s="102">
        <v>0</v>
      </c>
      <c r="CR40" s="102">
        <v>0</v>
      </c>
      <c r="CS40" s="102">
        <v>1</v>
      </c>
      <c r="CT40" s="102" t="s">
        <v>1131</v>
      </c>
      <c r="CU40" s="102">
        <v>1</v>
      </c>
      <c r="CV40" s="102">
        <v>1</v>
      </c>
      <c r="CW40" s="102">
        <v>0</v>
      </c>
      <c r="CX40" s="102">
        <v>0</v>
      </c>
      <c r="CY40" s="102">
        <v>0</v>
      </c>
      <c r="CZ40" s="102">
        <v>1</v>
      </c>
      <c r="DA40" s="102" t="s">
        <v>1132</v>
      </c>
      <c r="DB40" s="102">
        <v>0</v>
      </c>
      <c r="DC40" s="102">
        <v>0</v>
      </c>
      <c r="DD40" s="102">
        <v>0</v>
      </c>
      <c r="DE40" s="102">
        <v>0</v>
      </c>
      <c r="DF40" s="102">
        <v>0</v>
      </c>
      <c r="DG40" s="102">
        <v>0</v>
      </c>
      <c r="DH40" s="102">
        <v>1</v>
      </c>
      <c r="DI40" s="102">
        <v>1</v>
      </c>
      <c r="DJ40" s="102">
        <v>0</v>
      </c>
      <c r="DK40" s="102">
        <v>0</v>
      </c>
      <c r="DL40" s="102">
        <v>0</v>
      </c>
      <c r="DM40" s="102">
        <v>0</v>
      </c>
      <c r="DN40" s="102">
        <v>0</v>
      </c>
      <c r="DO40" s="102">
        <v>0</v>
      </c>
      <c r="DP40" s="102">
        <v>0</v>
      </c>
      <c r="DQ40" s="102">
        <v>2</v>
      </c>
      <c r="DR40" s="102">
        <v>1</v>
      </c>
      <c r="DS40" s="102">
        <v>0</v>
      </c>
      <c r="DT40" s="105" t="s">
        <v>945</v>
      </c>
      <c r="DU40" s="102">
        <v>1</v>
      </c>
      <c r="DV40" s="102">
        <v>0</v>
      </c>
      <c r="DW40" s="102">
        <v>1</v>
      </c>
      <c r="DX40" s="102" t="s">
        <v>1133</v>
      </c>
      <c r="DY40" s="102">
        <v>0</v>
      </c>
      <c r="DZ40" s="102">
        <v>0</v>
      </c>
      <c r="EA40" s="102" t="s">
        <v>853</v>
      </c>
      <c r="EB40" s="102">
        <v>1</v>
      </c>
      <c r="EC40" s="102">
        <v>0</v>
      </c>
      <c r="ED40" s="102">
        <v>0</v>
      </c>
      <c r="EE40" s="102">
        <v>1</v>
      </c>
      <c r="EF40" s="102">
        <v>5</v>
      </c>
      <c r="EG40" s="102">
        <v>0</v>
      </c>
      <c r="EH40" s="102" t="s">
        <v>853</v>
      </c>
      <c r="EI40" s="102">
        <v>0</v>
      </c>
      <c r="EJ40" s="102">
        <v>0</v>
      </c>
      <c r="EK40" s="102">
        <v>2</v>
      </c>
      <c r="EL40" s="102">
        <v>0</v>
      </c>
      <c r="EM40" s="102"/>
    </row>
    <row r="41" spans="1:143" ht="15.75" customHeight="1" x14ac:dyDescent="0.55000000000000004">
      <c r="A41" s="99">
        <v>39</v>
      </c>
      <c r="B41" s="102" t="s">
        <v>1134</v>
      </c>
      <c r="C41" s="102" t="s">
        <v>1061</v>
      </c>
      <c r="D41" s="103">
        <v>33042</v>
      </c>
      <c r="E41" s="102" t="s">
        <v>846</v>
      </c>
      <c r="F41" s="102">
        <v>18</v>
      </c>
      <c r="G41" s="102">
        <v>6</v>
      </c>
      <c r="H41" s="102">
        <v>1990</v>
      </c>
      <c r="I41" s="102" t="s">
        <v>1135</v>
      </c>
      <c r="J41" s="102" t="s">
        <v>1136</v>
      </c>
      <c r="K41" s="102" t="s">
        <v>1022</v>
      </c>
      <c r="L41" s="102">
        <v>9</v>
      </c>
      <c r="M41" s="102">
        <v>0</v>
      </c>
      <c r="N41" s="102">
        <v>0</v>
      </c>
      <c r="O41" s="102">
        <v>4</v>
      </c>
      <c r="P41" s="102">
        <v>0</v>
      </c>
      <c r="Q41" s="104">
        <v>0</v>
      </c>
      <c r="R41" s="102">
        <v>1</v>
      </c>
      <c r="S41" s="102">
        <v>8</v>
      </c>
      <c r="T41" s="102">
        <v>0</v>
      </c>
      <c r="U41" s="102">
        <v>0</v>
      </c>
      <c r="V41" s="102">
        <v>11</v>
      </c>
      <c r="W41" s="102">
        <v>6</v>
      </c>
      <c r="X41" s="102">
        <v>0</v>
      </c>
      <c r="Y41" s="102">
        <v>0</v>
      </c>
      <c r="Z41" s="102">
        <v>0</v>
      </c>
      <c r="AA41" s="102">
        <v>42</v>
      </c>
      <c r="AB41" s="102">
        <v>0</v>
      </c>
      <c r="AC41" s="102">
        <v>1</v>
      </c>
      <c r="AD41" s="102">
        <v>0</v>
      </c>
      <c r="AE41" s="102">
        <v>0</v>
      </c>
      <c r="AF41" s="102"/>
      <c r="AG41" s="102"/>
      <c r="AH41" s="102"/>
      <c r="AI41" s="102"/>
      <c r="AJ41" s="102">
        <v>1</v>
      </c>
      <c r="AK41" s="102">
        <v>8</v>
      </c>
      <c r="AL41" s="102">
        <v>0</v>
      </c>
      <c r="AM41" s="102">
        <v>8</v>
      </c>
      <c r="AN41" s="102">
        <v>3</v>
      </c>
      <c r="AO41" s="102">
        <v>0</v>
      </c>
      <c r="AP41" s="102">
        <v>1</v>
      </c>
      <c r="AQ41" s="102">
        <v>0</v>
      </c>
      <c r="AR41" s="102">
        <v>0</v>
      </c>
      <c r="AS41" s="102" t="s">
        <v>853</v>
      </c>
      <c r="AT41" s="102">
        <v>0</v>
      </c>
      <c r="AU41" s="102"/>
      <c r="AV41" s="102">
        <v>0</v>
      </c>
      <c r="AW41" s="102">
        <v>1</v>
      </c>
      <c r="AX41" s="102" t="s">
        <v>937</v>
      </c>
      <c r="AY41" s="102" t="s">
        <v>1137</v>
      </c>
      <c r="AZ41" s="102">
        <v>4</v>
      </c>
      <c r="BA41" s="102">
        <v>1</v>
      </c>
      <c r="BB41" s="102">
        <v>0</v>
      </c>
      <c r="BC41" s="102">
        <v>1</v>
      </c>
      <c r="BD41" s="102" t="s">
        <v>922</v>
      </c>
      <c r="BE41" s="102">
        <v>0</v>
      </c>
      <c r="BF41" s="102">
        <v>1</v>
      </c>
      <c r="BG41" s="102">
        <v>0</v>
      </c>
      <c r="BH41" s="102">
        <v>0</v>
      </c>
      <c r="BI41" s="102">
        <v>3</v>
      </c>
      <c r="BJ41" s="102">
        <v>0</v>
      </c>
      <c r="BK41" s="102">
        <v>0</v>
      </c>
      <c r="BL41" s="102">
        <v>1</v>
      </c>
      <c r="BM41" s="102">
        <v>1</v>
      </c>
      <c r="BN41" s="102">
        <v>0</v>
      </c>
      <c r="BO41" s="102">
        <v>0</v>
      </c>
      <c r="BP41" s="102">
        <v>0</v>
      </c>
      <c r="BQ41" s="102">
        <v>0</v>
      </c>
      <c r="BR41" s="102">
        <v>0</v>
      </c>
      <c r="BS41" s="102">
        <v>0</v>
      </c>
      <c r="BT41" s="102">
        <v>0</v>
      </c>
      <c r="BU41" s="102">
        <v>0</v>
      </c>
      <c r="BV41" s="102">
        <v>0</v>
      </c>
      <c r="BW41" s="102">
        <v>0</v>
      </c>
      <c r="BX41" s="102">
        <v>0</v>
      </c>
      <c r="BY41" s="102">
        <v>0</v>
      </c>
      <c r="BZ41" s="102">
        <v>1</v>
      </c>
      <c r="CA41" s="102" t="s">
        <v>954</v>
      </c>
      <c r="CB41" s="102">
        <v>1</v>
      </c>
      <c r="CC41" s="102">
        <v>3</v>
      </c>
      <c r="CD41" s="102" t="s">
        <v>1138</v>
      </c>
      <c r="CE41" s="102">
        <v>0</v>
      </c>
      <c r="CF41" s="102">
        <v>1</v>
      </c>
      <c r="CG41" s="102">
        <v>0</v>
      </c>
      <c r="CH41" s="102">
        <v>0</v>
      </c>
      <c r="CI41" s="102">
        <v>1</v>
      </c>
      <c r="CJ41" s="102">
        <v>1</v>
      </c>
      <c r="CK41" s="102">
        <v>1</v>
      </c>
      <c r="CL41" s="102">
        <v>0</v>
      </c>
      <c r="CM41" s="102">
        <v>0</v>
      </c>
      <c r="CN41" s="102">
        <v>2</v>
      </c>
      <c r="CO41" s="102">
        <v>0</v>
      </c>
      <c r="CP41" s="102">
        <v>0</v>
      </c>
      <c r="CQ41" s="102">
        <v>0</v>
      </c>
      <c r="CR41" s="102">
        <v>0</v>
      </c>
      <c r="CS41" s="102">
        <v>0</v>
      </c>
      <c r="CT41" s="102" t="s">
        <v>853</v>
      </c>
      <c r="CU41" s="102">
        <v>0</v>
      </c>
      <c r="CV41" s="102">
        <v>0</v>
      </c>
      <c r="CW41" s="102">
        <v>0</v>
      </c>
      <c r="CX41" s="102">
        <v>0</v>
      </c>
      <c r="CY41" s="102">
        <v>0</v>
      </c>
      <c r="CZ41" s="102">
        <v>0</v>
      </c>
      <c r="DA41" s="102" t="s">
        <v>853</v>
      </c>
      <c r="DB41" s="102">
        <v>0</v>
      </c>
      <c r="DC41" s="102">
        <v>0</v>
      </c>
      <c r="DD41" s="102">
        <v>0</v>
      </c>
      <c r="DE41" s="102">
        <v>0</v>
      </c>
      <c r="DF41" s="102">
        <v>0</v>
      </c>
      <c r="DG41" s="102">
        <v>0</v>
      </c>
      <c r="DH41" s="102">
        <v>0</v>
      </c>
      <c r="DI41" s="102">
        <v>1</v>
      </c>
      <c r="DJ41" s="102">
        <v>0</v>
      </c>
      <c r="DK41" s="102">
        <v>0</v>
      </c>
      <c r="DL41" s="102">
        <v>0</v>
      </c>
      <c r="DM41" s="102">
        <v>0</v>
      </c>
      <c r="DN41" s="102">
        <v>0</v>
      </c>
      <c r="DO41" s="102">
        <v>1</v>
      </c>
      <c r="DP41" s="102">
        <v>0</v>
      </c>
      <c r="DQ41" s="102">
        <v>2</v>
      </c>
      <c r="DR41" s="102">
        <v>1</v>
      </c>
      <c r="DS41" s="102">
        <v>0</v>
      </c>
      <c r="DT41" s="105" t="s">
        <v>1059</v>
      </c>
      <c r="DU41" s="102">
        <v>0</v>
      </c>
      <c r="DV41" s="102">
        <v>0</v>
      </c>
      <c r="DW41" s="102">
        <v>0</v>
      </c>
      <c r="DX41" s="102" t="s">
        <v>853</v>
      </c>
      <c r="DY41" s="102">
        <v>0</v>
      </c>
      <c r="DZ41" s="102">
        <v>0</v>
      </c>
      <c r="EA41" s="102" t="s">
        <v>853</v>
      </c>
      <c r="EB41" s="102">
        <v>0</v>
      </c>
      <c r="EC41" s="102">
        <v>0</v>
      </c>
      <c r="ED41" s="102">
        <v>0</v>
      </c>
      <c r="EE41" s="102">
        <v>1</v>
      </c>
      <c r="EF41" s="102">
        <v>3</v>
      </c>
      <c r="EG41" s="102">
        <v>0</v>
      </c>
      <c r="EH41" s="102" t="s">
        <v>853</v>
      </c>
      <c r="EI41" s="102">
        <v>0</v>
      </c>
      <c r="EJ41" s="102">
        <v>0</v>
      </c>
      <c r="EK41" s="102">
        <v>2</v>
      </c>
      <c r="EL41" s="102">
        <v>0</v>
      </c>
      <c r="EM41" s="102"/>
    </row>
    <row r="42" spans="1:143" ht="15.75" customHeight="1" x14ac:dyDescent="0.55000000000000004">
      <c r="A42" s="99">
        <v>40</v>
      </c>
      <c r="B42" s="102" t="s">
        <v>1139</v>
      </c>
      <c r="C42" s="102" t="s">
        <v>890</v>
      </c>
      <c r="D42" s="103">
        <v>33521</v>
      </c>
      <c r="E42" s="102" t="s">
        <v>995</v>
      </c>
      <c r="F42" s="102">
        <v>10</v>
      </c>
      <c r="G42" s="102">
        <v>10</v>
      </c>
      <c r="H42" s="102">
        <v>1991</v>
      </c>
      <c r="I42" s="102" t="s">
        <v>1140</v>
      </c>
      <c r="J42" s="102" t="s">
        <v>1141</v>
      </c>
      <c r="K42" s="102" t="s">
        <v>910</v>
      </c>
      <c r="L42" s="102">
        <v>30</v>
      </c>
      <c r="M42" s="102">
        <v>2</v>
      </c>
      <c r="N42" s="102">
        <v>1</v>
      </c>
      <c r="O42" s="106">
        <v>10</v>
      </c>
      <c r="P42" s="102">
        <v>1</v>
      </c>
      <c r="Q42" s="104">
        <v>1</v>
      </c>
      <c r="R42" s="102">
        <v>1</v>
      </c>
      <c r="S42" s="102">
        <v>7</v>
      </c>
      <c r="T42" s="102">
        <v>0</v>
      </c>
      <c r="U42" s="102">
        <v>0</v>
      </c>
      <c r="V42" s="102">
        <v>4</v>
      </c>
      <c r="W42" s="102">
        <v>0</v>
      </c>
      <c r="X42" s="102">
        <v>0</v>
      </c>
      <c r="Y42" s="102">
        <v>0</v>
      </c>
      <c r="Z42" s="102">
        <v>0</v>
      </c>
      <c r="AA42" s="102">
        <v>35</v>
      </c>
      <c r="AB42" s="102">
        <v>0</v>
      </c>
      <c r="AC42" s="102">
        <v>1</v>
      </c>
      <c r="AD42" s="102">
        <v>0</v>
      </c>
      <c r="AE42" s="102">
        <v>0</v>
      </c>
      <c r="AF42" s="102"/>
      <c r="AG42" s="102"/>
      <c r="AH42" s="102"/>
      <c r="AI42" s="102"/>
      <c r="AJ42" s="102">
        <v>2</v>
      </c>
      <c r="AK42" s="102">
        <v>9</v>
      </c>
      <c r="AL42" s="102">
        <v>1</v>
      </c>
      <c r="AM42" s="102">
        <v>8</v>
      </c>
      <c r="AN42" s="102">
        <v>0</v>
      </c>
      <c r="AO42" s="102">
        <v>0</v>
      </c>
      <c r="AP42" s="102">
        <v>0</v>
      </c>
      <c r="AQ42" s="102">
        <v>0</v>
      </c>
      <c r="AR42" s="102">
        <v>1</v>
      </c>
      <c r="AS42" s="102">
        <v>1</v>
      </c>
      <c r="AT42" s="102">
        <v>0</v>
      </c>
      <c r="AU42" s="102"/>
      <c r="AV42" s="102">
        <v>1</v>
      </c>
      <c r="AW42" s="102">
        <v>0</v>
      </c>
      <c r="AX42" s="102" t="s">
        <v>1142</v>
      </c>
      <c r="AY42" s="102" t="s">
        <v>1143</v>
      </c>
      <c r="AZ42" s="102">
        <v>1</v>
      </c>
      <c r="BA42" s="102">
        <v>0</v>
      </c>
      <c r="BB42" s="102">
        <v>0</v>
      </c>
      <c r="BC42" s="102">
        <v>0</v>
      </c>
      <c r="BD42" s="102">
        <v>0</v>
      </c>
      <c r="BE42" s="102">
        <v>1</v>
      </c>
      <c r="BF42" s="102">
        <v>0</v>
      </c>
      <c r="BG42" s="102">
        <v>0</v>
      </c>
      <c r="BH42" s="102">
        <v>0</v>
      </c>
      <c r="BI42" s="102">
        <v>3</v>
      </c>
      <c r="BJ42" s="102">
        <v>1</v>
      </c>
      <c r="BK42" s="102">
        <v>0</v>
      </c>
      <c r="BL42" s="102">
        <v>0</v>
      </c>
      <c r="BM42" s="102">
        <v>0</v>
      </c>
      <c r="BN42" s="102">
        <v>0</v>
      </c>
      <c r="BO42" s="102">
        <v>0</v>
      </c>
      <c r="BP42" s="102">
        <v>1</v>
      </c>
      <c r="BQ42" s="102">
        <v>0</v>
      </c>
      <c r="BR42" s="102">
        <v>0</v>
      </c>
      <c r="BS42" s="102">
        <v>0</v>
      </c>
      <c r="BT42" s="102">
        <v>0</v>
      </c>
      <c r="BU42" s="102">
        <v>0</v>
      </c>
      <c r="BV42" s="102">
        <v>0</v>
      </c>
      <c r="BW42" s="102">
        <v>0</v>
      </c>
      <c r="BX42" s="102">
        <v>1</v>
      </c>
      <c r="BY42" s="102">
        <v>1</v>
      </c>
      <c r="BZ42" s="102">
        <v>0</v>
      </c>
      <c r="CA42" s="102">
        <v>2</v>
      </c>
      <c r="CB42" s="102">
        <v>0</v>
      </c>
      <c r="CC42" s="102" t="s">
        <v>853</v>
      </c>
      <c r="CD42" s="102"/>
      <c r="CE42" s="102">
        <v>0</v>
      </c>
      <c r="CF42" s="102">
        <v>0</v>
      </c>
      <c r="CG42" s="102">
        <v>0</v>
      </c>
      <c r="CH42" s="102">
        <v>0</v>
      </c>
      <c r="CI42" s="102">
        <v>0</v>
      </c>
      <c r="CJ42" s="102">
        <v>0</v>
      </c>
      <c r="CK42" s="102">
        <v>0</v>
      </c>
      <c r="CL42" s="102">
        <v>0</v>
      </c>
      <c r="CM42" s="102">
        <v>0</v>
      </c>
      <c r="CN42" s="102">
        <v>2</v>
      </c>
      <c r="CO42" s="102">
        <v>0</v>
      </c>
      <c r="CP42" s="102">
        <v>0</v>
      </c>
      <c r="CQ42" s="102">
        <v>0</v>
      </c>
      <c r="CR42" s="102">
        <v>0</v>
      </c>
      <c r="CS42" s="102">
        <v>0</v>
      </c>
      <c r="CT42" s="102" t="s">
        <v>853</v>
      </c>
      <c r="CU42" s="102">
        <v>0</v>
      </c>
      <c r="CV42" s="102">
        <v>2</v>
      </c>
      <c r="CW42" s="102">
        <v>0</v>
      </c>
      <c r="CX42" s="102">
        <v>0</v>
      </c>
      <c r="CY42" s="102">
        <v>0</v>
      </c>
      <c r="CZ42" s="102">
        <v>0</v>
      </c>
      <c r="DA42" s="102" t="s">
        <v>853</v>
      </c>
      <c r="DB42" s="102">
        <v>0</v>
      </c>
      <c r="DC42" s="102">
        <v>0</v>
      </c>
      <c r="DD42" s="102">
        <v>0</v>
      </c>
      <c r="DE42" s="102">
        <v>0</v>
      </c>
      <c r="DF42" s="102">
        <v>0</v>
      </c>
      <c r="DG42" s="102">
        <v>0</v>
      </c>
      <c r="DH42" s="102">
        <v>1</v>
      </c>
      <c r="DI42" s="102">
        <v>0</v>
      </c>
      <c r="DJ42" s="102">
        <v>0</v>
      </c>
      <c r="DK42" s="102">
        <v>0</v>
      </c>
      <c r="DL42" s="102">
        <v>0</v>
      </c>
      <c r="DM42" s="102">
        <v>0</v>
      </c>
      <c r="DN42" s="102">
        <v>0</v>
      </c>
      <c r="DO42" s="102">
        <v>0</v>
      </c>
      <c r="DP42" s="102">
        <v>0</v>
      </c>
      <c r="DQ42" s="102">
        <v>2</v>
      </c>
      <c r="DR42" s="102">
        <v>0</v>
      </c>
      <c r="DS42" s="102" t="s">
        <v>853</v>
      </c>
      <c r="DT42" s="105" t="s">
        <v>853</v>
      </c>
      <c r="DU42" s="102" t="s">
        <v>853</v>
      </c>
      <c r="DV42" s="102">
        <v>1</v>
      </c>
      <c r="DW42" s="102">
        <v>1</v>
      </c>
      <c r="DX42" s="102" t="s">
        <v>1144</v>
      </c>
      <c r="DY42" s="102">
        <v>1</v>
      </c>
      <c r="DZ42" s="102">
        <v>0</v>
      </c>
      <c r="EA42" s="102" t="s">
        <v>853</v>
      </c>
      <c r="EB42" s="102">
        <v>1</v>
      </c>
      <c r="EC42" s="102">
        <v>0</v>
      </c>
      <c r="ED42" s="102">
        <v>1</v>
      </c>
      <c r="EE42" s="102">
        <v>3</v>
      </c>
      <c r="EF42" s="102">
        <v>2</v>
      </c>
      <c r="EG42" s="102">
        <v>1</v>
      </c>
      <c r="EH42" s="102" t="s">
        <v>1145</v>
      </c>
      <c r="EI42" s="102">
        <v>2</v>
      </c>
      <c r="EJ42" s="102">
        <v>0</v>
      </c>
      <c r="EK42" s="102">
        <v>1</v>
      </c>
      <c r="EL42" s="102">
        <v>1</v>
      </c>
      <c r="EM42" s="102"/>
    </row>
    <row r="43" spans="1:143" ht="15.75" customHeight="1" x14ac:dyDescent="0.55000000000000004">
      <c r="A43" s="99">
        <v>41</v>
      </c>
      <c r="B43" s="102" t="s">
        <v>1146</v>
      </c>
      <c r="C43" s="102" t="s">
        <v>1147</v>
      </c>
      <c r="D43" s="103">
        <v>33527</v>
      </c>
      <c r="E43" s="102" t="s">
        <v>891</v>
      </c>
      <c r="F43" s="102">
        <v>16</v>
      </c>
      <c r="G43" s="102">
        <v>10</v>
      </c>
      <c r="H43" s="102">
        <v>1991</v>
      </c>
      <c r="I43" s="102" t="s">
        <v>1148</v>
      </c>
      <c r="J43" s="102" t="s">
        <v>1149</v>
      </c>
      <c r="K43" s="102" t="s">
        <v>849</v>
      </c>
      <c r="L43" s="102">
        <v>43</v>
      </c>
      <c r="M43" s="102">
        <v>0</v>
      </c>
      <c r="N43" s="102">
        <v>2</v>
      </c>
      <c r="O43" s="102">
        <v>5</v>
      </c>
      <c r="P43" s="102">
        <v>0</v>
      </c>
      <c r="Q43" s="104">
        <v>0</v>
      </c>
      <c r="R43" s="102">
        <v>0</v>
      </c>
      <c r="S43" s="102" t="s">
        <v>853</v>
      </c>
      <c r="T43" s="102">
        <v>0</v>
      </c>
      <c r="U43" s="102">
        <v>0</v>
      </c>
      <c r="V43" s="102">
        <v>23</v>
      </c>
      <c r="W43" s="102">
        <v>22</v>
      </c>
      <c r="X43" s="102">
        <v>0</v>
      </c>
      <c r="Y43" s="102">
        <v>0</v>
      </c>
      <c r="Z43" s="102">
        <v>0</v>
      </c>
      <c r="AA43" s="102">
        <v>35</v>
      </c>
      <c r="AB43" s="102">
        <v>0</v>
      </c>
      <c r="AC43" s="102">
        <v>0</v>
      </c>
      <c r="AD43" s="102">
        <v>0</v>
      </c>
      <c r="AE43" s="102">
        <v>0</v>
      </c>
      <c r="AF43" s="102"/>
      <c r="AG43" s="102">
        <v>1</v>
      </c>
      <c r="AH43" s="102"/>
      <c r="AI43" s="102"/>
      <c r="AJ43" s="102">
        <v>1</v>
      </c>
      <c r="AK43" s="102">
        <v>2</v>
      </c>
      <c r="AL43" s="102">
        <v>0</v>
      </c>
      <c r="AM43" s="102">
        <v>2</v>
      </c>
      <c r="AN43" s="102">
        <v>0</v>
      </c>
      <c r="AO43" s="102">
        <v>0</v>
      </c>
      <c r="AP43" s="102">
        <v>0</v>
      </c>
      <c r="AQ43" s="102">
        <v>0</v>
      </c>
      <c r="AR43" s="102">
        <v>1</v>
      </c>
      <c r="AS43" s="102">
        <v>1</v>
      </c>
      <c r="AT43" s="102">
        <v>0</v>
      </c>
      <c r="AU43" s="102"/>
      <c r="AV43" s="102">
        <v>1</v>
      </c>
      <c r="AW43" s="102">
        <v>1</v>
      </c>
      <c r="AX43" s="102">
        <v>0</v>
      </c>
      <c r="AY43" s="102">
        <v>7</v>
      </c>
      <c r="AZ43" s="102">
        <v>4</v>
      </c>
      <c r="BA43" s="102">
        <v>1</v>
      </c>
      <c r="BB43" s="102">
        <v>0</v>
      </c>
      <c r="BC43" s="102">
        <v>0</v>
      </c>
      <c r="BD43" s="102">
        <v>0</v>
      </c>
      <c r="BE43" s="102">
        <v>0</v>
      </c>
      <c r="BF43" s="102">
        <v>0</v>
      </c>
      <c r="BG43" s="102">
        <v>0</v>
      </c>
      <c r="BH43" s="102">
        <v>0</v>
      </c>
      <c r="BI43" s="102">
        <v>3</v>
      </c>
      <c r="BJ43" s="102">
        <v>0</v>
      </c>
      <c r="BK43" s="102">
        <v>0</v>
      </c>
      <c r="BL43" s="102">
        <v>0</v>
      </c>
      <c r="BM43" s="102">
        <v>0</v>
      </c>
      <c r="BN43" s="102">
        <v>0</v>
      </c>
      <c r="BO43" s="102">
        <v>0</v>
      </c>
      <c r="BP43" s="102">
        <v>1</v>
      </c>
      <c r="BQ43" s="102">
        <v>1</v>
      </c>
      <c r="BR43" s="102">
        <v>0</v>
      </c>
      <c r="BS43" s="102">
        <v>1</v>
      </c>
      <c r="BT43" s="102">
        <v>0</v>
      </c>
      <c r="BU43" s="102">
        <v>2</v>
      </c>
      <c r="BV43" s="102">
        <v>0</v>
      </c>
      <c r="BW43" s="102">
        <v>0</v>
      </c>
      <c r="BX43" s="102">
        <v>0</v>
      </c>
      <c r="BY43" s="102">
        <v>0</v>
      </c>
      <c r="BZ43" s="102">
        <v>0</v>
      </c>
      <c r="CA43" s="102">
        <v>2</v>
      </c>
      <c r="CB43" s="102">
        <v>1</v>
      </c>
      <c r="CC43" s="102">
        <v>2</v>
      </c>
      <c r="CD43" s="102" t="s">
        <v>1150</v>
      </c>
      <c r="CE43" s="102">
        <v>0</v>
      </c>
      <c r="CF43" s="102">
        <v>0</v>
      </c>
      <c r="CG43" s="102">
        <v>1</v>
      </c>
      <c r="CH43" s="102">
        <v>1</v>
      </c>
      <c r="CI43" s="102">
        <v>1</v>
      </c>
      <c r="CJ43" s="102">
        <v>1</v>
      </c>
      <c r="CK43" s="102">
        <v>1</v>
      </c>
      <c r="CL43" s="102">
        <v>1</v>
      </c>
      <c r="CM43" s="102">
        <v>1</v>
      </c>
      <c r="CN43" s="102">
        <v>2</v>
      </c>
      <c r="CO43" s="102">
        <v>0</v>
      </c>
      <c r="CP43" s="102">
        <v>0</v>
      </c>
      <c r="CQ43" s="102">
        <v>1</v>
      </c>
      <c r="CR43" s="102">
        <v>1</v>
      </c>
      <c r="CS43" s="102">
        <v>0</v>
      </c>
      <c r="CT43" s="102" t="s">
        <v>853</v>
      </c>
      <c r="CU43" s="102">
        <v>0</v>
      </c>
      <c r="CV43" s="102">
        <v>4</v>
      </c>
      <c r="CW43" s="102">
        <v>0</v>
      </c>
      <c r="CX43" s="102">
        <v>0</v>
      </c>
      <c r="CY43" s="102" t="s">
        <v>937</v>
      </c>
      <c r="CZ43" s="102">
        <v>0</v>
      </c>
      <c r="DA43" s="102" t="s">
        <v>853</v>
      </c>
      <c r="DB43" s="102">
        <v>0</v>
      </c>
      <c r="DC43" s="102" t="s">
        <v>937</v>
      </c>
      <c r="DD43" s="102">
        <v>0</v>
      </c>
      <c r="DE43" s="102">
        <v>0</v>
      </c>
      <c r="DF43" s="102">
        <v>1</v>
      </c>
      <c r="DG43" s="102">
        <v>0</v>
      </c>
      <c r="DH43" s="102">
        <v>0</v>
      </c>
      <c r="DI43" s="102">
        <v>0</v>
      </c>
      <c r="DJ43" s="102">
        <v>0</v>
      </c>
      <c r="DK43" s="102">
        <v>0</v>
      </c>
      <c r="DL43" s="102">
        <v>0</v>
      </c>
      <c r="DM43" s="102">
        <v>0</v>
      </c>
      <c r="DN43" s="102">
        <v>0</v>
      </c>
      <c r="DO43" s="102">
        <v>1</v>
      </c>
      <c r="DP43" s="102">
        <v>0</v>
      </c>
      <c r="DQ43" s="102">
        <v>2</v>
      </c>
      <c r="DR43" s="102">
        <v>1</v>
      </c>
      <c r="DS43" s="102">
        <v>0</v>
      </c>
      <c r="DT43" s="105" t="s">
        <v>956</v>
      </c>
      <c r="DU43" s="102">
        <v>0</v>
      </c>
      <c r="DV43" s="102">
        <v>1</v>
      </c>
      <c r="DW43" s="102">
        <v>1</v>
      </c>
      <c r="DX43" s="102" t="s">
        <v>1151</v>
      </c>
      <c r="DY43" s="102">
        <v>0</v>
      </c>
      <c r="DZ43" s="102">
        <v>2</v>
      </c>
      <c r="EA43" s="102" t="s">
        <v>1152</v>
      </c>
      <c r="EB43" s="102">
        <v>1</v>
      </c>
      <c r="EC43" s="102">
        <v>0</v>
      </c>
      <c r="ED43" s="102">
        <v>0</v>
      </c>
      <c r="EE43" s="102">
        <v>3</v>
      </c>
      <c r="EF43" s="102">
        <v>2</v>
      </c>
      <c r="EG43" s="102">
        <v>0</v>
      </c>
      <c r="EH43" s="102" t="s">
        <v>853</v>
      </c>
      <c r="EI43" s="102">
        <v>0</v>
      </c>
      <c r="EJ43" s="102">
        <v>0</v>
      </c>
      <c r="EK43" s="102">
        <v>2</v>
      </c>
      <c r="EL43" s="102">
        <v>0</v>
      </c>
      <c r="EM43" s="102"/>
    </row>
    <row r="44" spans="1:143" ht="15.75" customHeight="1" x14ac:dyDescent="0.55000000000000004">
      <c r="A44" s="99">
        <v>42</v>
      </c>
      <c r="B44" s="102" t="s">
        <v>1153</v>
      </c>
      <c r="C44" s="102" t="s">
        <v>1154</v>
      </c>
      <c r="D44" s="103">
        <v>33543</v>
      </c>
      <c r="E44" s="102" t="s">
        <v>959</v>
      </c>
      <c r="F44" s="102">
        <v>1</v>
      </c>
      <c r="G44" s="102">
        <v>11</v>
      </c>
      <c r="H44" s="102">
        <v>1991</v>
      </c>
      <c r="I44" s="102" t="s">
        <v>1155</v>
      </c>
      <c r="J44" s="102" t="s">
        <v>1156</v>
      </c>
      <c r="K44" s="102" t="s">
        <v>1157</v>
      </c>
      <c r="L44" s="102">
        <v>15</v>
      </c>
      <c r="M44" s="102">
        <v>1</v>
      </c>
      <c r="N44" s="102">
        <v>1</v>
      </c>
      <c r="O44" s="102">
        <v>1</v>
      </c>
      <c r="P44" s="102">
        <v>1</v>
      </c>
      <c r="Q44" s="104">
        <v>0</v>
      </c>
      <c r="R44" s="102">
        <v>0</v>
      </c>
      <c r="S44" s="102" t="s">
        <v>853</v>
      </c>
      <c r="T44" s="102">
        <v>0</v>
      </c>
      <c r="U44" s="102">
        <v>0</v>
      </c>
      <c r="V44" s="102">
        <v>5</v>
      </c>
      <c r="W44" s="102">
        <v>1</v>
      </c>
      <c r="X44" s="102">
        <v>0</v>
      </c>
      <c r="Y44" s="102">
        <v>0</v>
      </c>
      <c r="Z44" s="102">
        <v>0</v>
      </c>
      <c r="AA44" s="102">
        <v>28</v>
      </c>
      <c r="AB44" s="102">
        <v>0</v>
      </c>
      <c r="AC44" s="102">
        <v>3</v>
      </c>
      <c r="AD44" s="102">
        <v>1</v>
      </c>
      <c r="AE44" s="102">
        <v>0</v>
      </c>
      <c r="AF44" s="102">
        <v>1</v>
      </c>
      <c r="AG44" s="102">
        <v>4</v>
      </c>
      <c r="AH44" s="102">
        <v>2</v>
      </c>
      <c r="AI44" s="102" t="s">
        <v>1158</v>
      </c>
      <c r="AJ44" s="102">
        <v>3</v>
      </c>
      <c r="AK44" s="102">
        <v>2</v>
      </c>
      <c r="AL44" s="102">
        <v>2</v>
      </c>
      <c r="AM44" s="102">
        <v>0</v>
      </c>
      <c r="AN44" s="102">
        <v>0</v>
      </c>
      <c r="AO44" s="102">
        <v>0</v>
      </c>
      <c r="AP44" s="102">
        <v>0</v>
      </c>
      <c r="AQ44" s="102">
        <v>1</v>
      </c>
      <c r="AR44" s="102">
        <v>0</v>
      </c>
      <c r="AS44" s="102" t="s">
        <v>853</v>
      </c>
      <c r="AT44" s="102">
        <v>1</v>
      </c>
      <c r="AU44" s="102" t="s">
        <v>1159</v>
      </c>
      <c r="AV44" s="102">
        <v>0</v>
      </c>
      <c r="AW44" s="102">
        <v>0</v>
      </c>
      <c r="AX44" s="102">
        <v>0</v>
      </c>
      <c r="AY44" s="102">
        <v>0</v>
      </c>
      <c r="AZ44" s="102">
        <v>0</v>
      </c>
      <c r="BA44" s="102">
        <v>0</v>
      </c>
      <c r="BB44" s="102">
        <v>0</v>
      </c>
      <c r="BC44" s="102">
        <v>0</v>
      </c>
      <c r="BD44" s="102">
        <v>0</v>
      </c>
      <c r="BE44" s="102">
        <v>0</v>
      </c>
      <c r="BF44" s="102">
        <v>0</v>
      </c>
      <c r="BG44" s="102">
        <v>0</v>
      </c>
      <c r="BH44" s="102">
        <v>0</v>
      </c>
      <c r="BI44" s="102">
        <v>3</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2</v>
      </c>
      <c r="CB44" s="102">
        <v>1</v>
      </c>
      <c r="CC44" s="102">
        <v>2</v>
      </c>
      <c r="CD44" s="102" t="s">
        <v>1160</v>
      </c>
      <c r="CE44" s="102">
        <v>0</v>
      </c>
      <c r="CF44" s="102">
        <v>0</v>
      </c>
      <c r="CG44" s="102">
        <v>0</v>
      </c>
      <c r="CH44" s="102">
        <v>1</v>
      </c>
      <c r="CI44" s="102">
        <v>1</v>
      </c>
      <c r="CJ44" s="102">
        <v>1</v>
      </c>
      <c r="CK44" s="102">
        <v>1</v>
      </c>
      <c r="CL44" s="102">
        <v>0</v>
      </c>
      <c r="CM44" s="102">
        <v>0</v>
      </c>
      <c r="CN44" s="102">
        <v>2</v>
      </c>
      <c r="CO44" s="102">
        <v>0</v>
      </c>
      <c r="CP44" s="102">
        <v>0</v>
      </c>
      <c r="CQ44" s="102">
        <v>0</v>
      </c>
      <c r="CR44" s="102">
        <v>0</v>
      </c>
      <c r="CS44" s="102">
        <v>0</v>
      </c>
      <c r="CT44" s="102" t="s">
        <v>853</v>
      </c>
      <c r="CU44" s="102">
        <v>0</v>
      </c>
      <c r="CV44" s="102">
        <v>4</v>
      </c>
      <c r="CW44" s="102">
        <v>0</v>
      </c>
      <c r="CX44" s="102">
        <v>0</v>
      </c>
      <c r="CY44" s="102">
        <v>0</v>
      </c>
      <c r="CZ44" s="102">
        <v>0</v>
      </c>
      <c r="DA44" s="102" t="s">
        <v>853</v>
      </c>
      <c r="DB44" s="102">
        <v>0</v>
      </c>
      <c r="DC44" s="102">
        <v>0</v>
      </c>
      <c r="DD44" s="102">
        <v>0</v>
      </c>
      <c r="DE44" s="102">
        <v>0</v>
      </c>
      <c r="DF44" s="102">
        <v>0</v>
      </c>
      <c r="DG44" s="102">
        <v>0</v>
      </c>
      <c r="DH44" s="102">
        <v>1</v>
      </c>
      <c r="DI44" s="102">
        <v>0</v>
      </c>
      <c r="DJ44" s="102">
        <v>0</v>
      </c>
      <c r="DK44" s="102">
        <v>0</v>
      </c>
      <c r="DL44" s="102">
        <v>1</v>
      </c>
      <c r="DM44" s="102">
        <v>0</v>
      </c>
      <c r="DN44" s="102">
        <v>1</v>
      </c>
      <c r="DO44" s="102">
        <v>0</v>
      </c>
      <c r="DP44" s="102">
        <v>0</v>
      </c>
      <c r="DQ44" s="102">
        <v>2</v>
      </c>
      <c r="DR44" s="102">
        <v>0</v>
      </c>
      <c r="DS44" s="102" t="s">
        <v>853</v>
      </c>
      <c r="DT44" s="105" t="s">
        <v>853</v>
      </c>
      <c r="DU44" s="102" t="s">
        <v>853</v>
      </c>
      <c r="DV44" s="102">
        <v>0</v>
      </c>
      <c r="DW44" s="102">
        <v>1</v>
      </c>
      <c r="DX44" s="102" t="s">
        <v>1161</v>
      </c>
      <c r="DY44" s="102">
        <v>1</v>
      </c>
      <c r="DZ44" s="102">
        <v>2</v>
      </c>
      <c r="EA44" s="102" t="s">
        <v>1162</v>
      </c>
      <c r="EB44" s="102">
        <v>1</v>
      </c>
      <c r="EC44" s="102">
        <v>1</v>
      </c>
      <c r="ED44" s="102">
        <v>1</v>
      </c>
      <c r="EE44" s="102">
        <v>1</v>
      </c>
      <c r="EF44" s="102">
        <v>2</v>
      </c>
      <c r="EG44" s="102">
        <v>0</v>
      </c>
      <c r="EH44" s="102" t="s">
        <v>853</v>
      </c>
      <c r="EI44" s="102">
        <v>0</v>
      </c>
      <c r="EJ44" s="102">
        <v>0</v>
      </c>
      <c r="EK44" s="102">
        <v>2</v>
      </c>
      <c r="EL44" s="102">
        <v>0</v>
      </c>
      <c r="EM44" s="102"/>
    </row>
    <row r="45" spans="1:143" ht="15.75" customHeight="1" x14ac:dyDescent="0.55000000000000004">
      <c r="A45" s="99">
        <v>43</v>
      </c>
      <c r="B45" s="102" t="s">
        <v>1163</v>
      </c>
      <c r="C45" s="102" t="s">
        <v>859</v>
      </c>
      <c r="D45" s="103">
        <v>33551</v>
      </c>
      <c r="E45" s="102" t="s">
        <v>860</v>
      </c>
      <c r="F45" s="102">
        <v>9</v>
      </c>
      <c r="G45" s="102">
        <v>11</v>
      </c>
      <c r="H45" s="102">
        <v>1991</v>
      </c>
      <c r="I45" s="102" t="s">
        <v>1164</v>
      </c>
      <c r="J45" s="102" t="s">
        <v>1165</v>
      </c>
      <c r="K45" s="102" t="s">
        <v>1002</v>
      </c>
      <c r="L45" s="102">
        <v>17</v>
      </c>
      <c r="M45" s="102">
        <v>0</v>
      </c>
      <c r="N45" s="102">
        <v>2</v>
      </c>
      <c r="O45" s="102">
        <v>8</v>
      </c>
      <c r="P45" s="102">
        <v>0</v>
      </c>
      <c r="Q45" s="104">
        <v>0</v>
      </c>
      <c r="R45" s="102">
        <v>0</v>
      </c>
      <c r="S45" s="102" t="s">
        <v>853</v>
      </c>
      <c r="T45" s="102">
        <v>0</v>
      </c>
      <c r="U45" s="102">
        <v>0</v>
      </c>
      <c r="V45" s="102">
        <v>4</v>
      </c>
      <c r="W45" s="102">
        <v>0</v>
      </c>
      <c r="X45" s="102">
        <v>0</v>
      </c>
      <c r="Y45" s="102">
        <v>1</v>
      </c>
      <c r="Z45" s="102">
        <v>0</v>
      </c>
      <c r="AA45" s="102">
        <v>45</v>
      </c>
      <c r="AB45" s="102">
        <v>0</v>
      </c>
      <c r="AC45" s="102"/>
      <c r="AD45" s="102">
        <v>0</v>
      </c>
      <c r="AE45" s="102">
        <v>0</v>
      </c>
      <c r="AF45" s="102"/>
      <c r="AG45" s="102"/>
      <c r="AH45" s="102"/>
      <c r="AI45" s="102"/>
      <c r="AJ45" s="102"/>
      <c r="AK45" s="102"/>
      <c r="AL45" s="102"/>
      <c r="AM45" s="102"/>
      <c r="AN45" s="102">
        <v>3</v>
      </c>
      <c r="AO45" s="102">
        <v>1</v>
      </c>
      <c r="AP45" s="102"/>
      <c r="AQ45" s="102"/>
      <c r="AR45" s="102">
        <v>1</v>
      </c>
      <c r="AS45" s="102"/>
      <c r="AT45" s="102"/>
      <c r="AU45" s="102"/>
      <c r="AV45" s="102">
        <v>1</v>
      </c>
      <c r="AW45" s="102">
        <v>1</v>
      </c>
      <c r="AX45" s="102">
        <v>0</v>
      </c>
      <c r="AY45" s="102">
        <v>1</v>
      </c>
      <c r="AZ45" s="102">
        <v>2</v>
      </c>
      <c r="BA45" s="102">
        <v>1</v>
      </c>
      <c r="BB45" s="102">
        <v>0</v>
      </c>
      <c r="BC45" s="102">
        <v>1</v>
      </c>
      <c r="BD45" s="102">
        <v>1</v>
      </c>
      <c r="BE45" s="102">
        <v>0</v>
      </c>
      <c r="BF45" s="102">
        <v>0</v>
      </c>
      <c r="BG45" s="102">
        <v>0</v>
      </c>
      <c r="BH45" s="102">
        <v>0</v>
      </c>
      <c r="BI45" s="102">
        <v>3</v>
      </c>
      <c r="BJ45" s="102">
        <v>0</v>
      </c>
      <c r="BK45" s="102">
        <v>0</v>
      </c>
      <c r="BL45" s="102">
        <v>0</v>
      </c>
      <c r="BM45" s="102">
        <v>0</v>
      </c>
      <c r="BN45" s="102">
        <v>0</v>
      </c>
      <c r="BO45" s="102">
        <v>0</v>
      </c>
      <c r="BP45" s="102">
        <v>0</v>
      </c>
      <c r="BQ45" s="102">
        <v>0</v>
      </c>
      <c r="BR45" s="102">
        <v>0</v>
      </c>
      <c r="BS45" s="102">
        <v>0</v>
      </c>
      <c r="BT45" s="102">
        <v>0</v>
      </c>
      <c r="BU45" s="102"/>
      <c r="BV45" s="102">
        <v>0</v>
      </c>
      <c r="BW45" s="102">
        <v>0</v>
      </c>
      <c r="BX45" s="102">
        <v>0</v>
      </c>
      <c r="BY45" s="102">
        <v>0</v>
      </c>
      <c r="BZ45" s="102">
        <v>4</v>
      </c>
      <c r="CA45" s="102">
        <v>1</v>
      </c>
      <c r="CB45" s="102">
        <v>1</v>
      </c>
      <c r="CC45" s="102">
        <v>2</v>
      </c>
      <c r="CD45" s="102" t="s">
        <v>1166</v>
      </c>
      <c r="CE45" s="102">
        <v>0</v>
      </c>
      <c r="CF45" s="102">
        <v>1</v>
      </c>
      <c r="CG45" s="102">
        <v>0</v>
      </c>
      <c r="CH45" s="102">
        <v>0</v>
      </c>
      <c r="CI45" s="102">
        <v>1</v>
      </c>
      <c r="CJ45" s="102">
        <v>1</v>
      </c>
      <c r="CK45" s="102">
        <v>1</v>
      </c>
      <c r="CL45" s="102">
        <v>0</v>
      </c>
      <c r="CM45" s="102">
        <v>0</v>
      </c>
      <c r="CN45" s="102">
        <v>1</v>
      </c>
      <c r="CO45" s="102">
        <v>1</v>
      </c>
      <c r="CP45" s="102">
        <v>2</v>
      </c>
      <c r="CQ45" s="102">
        <v>0</v>
      </c>
      <c r="CR45" s="102">
        <v>0</v>
      </c>
      <c r="CS45" s="102">
        <v>0</v>
      </c>
      <c r="CT45" s="102" t="s">
        <v>853</v>
      </c>
      <c r="CU45" s="102">
        <v>1</v>
      </c>
      <c r="CV45" s="102">
        <v>3</v>
      </c>
      <c r="CW45" s="102">
        <v>0</v>
      </c>
      <c r="CX45" s="102">
        <v>0</v>
      </c>
      <c r="CY45" s="102">
        <v>0</v>
      </c>
      <c r="CZ45" s="102">
        <v>1</v>
      </c>
      <c r="DA45" s="102" t="s">
        <v>1167</v>
      </c>
      <c r="DB45" s="102">
        <v>0</v>
      </c>
      <c r="DC45" s="102">
        <v>0</v>
      </c>
      <c r="DD45" s="102">
        <v>0</v>
      </c>
      <c r="DE45" s="102">
        <v>0</v>
      </c>
      <c r="DF45" s="102">
        <v>0</v>
      </c>
      <c r="DG45" s="102">
        <v>0</v>
      </c>
      <c r="DH45" s="102">
        <v>0</v>
      </c>
      <c r="DI45" s="102">
        <v>0</v>
      </c>
      <c r="DJ45" s="102">
        <v>0</v>
      </c>
      <c r="DK45" s="102">
        <v>1</v>
      </c>
      <c r="DL45" s="102">
        <v>0</v>
      </c>
      <c r="DM45" s="102">
        <v>0</v>
      </c>
      <c r="DN45" s="102">
        <v>0</v>
      </c>
      <c r="DO45" s="102">
        <v>0</v>
      </c>
      <c r="DP45" s="102">
        <v>0</v>
      </c>
      <c r="DQ45" s="102">
        <v>2</v>
      </c>
      <c r="DR45" s="102">
        <v>0</v>
      </c>
      <c r="DS45" s="102" t="s">
        <v>853</v>
      </c>
      <c r="DT45" s="105" t="s">
        <v>853</v>
      </c>
      <c r="DU45" s="102" t="s">
        <v>853</v>
      </c>
      <c r="DV45" s="102">
        <v>0</v>
      </c>
      <c r="DW45" s="102">
        <v>0</v>
      </c>
      <c r="DX45" s="102" t="s">
        <v>853</v>
      </c>
      <c r="DY45" s="102">
        <v>0</v>
      </c>
      <c r="DZ45" s="102">
        <v>0</v>
      </c>
      <c r="EA45" s="102" t="s">
        <v>853</v>
      </c>
      <c r="EB45" s="102">
        <v>0</v>
      </c>
      <c r="EC45" s="102">
        <v>0</v>
      </c>
      <c r="ED45" s="102">
        <v>0</v>
      </c>
      <c r="EE45" s="102">
        <v>3</v>
      </c>
      <c r="EF45" s="102">
        <v>1</v>
      </c>
      <c r="EG45" s="102">
        <v>0</v>
      </c>
      <c r="EH45" s="102" t="s">
        <v>853</v>
      </c>
      <c r="EI45" s="102">
        <v>0</v>
      </c>
      <c r="EJ45" s="102">
        <v>0</v>
      </c>
      <c r="EK45" s="102">
        <v>2</v>
      </c>
      <c r="EL45" s="102">
        <v>0</v>
      </c>
      <c r="EM45" s="102"/>
    </row>
    <row r="46" spans="1:143" ht="15.75" customHeight="1" x14ac:dyDescent="0.55000000000000004">
      <c r="A46" s="99">
        <v>44</v>
      </c>
      <c r="B46" s="102" t="s">
        <v>1168</v>
      </c>
      <c r="C46" s="102" t="s">
        <v>1169</v>
      </c>
      <c r="D46" s="103">
        <v>33556</v>
      </c>
      <c r="E46" s="102" t="s">
        <v>995</v>
      </c>
      <c r="F46" s="102">
        <v>14</v>
      </c>
      <c r="G46" s="102">
        <v>11</v>
      </c>
      <c r="H46" s="102">
        <v>1991</v>
      </c>
      <c r="I46" s="102" t="s">
        <v>1170</v>
      </c>
      <c r="J46" s="102" t="s">
        <v>1171</v>
      </c>
      <c r="K46" s="102" t="s">
        <v>881</v>
      </c>
      <c r="L46" s="102">
        <v>22</v>
      </c>
      <c r="M46" s="102">
        <v>1</v>
      </c>
      <c r="N46" s="102">
        <v>1</v>
      </c>
      <c r="O46" s="106">
        <v>10</v>
      </c>
      <c r="P46" s="102">
        <v>1</v>
      </c>
      <c r="Q46" s="104">
        <v>1</v>
      </c>
      <c r="R46" s="102">
        <v>0</v>
      </c>
      <c r="S46" s="102" t="s">
        <v>853</v>
      </c>
      <c r="T46" s="102">
        <v>0</v>
      </c>
      <c r="U46" s="102">
        <v>0</v>
      </c>
      <c r="V46" s="102">
        <v>4</v>
      </c>
      <c r="W46" s="102">
        <v>6</v>
      </c>
      <c r="X46" s="102">
        <v>0</v>
      </c>
      <c r="Y46" s="102">
        <v>0</v>
      </c>
      <c r="Z46" s="102">
        <v>0</v>
      </c>
      <c r="AA46" s="102">
        <v>31</v>
      </c>
      <c r="AB46" s="102">
        <v>0</v>
      </c>
      <c r="AC46" s="102">
        <v>0</v>
      </c>
      <c r="AD46" s="102">
        <v>0</v>
      </c>
      <c r="AE46" s="102">
        <v>0</v>
      </c>
      <c r="AF46" s="102">
        <v>1</v>
      </c>
      <c r="AG46" s="102">
        <v>1</v>
      </c>
      <c r="AH46" s="102"/>
      <c r="AI46" s="102"/>
      <c r="AJ46" s="102">
        <v>3</v>
      </c>
      <c r="AK46" s="102">
        <v>2</v>
      </c>
      <c r="AL46" s="102">
        <v>2</v>
      </c>
      <c r="AM46" s="102">
        <v>0</v>
      </c>
      <c r="AN46" s="102">
        <v>0</v>
      </c>
      <c r="AO46" s="102">
        <v>0</v>
      </c>
      <c r="AP46" s="102">
        <v>0</v>
      </c>
      <c r="AQ46" s="102">
        <v>0</v>
      </c>
      <c r="AR46" s="102">
        <v>1</v>
      </c>
      <c r="AS46" s="102">
        <v>3</v>
      </c>
      <c r="AT46" s="102">
        <v>2</v>
      </c>
      <c r="AU46" s="102" t="s">
        <v>1172</v>
      </c>
      <c r="AV46" s="102">
        <v>1</v>
      </c>
      <c r="AW46" s="102">
        <v>1</v>
      </c>
      <c r="AX46" s="102">
        <v>0</v>
      </c>
      <c r="AY46" s="102" t="s">
        <v>1092</v>
      </c>
      <c r="AZ46" s="102">
        <v>3</v>
      </c>
      <c r="BA46" s="102">
        <v>1</v>
      </c>
      <c r="BB46" s="102">
        <v>0</v>
      </c>
      <c r="BC46" s="102">
        <v>0</v>
      </c>
      <c r="BD46" s="102">
        <v>0</v>
      </c>
      <c r="BE46" s="102">
        <v>0</v>
      </c>
      <c r="BF46" s="102">
        <v>0</v>
      </c>
      <c r="BG46" s="102">
        <v>0</v>
      </c>
      <c r="BH46" s="102">
        <v>0</v>
      </c>
      <c r="BI46" s="102">
        <v>3</v>
      </c>
      <c r="BJ46" s="102">
        <v>1</v>
      </c>
      <c r="BK46" s="102">
        <v>0</v>
      </c>
      <c r="BL46" s="102">
        <v>1</v>
      </c>
      <c r="BM46" s="102">
        <v>1</v>
      </c>
      <c r="BN46" s="102">
        <v>0</v>
      </c>
      <c r="BO46" s="102">
        <v>0</v>
      </c>
      <c r="BP46" s="102">
        <v>1</v>
      </c>
      <c r="BQ46" s="102">
        <v>0</v>
      </c>
      <c r="BR46" s="102">
        <v>0</v>
      </c>
      <c r="BS46" s="102">
        <v>0</v>
      </c>
      <c r="BT46" s="102">
        <v>1</v>
      </c>
      <c r="BU46" s="102">
        <v>1</v>
      </c>
      <c r="BV46" s="102">
        <v>0</v>
      </c>
      <c r="BW46" s="102">
        <v>0</v>
      </c>
      <c r="BX46" s="102">
        <v>0</v>
      </c>
      <c r="BY46" s="102">
        <v>0</v>
      </c>
      <c r="BZ46" s="102">
        <v>0</v>
      </c>
      <c r="CA46" s="102">
        <v>2</v>
      </c>
      <c r="CB46" s="102">
        <v>1</v>
      </c>
      <c r="CC46" s="102">
        <v>2</v>
      </c>
      <c r="CD46" s="102" t="s">
        <v>1173</v>
      </c>
      <c r="CE46" s="102">
        <v>0</v>
      </c>
      <c r="CF46" s="102">
        <v>0</v>
      </c>
      <c r="CG46" s="102">
        <v>0</v>
      </c>
      <c r="CH46" s="102">
        <v>0</v>
      </c>
      <c r="CI46" s="102">
        <v>1</v>
      </c>
      <c r="CJ46" s="102">
        <v>1</v>
      </c>
      <c r="CK46" s="102">
        <v>0</v>
      </c>
      <c r="CL46" s="102">
        <v>1</v>
      </c>
      <c r="CM46" s="102">
        <v>0</v>
      </c>
      <c r="CN46" s="102">
        <v>2</v>
      </c>
      <c r="CO46" s="102">
        <v>0</v>
      </c>
      <c r="CP46" s="102">
        <v>0</v>
      </c>
      <c r="CQ46" s="102">
        <v>0</v>
      </c>
      <c r="CR46" s="102">
        <v>0</v>
      </c>
      <c r="CS46" s="102">
        <v>0</v>
      </c>
      <c r="CT46" s="102" t="s">
        <v>853</v>
      </c>
      <c r="CU46" s="102">
        <v>0</v>
      </c>
      <c r="CV46" s="102">
        <v>4</v>
      </c>
      <c r="CW46" s="102">
        <v>0</v>
      </c>
      <c r="CX46" s="102">
        <v>0</v>
      </c>
      <c r="CY46" s="102">
        <v>0</v>
      </c>
      <c r="CZ46" s="102">
        <v>0</v>
      </c>
      <c r="DA46" s="102" t="s">
        <v>853</v>
      </c>
      <c r="DB46" s="102">
        <v>0</v>
      </c>
      <c r="DC46" s="102">
        <v>3</v>
      </c>
      <c r="DD46" s="102">
        <v>0</v>
      </c>
      <c r="DE46" s="102">
        <v>0</v>
      </c>
      <c r="DF46" s="102">
        <v>0</v>
      </c>
      <c r="DG46" s="102">
        <v>0</v>
      </c>
      <c r="DH46" s="102">
        <v>1</v>
      </c>
      <c r="DI46" s="102">
        <v>0</v>
      </c>
      <c r="DJ46" s="102">
        <v>1</v>
      </c>
      <c r="DK46" s="102">
        <v>0</v>
      </c>
      <c r="DL46" s="102">
        <v>0</v>
      </c>
      <c r="DM46" s="102">
        <v>0</v>
      </c>
      <c r="DN46" s="102">
        <v>0</v>
      </c>
      <c r="DO46" s="102">
        <v>0</v>
      </c>
      <c r="DP46" s="102">
        <v>0</v>
      </c>
      <c r="DQ46" s="102">
        <v>2</v>
      </c>
      <c r="DR46" s="102">
        <v>1</v>
      </c>
      <c r="DS46" s="102">
        <v>0</v>
      </c>
      <c r="DT46" s="105" t="s">
        <v>945</v>
      </c>
      <c r="DU46" s="102">
        <v>1</v>
      </c>
      <c r="DV46" s="102">
        <v>0</v>
      </c>
      <c r="DW46" s="102">
        <v>1</v>
      </c>
      <c r="DX46" s="102" t="s">
        <v>1174</v>
      </c>
      <c r="DY46" s="102">
        <v>0</v>
      </c>
      <c r="DZ46" s="102">
        <v>0</v>
      </c>
      <c r="EA46" s="102" t="s">
        <v>853</v>
      </c>
      <c r="EB46" s="102">
        <v>0</v>
      </c>
      <c r="EC46" s="102">
        <v>0</v>
      </c>
      <c r="ED46" s="102">
        <v>0</v>
      </c>
      <c r="EE46" s="102">
        <v>3</v>
      </c>
      <c r="EF46" s="102">
        <v>1</v>
      </c>
      <c r="EG46" s="102">
        <v>0</v>
      </c>
      <c r="EH46" s="102" t="s">
        <v>853</v>
      </c>
      <c r="EI46" s="102">
        <v>0</v>
      </c>
      <c r="EJ46" s="102">
        <v>0</v>
      </c>
      <c r="EK46" s="102">
        <v>2</v>
      </c>
      <c r="EL46" s="102">
        <v>0</v>
      </c>
      <c r="EM46" s="102"/>
    </row>
    <row r="47" spans="1:143" ht="15.75" customHeight="1" x14ac:dyDescent="0.55000000000000004">
      <c r="A47" s="99">
        <v>45</v>
      </c>
      <c r="B47" s="102" t="s">
        <v>1175</v>
      </c>
      <c r="C47" s="102" t="s">
        <v>1176</v>
      </c>
      <c r="D47" s="103">
        <v>33678</v>
      </c>
      <c r="E47" s="102" t="s">
        <v>914</v>
      </c>
      <c r="F47" s="102">
        <v>15</v>
      </c>
      <c r="G47" s="102">
        <v>3</v>
      </c>
      <c r="H47" s="102">
        <v>1992</v>
      </c>
      <c r="I47" s="102" t="s">
        <v>1177</v>
      </c>
      <c r="J47" s="102" t="s">
        <v>1178</v>
      </c>
      <c r="K47" s="102" t="s">
        <v>863</v>
      </c>
      <c r="L47" s="102">
        <v>3</v>
      </c>
      <c r="M47" s="102">
        <v>3</v>
      </c>
      <c r="N47" s="102">
        <v>0</v>
      </c>
      <c r="O47" s="102">
        <v>8</v>
      </c>
      <c r="P47" s="102">
        <v>0</v>
      </c>
      <c r="Q47" s="104">
        <v>0</v>
      </c>
      <c r="R47" s="102">
        <v>1</v>
      </c>
      <c r="S47" s="102">
        <v>4</v>
      </c>
      <c r="T47" s="102">
        <v>0</v>
      </c>
      <c r="U47" s="102">
        <v>0</v>
      </c>
      <c r="V47" s="102">
        <v>4</v>
      </c>
      <c r="W47" s="102">
        <v>0</v>
      </c>
      <c r="X47" s="102">
        <v>0</v>
      </c>
      <c r="Y47" s="102">
        <v>0</v>
      </c>
      <c r="Z47" s="102">
        <v>0</v>
      </c>
      <c r="AA47" s="102">
        <v>26</v>
      </c>
      <c r="AB47" s="102">
        <v>0</v>
      </c>
      <c r="AC47" s="102">
        <v>0</v>
      </c>
      <c r="AD47" s="102">
        <v>0</v>
      </c>
      <c r="AE47" s="102">
        <v>0</v>
      </c>
      <c r="AF47" s="102"/>
      <c r="AG47" s="102"/>
      <c r="AH47" s="102"/>
      <c r="AI47" s="102"/>
      <c r="AJ47" s="102"/>
      <c r="AK47" s="102"/>
      <c r="AL47" s="102"/>
      <c r="AM47" s="102"/>
      <c r="AN47" s="102">
        <v>0</v>
      </c>
      <c r="AO47" s="102">
        <v>0</v>
      </c>
      <c r="AP47" s="102">
        <v>1</v>
      </c>
      <c r="AQ47" s="102">
        <v>0</v>
      </c>
      <c r="AR47" s="102">
        <v>0</v>
      </c>
      <c r="AS47" s="102" t="s">
        <v>853</v>
      </c>
      <c r="AT47" s="102"/>
      <c r="AU47" s="102"/>
      <c r="AV47" s="102">
        <v>0</v>
      </c>
      <c r="AW47" s="102">
        <v>0</v>
      </c>
      <c r="AX47" s="102">
        <v>0</v>
      </c>
      <c r="AY47" s="102">
        <v>0</v>
      </c>
      <c r="AZ47" s="102">
        <v>0</v>
      </c>
      <c r="BA47" s="102">
        <v>0</v>
      </c>
      <c r="BB47" s="102">
        <v>0</v>
      </c>
      <c r="BC47" s="102">
        <v>0</v>
      </c>
      <c r="BD47" s="102">
        <v>0</v>
      </c>
      <c r="BE47" s="102">
        <v>0</v>
      </c>
      <c r="BF47" s="102">
        <v>0</v>
      </c>
      <c r="BG47" s="102">
        <v>0</v>
      </c>
      <c r="BH47" s="102">
        <v>0</v>
      </c>
      <c r="BI47" s="102">
        <v>0</v>
      </c>
      <c r="BJ47" s="102">
        <v>0</v>
      </c>
      <c r="BK47" s="102">
        <v>0</v>
      </c>
      <c r="BL47" s="102">
        <v>0</v>
      </c>
      <c r="BM47" s="102">
        <v>1</v>
      </c>
      <c r="BN47" s="102">
        <v>0</v>
      </c>
      <c r="BO47" s="102">
        <v>0</v>
      </c>
      <c r="BP47" s="102">
        <v>1</v>
      </c>
      <c r="BQ47" s="102">
        <v>1</v>
      </c>
      <c r="BR47" s="102">
        <v>0</v>
      </c>
      <c r="BS47" s="102">
        <v>1</v>
      </c>
      <c r="BT47" s="102">
        <v>0</v>
      </c>
      <c r="BU47" s="102">
        <v>0</v>
      </c>
      <c r="BV47" s="102">
        <v>1</v>
      </c>
      <c r="BW47" s="102">
        <v>1</v>
      </c>
      <c r="BX47" s="102">
        <v>1</v>
      </c>
      <c r="BY47" s="102">
        <v>0</v>
      </c>
      <c r="BZ47" s="102">
        <v>1</v>
      </c>
      <c r="CA47" s="102">
        <v>1</v>
      </c>
      <c r="CB47" s="102">
        <v>1</v>
      </c>
      <c r="CC47" s="102">
        <v>1</v>
      </c>
      <c r="CD47" s="102" t="s">
        <v>1179</v>
      </c>
      <c r="CE47" s="102">
        <v>0</v>
      </c>
      <c r="CF47" s="102">
        <v>1</v>
      </c>
      <c r="CG47" s="102">
        <v>0</v>
      </c>
      <c r="CH47" s="102">
        <v>0</v>
      </c>
      <c r="CI47" s="102">
        <v>1</v>
      </c>
      <c r="CJ47" s="102">
        <v>0</v>
      </c>
      <c r="CK47" s="102">
        <v>0</v>
      </c>
      <c r="CL47" s="102">
        <v>0</v>
      </c>
      <c r="CM47" s="102">
        <v>0</v>
      </c>
      <c r="CN47" s="102">
        <v>0</v>
      </c>
      <c r="CO47" s="102">
        <v>0</v>
      </c>
      <c r="CP47" s="102">
        <v>0</v>
      </c>
      <c r="CQ47" s="102">
        <v>0</v>
      </c>
      <c r="CR47" s="102">
        <v>0</v>
      </c>
      <c r="CS47" s="102">
        <v>0</v>
      </c>
      <c r="CT47" s="102" t="s">
        <v>853</v>
      </c>
      <c r="CU47" s="102">
        <v>0</v>
      </c>
      <c r="CV47" s="102" t="s">
        <v>937</v>
      </c>
      <c r="CW47" s="102">
        <v>0</v>
      </c>
      <c r="CX47" s="102">
        <v>0</v>
      </c>
      <c r="CY47" s="102" t="s">
        <v>954</v>
      </c>
      <c r="CZ47" s="102">
        <v>0</v>
      </c>
      <c r="DA47" s="102" t="s">
        <v>853</v>
      </c>
      <c r="DB47" s="102">
        <v>0</v>
      </c>
      <c r="DC47" s="102">
        <v>0</v>
      </c>
      <c r="DD47" s="102">
        <v>0</v>
      </c>
      <c r="DE47" s="102">
        <v>0</v>
      </c>
      <c r="DF47" s="102">
        <v>0</v>
      </c>
      <c r="DG47" s="102">
        <v>0</v>
      </c>
      <c r="DH47" s="102">
        <v>0</v>
      </c>
      <c r="DI47" s="102">
        <v>0</v>
      </c>
      <c r="DJ47" s="102">
        <v>0</v>
      </c>
      <c r="DK47" s="102">
        <v>1</v>
      </c>
      <c r="DL47" s="102">
        <v>0</v>
      </c>
      <c r="DM47" s="102">
        <v>0</v>
      </c>
      <c r="DN47" s="102">
        <v>0</v>
      </c>
      <c r="DO47" s="102">
        <v>1</v>
      </c>
      <c r="DP47" s="102">
        <v>0</v>
      </c>
      <c r="DQ47" s="102">
        <v>2</v>
      </c>
      <c r="DR47" s="102">
        <v>0</v>
      </c>
      <c r="DS47" s="102" t="s">
        <v>853</v>
      </c>
      <c r="DT47" s="105" t="s">
        <v>853</v>
      </c>
      <c r="DU47" s="102" t="s">
        <v>853</v>
      </c>
      <c r="DV47" s="102">
        <v>0</v>
      </c>
      <c r="DW47" s="102">
        <v>0</v>
      </c>
      <c r="DX47" s="102" t="s">
        <v>853</v>
      </c>
      <c r="DY47" s="102">
        <v>0</v>
      </c>
      <c r="DZ47" s="102">
        <v>0</v>
      </c>
      <c r="EA47" s="102" t="s">
        <v>853</v>
      </c>
      <c r="EB47" s="102">
        <v>0</v>
      </c>
      <c r="EC47" s="102">
        <v>0</v>
      </c>
      <c r="ED47" s="102">
        <v>0</v>
      </c>
      <c r="EE47" s="102">
        <v>0</v>
      </c>
      <c r="EF47" s="102">
        <v>1</v>
      </c>
      <c r="EG47" s="102">
        <v>0</v>
      </c>
      <c r="EH47" s="102" t="s">
        <v>853</v>
      </c>
      <c r="EI47" s="102">
        <v>2</v>
      </c>
      <c r="EJ47" s="102">
        <v>1</v>
      </c>
      <c r="EK47" s="102">
        <v>1</v>
      </c>
      <c r="EL47" s="102">
        <v>1</v>
      </c>
      <c r="EM47" s="102"/>
    </row>
    <row r="48" spans="1:143" ht="15.75" customHeight="1" x14ac:dyDescent="0.55000000000000004">
      <c r="A48" s="99">
        <v>46</v>
      </c>
      <c r="B48" s="102" t="s">
        <v>1180</v>
      </c>
      <c r="C48" s="102" t="s">
        <v>878</v>
      </c>
      <c r="D48" s="103">
        <v>33725</v>
      </c>
      <c r="E48" s="102" t="s">
        <v>959</v>
      </c>
      <c r="F48" s="102">
        <v>1</v>
      </c>
      <c r="G48" s="102">
        <v>5</v>
      </c>
      <c r="H48" s="102">
        <v>1992</v>
      </c>
      <c r="I48" s="102" t="s">
        <v>1181</v>
      </c>
      <c r="J48" s="102" t="s">
        <v>1182</v>
      </c>
      <c r="K48" s="102" t="s">
        <v>930</v>
      </c>
      <c r="L48" s="102">
        <v>5</v>
      </c>
      <c r="M48" s="102">
        <v>3</v>
      </c>
      <c r="N48" s="102">
        <v>2</v>
      </c>
      <c r="O48" s="102">
        <v>0</v>
      </c>
      <c r="P48" s="102">
        <v>1</v>
      </c>
      <c r="Q48" s="104">
        <v>0</v>
      </c>
      <c r="R48" s="102">
        <v>0</v>
      </c>
      <c r="S48" s="102" t="s">
        <v>853</v>
      </c>
      <c r="T48" s="102">
        <v>0</v>
      </c>
      <c r="U48" s="102">
        <v>0</v>
      </c>
      <c r="V48" s="102">
        <v>4</v>
      </c>
      <c r="W48" s="102">
        <v>10</v>
      </c>
      <c r="X48" s="102">
        <v>0</v>
      </c>
      <c r="Y48" s="102">
        <v>0</v>
      </c>
      <c r="Z48" s="102">
        <v>1</v>
      </c>
      <c r="AA48" s="102">
        <v>20</v>
      </c>
      <c r="AB48" s="102">
        <v>0</v>
      </c>
      <c r="AC48" s="102">
        <v>0</v>
      </c>
      <c r="AD48" s="102">
        <v>0</v>
      </c>
      <c r="AE48" s="102">
        <v>1</v>
      </c>
      <c r="AF48" s="102"/>
      <c r="AG48" s="102">
        <v>0</v>
      </c>
      <c r="AH48" s="102">
        <v>0</v>
      </c>
      <c r="AI48" s="102" t="s">
        <v>1183</v>
      </c>
      <c r="AJ48" s="102">
        <v>3</v>
      </c>
      <c r="AK48" s="102">
        <v>2</v>
      </c>
      <c r="AL48" s="102">
        <v>2</v>
      </c>
      <c r="AM48" s="102">
        <v>0</v>
      </c>
      <c r="AN48" s="102">
        <v>0</v>
      </c>
      <c r="AO48" s="102">
        <v>0</v>
      </c>
      <c r="AP48" s="102">
        <v>0</v>
      </c>
      <c r="AQ48" s="102">
        <v>0</v>
      </c>
      <c r="AR48" s="102">
        <v>0</v>
      </c>
      <c r="AS48" s="102" t="s">
        <v>853</v>
      </c>
      <c r="AT48" s="102">
        <v>0</v>
      </c>
      <c r="AU48" s="102"/>
      <c r="AV48" s="102">
        <v>0</v>
      </c>
      <c r="AW48" s="102">
        <v>0</v>
      </c>
      <c r="AX48" s="102">
        <v>0</v>
      </c>
      <c r="AY48" s="102">
        <v>0</v>
      </c>
      <c r="AZ48" s="102">
        <v>0</v>
      </c>
      <c r="BA48" s="102">
        <v>0</v>
      </c>
      <c r="BB48" s="102">
        <v>0</v>
      </c>
      <c r="BC48" s="102">
        <v>2</v>
      </c>
      <c r="BD48" s="102" t="s">
        <v>954</v>
      </c>
      <c r="BE48" s="102">
        <v>0</v>
      </c>
      <c r="BF48" s="102">
        <v>0</v>
      </c>
      <c r="BG48" s="102">
        <v>0</v>
      </c>
      <c r="BH48" s="102">
        <v>0</v>
      </c>
      <c r="BI48" s="102">
        <v>0</v>
      </c>
      <c r="BJ48" s="102">
        <v>0</v>
      </c>
      <c r="BK48" s="102">
        <v>0</v>
      </c>
      <c r="BL48" s="102">
        <v>1</v>
      </c>
      <c r="BM48" s="102">
        <v>1</v>
      </c>
      <c r="BN48" s="102">
        <v>0</v>
      </c>
      <c r="BO48" s="102">
        <v>0</v>
      </c>
      <c r="BP48" s="102">
        <v>1</v>
      </c>
      <c r="BQ48" s="102">
        <v>1</v>
      </c>
      <c r="BR48" s="102">
        <v>1</v>
      </c>
      <c r="BS48" s="102">
        <v>1</v>
      </c>
      <c r="BT48" s="102">
        <v>1</v>
      </c>
      <c r="BU48" s="102">
        <v>0</v>
      </c>
      <c r="BV48" s="102">
        <v>1</v>
      </c>
      <c r="BW48" s="102">
        <v>1</v>
      </c>
      <c r="BX48" s="102">
        <v>0</v>
      </c>
      <c r="BY48" s="102">
        <v>0</v>
      </c>
      <c r="BZ48" s="102">
        <v>0</v>
      </c>
      <c r="CA48" s="102" t="s">
        <v>1184</v>
      </c>
      <c r="CB48" s="102">
        <v>1</v>
      </c>
      <c r="CC48" s="102">
        <v>2</v>
      </c>
      <c r="CD48" s="102" t="s">
        <v>1185</v>
      </c>
      <c r="CE48" s="102">
        <v>0</v>
      </c>
      <c r="CF48" s="102">
        <v>1</v>
      </c>
      <c r="CG48" s="102">
        <v>0</v>
      </c>
      <c r="CH48" s="102">
        <v>0</v>
      </c>
      <c r="CI48" s="102">
        <v>1</v>
      </c>
      <c r="CJ48" s="102">
        <v>0</v>
      </c>
      <c r="CK48" s="102">
        <v>0</v>
      </c>
      <c r="CL48" s="102">
        <v>1</v>
      </c>
      <c r="CM48" s="102">
        <v>0</v>
      </c>
      <c r="CN48" s="102">
        <v>1</v>
      </c>
      <c r="CO48" s="102">
        <v>0</v>
      </c>
      <c r="CP48" s="102">
        <v>0</v>
      </c>
      <c r="CQ48" s="102">
        <v>0</v>
      </c>
      <c r="CR48" s="102">
        <v>0</v>
      </c>
      <c r="CS48" s="102">
        <v>0</v>
      </c>
      <c r="CT48" s="102" t="s">
        <v>853</v>
      </c>
      <c r="CU48" s="102">
        <v>0</v>
      </c>
      <c r="CV48" s="102" t="s">
        <v>937</v>
      </c>
      <c r="CW48" s="102">
        <v>2</v>
      </c>
      <c r="CX48" s="102">
        <v>0</v>
      </c>
      <c r="CY48" s="102">
        <v>0</v>
      </c>
      <c r="CZ48" s="102">
        <v>1</v>
      </c>
      <c r="DA48" s="102" t="s">
        <v>1186</v>
      </c>
      <c r="DB48" s="102">
        <v>1</v>
      </c>
      <c r="DC48" s="102">
        <v>0</v>
      </c>
      <c r="DD48" s="102">
        <v>0</v>
      </c>
      <c r="DE48" s="102">
        <v>0</v>
      </c>
      <c r="DF48" s="102">
        <v>0</v>
      </c>
      <c r="DG48" s="102">
        <v>0</v>
      </c>
      <c r="DH48" s="102">
        <v>1</v>
      </c>
      <c r="DI48" s="102">
        <v>0</v>
      </c>
      <c r="DJ48" s="102">
        <v>0</v>
      </c>
      <c r="DK48" s="102">
        <v>1</v>
      </c>
      <c r="DL48" s="102">
        <v>1</v>
      </c>
      <c r="DM48" s="102">
        <v>1</v>
      </c>
      <c r="DN48" s="102">
        <v>0</v>
      </c>
      <c r="DO48" s="102">
        <v>0</v>
      </c>
      <c r="DP48" s="102">
        <v>2</v>
      </c>
      <c r="DQ48" s="102">
        <v>2</v>
      </c>
      <c r="DR48" s="102">
        <v>1</v>
      </c>
      <c r="DS48" s="102">
        <v>0</v>
      </c>
      <c r="DT48" s="105" t="s">
        <v>1059</v>
      </c>
      <c r="DU48" s="102">
        <v>1</v>
      </c>
      <c r="DV48" s="102">
        <v>1</v>
      </c>
      <c r="DW48" s="102">
        <v>0</v>
      </c>
      <c r="DX48" s="102" t="s">
        <v>853</v>
      </c>
      <c r="DY48" s="102">
        <v>1</v>
      </c>
      <c r="DZ48" s="102">
        <v>2</v>
      </c>
      <c r="EA48" s="102" t="s">
        <v>1187</v>
      </c>
      <c r="EB48" s="102">
        <v>1</v>
      </c>
      <c r="EC48" s="102">
        <v>0</v>
      </c>
      <c r="ED48" s="102">
        <v>1</v>
      </c>
      <c r="EE48" s="102">
        <v>3</v>
      </c>
      <c r="EF48" s="102">
        <v>2</v>
      </c>
      <c r="EG48" s="102">
        <v>1</v>
      </c>
      <c r="EH48" s="102" t="s">
        <v>1188</v>
      </c>
      <c r="EI48" s="102">
        <v>2</v>
      </c>
      <c r="EJ48" s="102">
        <v>0</v>
      </c>
      <c r="EK48" s="102">
        <v>1</v>
      </c>
      <c r="EL48" s="102">
        <v>1</v>
      </c>
      <c r="EM48" s="102"/>
    </row>
    <row r="49" spans="1:143" ht="15.75" customHeight="1" x14ac:dyDescent="0.55000000000000004">
      <c r="A49" s="99">
        <v>47</v>
      </c>
      <c r="B49" s="102" t="s">
        <v>1189</v>
      </c>
      <c r="C49" s="102" t="s">
        <v>1014</v>
      </c>
      <c r="D49" s="103">
        <v>33892</v>
      </c>
      <c r="E49" s="102" t="s">
        <v>995</v>
      </c>
      <c r="F49" s="102">
        <v>15</v>
      </c>
      <c r="G49" s="102">
        <v>10</v>
      </c>
      <c r="H49" s="102">
        <v>1992</v>
      </c>
      <c r="I49" s="102" t="s">
        <v>1190</v>
      </c>
      <c r="J49" s="102" t="s">
        <v>1191</v>
      </c>
      <c r="K49" s="102" t="s">
        <v>894</v>
      </c>
      <c r="L49" s="102">
        <v>32</v>
      </c>
      <c r="M49" s="102">
        <v>2</v>
      </c>
      <c r="N49" s="102">
        <v>2</v>
      </c>
      <c r="O49" s="102">
        <v>2</v>
      </c>
      <c r="P49" s="102">
        <v>0</v>
      </c>
      <c r="Q49" s="104">
        <v>0</v>
      </c>
      <c r="R49" s="102">
        <v>0</v>
      </c>
      <c r="S49" s="102" t="s">
        <v>853</v>
      </c>
      <c r="T49" s="102">
        <v>0</v>
      </c>
      <c r="U49" s="102">
        <v>0</v>
      </c>
      <c r="V49" s="102">
        <v>4</v>
      </c>
      <c r="W49" s="102">
        <v>0</v>
      </c>
      <c r="X49" s="102">
        <v>0</v>
      </c>
      <c r="Y49" s="102">
        <v>0</v>
      </c>
      <c r="Z49" s="102">
        <v>0</v>
      </c>
      <c r="AA49" s="102">
        <v>50</v>
      </c>
      <c r="AB49" s="102">
        <v>0</v>
      </c>
      <c r="AC49" s="102"/>
      <c r="AD49" s="102">
        <v>0</v>
      </c>
      <c r="AE49" s="102">
        <v>0</v>
      </c>
      <c r="AF49" s="102"/>
      <c r="AG49" s="102"/>
      <c r="AH49" s="102"/>
      <c r="AI49" s="102"/>
      <c r="AJ49" s="102"/>
      <c r="AK49" s="102">
        <v>2</v>
      </c>
      <c r="AL49" s="102"/>
      <c r="AM49" s="102"/>
      <c r="AN49" s="102">
        <v>0</v>
      </c>
      <c r="AO49" s="102">
        <v>1</v>
      </c>
      <c r="AP49" s="102">
        <v>1</v>
      </c>
      <c r="AQ49" s="102">
        <v>0</v>
      </c>
      <c r="AR49" s="102">
        <v>1</v>
      </c>
      <c r="AS49" s="102">
        <v>0</v>
      </c>
      <c r="AT49" s="102">
        <v>0</v>
      </c>
      <c r="AU49" s="102"/>
      <c r="AV49" s="102">
        <v>0</v>
      </c>
      <c r="AW49" s="102">
        <v>1</v>
      </c>
      <c r="AX49" s="102">
        <v>4</v>
      </c>
      <c r="AY49" s="102" t="s">
        <v>1143</v>
      </c>
      <c r="AZ49" s="102">
        <v>4</v>
      </c>
      <c r="BA49" s="102">
        <v>0</v>
      </c>
      <c r="BB49" s="102">
        <v>0</v>
      </c>
      <c r="BC49" s="102">
        <v>1</v>
      </c>
      <c r="BD49" s="102">
        <v>1</v>
      </c>
      <c r="BE49" s="102">
        <v>0</v>
      </c>
      <c r="BF49" s="102">
        <v>0</v>
      </c>
      <c r="BG49" s="102">
        <v>0</v>
      </c>
      <c r="BH49" s="102">
        <v>0</v>
      </c>
      <c r="BI49" s="102">
        <v>0</v>
      </c>
      <c r="BJ49" s="102">
        <v>0</v>
      </c>
      <c r="BK49" s="102">
        <v>0</v>
      </c>
      <c r="BL49" s="102">
        <v>0</v>
      </c>
      <c r="BM49" s="102">
        <v>0</v>
      </c>
      <c r="BN49" s="102">
        <v>0</v>
      </c>
      <c r="BO49" s="102">
        <v>0</v>
      </c>
      <c r="BP49" s="102">
        <v>0</v>
      </c>
      <c r="BQ49" s="102">
        <v>0</v>
      </c>
      <c r="BR49" s="102">
        <v>0</v>
      </c>
      <c r="BS49" s="102">
        <v>0</v>
      </c>
      <c r="BT49" s="102">
        <v>0</v>
      </c>
      <c r="BU49" s="102"/>
      <c r="BV49" s="102">
        <v>0</v>
      </c>
      <c r="BW49" s="102">
        <v>0</v>
      </c>
      <c r="BX49" s="102">
        <v>0</v>
      </c>
      <c r="BY49" s="102">
        <v>0</v>
      </c>
      <c r="BZ49" s="102">
        <v>0</v>
      </c>
      <c r="CA49" s="102">
        <v>3</v>
      </c>
      <c r="CB49" s="102">
        <v>1</v>
      </c>
      <c r="CC49" s="102">
        <v>0</v>
      </c>
      <c r="CD49" s="102" t="s">
        <v>1192</v>
      </c>
      <c r="CE49" s="102">
        <v>0</v>
      </c>
      <c r="CF49" s="102">
        <v>0</v>
      </c>
      <c r="CG49" s="102">
        <v>0</v>
      </c>
      <c r="CH49" s="102">
        <v>0</v>
      </c>
      <c r="CI49" s="102">
        <v>1</v>
      </c>
      <c r="CJ49" s="102">
        <v>0</v>
      </c>
      <c r="CK49" s="102">
        <v>0</v>
      </c>
      <c r="CL49" s="102">
        <v>0</v>
      </c>
      <c r="CM49" s="102">
        <v>0</v>
      </c>
      <c r="CN49" s="102">
        <v>1</v>
      </c>
      <c r="CO49" s="102">
        <v>0</v>
      </c>
      <c r="CP49" s="102">
        <v>0</v>
      </c>
      <c r="CQ49" s="102">
        <v>1</v>
      </c>
      <c r="CR49" s="102">
        <v>2</v>
      </c>
      <c r="CS49" s="102">
        <v>0</v>
      </c>
      <c r="CT49" s="102" t="s">
        <v>853</v>
      </c>
      <c r="CU49" s="102">
        <v>0</v>
      </c>
      <c r="CV49" s="102">
        <v>0</v>
      </c>
      <c r="CW49" s="102">
        <v>0</v>
      </c>
      <c r="CX49" s="102">
        <v>0</v>
      </c>
      <c r="CY49" s="102">
        <v>1</v>
      </c>
      <c r="CZ49" s="102">
        <v>0</v>
      </c>
      <c r="DA49" s="102" t="s">
        <v>853</v>
      </c>
      <c r="DB49" s="102">
        <v>0</v>
      </c>
      <c r="DC49" s="102">
        <v>0</v>
      </c>
      <c r="DD49" s="102">
        <v>0</v>
      </c>
      <c r="DE49" s="102">
        <v>0</v>
      </c>
      <c r="DF49" s="102">
        <v>0</v>
      </c>
      <c r="DG49" s="102">
        <v>0</v>
      </c>
      <c r="DH49" s="102">
        <v>0</v>
      </c>
      <c r="DI49" s="102">
        <v>1</v>
      </c>
      <c r="DJ49" s="102">
        <v>1</v>
      </c>
      <c r="DK49" s="102">
        <v>0</v>
      </c>
      <c r="DL49" s="102">
        <v>0</v>
      </c>
      <c r="DM49" s="102">
        <v>0</v>
      </c>
      <c r="DN49" s="102">
        <v>0</v>
      </c>
      <c r="DO49" s="102">
        <v>0</v>
      </c>
      <c r="DP49" s="102">
        <v>0</v>
      </c>
      <c r="DQ49" s="102">
        <v>2</v>
      </c>
      <c r="DR49" s="102">
        <v>0</v>
      </c>
      <c r="DS49" s="102" t="s">
        <v>853</v>
      </c>
      <c r="DT49" s="105" t="s">
        <v>853</v>
      </c>
      <c r="DU49" s="102" t="s">
        <v>853</v>
      </c>
      <c r="DV49" s="102">
        <v>0</v>
      </c>
      <c r="DW49" s="102">
        <v>0</v>
      </c>
      <c r="DX49" s="102" t="s">
        <v>853</v>
      </c>
      <c r="DY49" s="102">
        <v>1</v>
      </c>
      <c r="DZ49" s="102">
        <v>0</v>
      </c>
      <c r="EA49" s="102" t="s">
        <v>853</v>
      </c>
      <c r="EB49" s="102">
        <v>0</v>
      </c>
      <c r="EC49" s="102">
        <v>0</v>
      </c>
      <c r="ED49" s="102">
        <v>0</v>
      </c>
      <c r="EE49" s="102">
        <v>3</v>
      </c>
      <c r="EF49" s="102">
        <v>1</v>
      </c>
      <c r="EG49" s="102">
        <v>0</v>
      </c>
      <c r="EH49" s="102" t="s">
        <v>853</v>
      </c>
      <c r="EI49" s="102">
        <v>0</v>
      </c>
      <c r="EJ49" s="102">
        <v>0</v>
      </c>
      <c r="EK49" s="102">
        <v>2</v>
      </c>
      <c r="EL49" s="102">
        <v>0</v>
      </c>
      <c r="EM49" s="102"/>
    </row>
    <row r="50" spans="1:143" ht="15.75" customHeight="1" x14ac:dyDescent="0.55000000000000004">
      <c r="A50" s="99">
        <v>48</v>
      </c>
      <c r="B50" s="102" t="s">
        <v>1193</v>
      </c>
      <c r="C50" s="102" t="s">
        <v>1194</v>
      </c>
      <c r="D50" s="103">
        <v>33916</v>
      </c>
      <c r="E50" s="102" t="s">
        <v>914</v>
      </c>
      <c r="F50" s="102">
        <v>8</v>
      </c>
      <c r="G50" s="102">
        <v>11</v>
      </c>
      <c r="H50" s="102">
        <v>1992</v>
      </c>
      <c r="I50" s="102" t="s">
        <v>1195</v>
      </c>
      <c r="J50" s="102" t="s">
        <v>1196</v>
      </c>
      <c r="K50" s="102" t="s">
        <v>930</v>
      </c>
      <c r="L50" s="102">
        <v>5</v>
      </c>
      <c r="M50" s="102">
        <v>3</v>
      </c>
      <c r="N50" s="102">
        <v>1</v>
      </c>
      <c r="O50" s="102">
        <v>7</v>
      </c>
      <c r="P50" s="102">
        <v>0</v>
      </c>
      <c r="Q50" s="104">
        <v>0</v>
      </c>
      <c r="R50" s="102">
        <v>1</v>
      </c>
      <c r="S50" s="102">
        <v>4</v>
      </c>
      <c r="T50" s="102">
        <v>0</v>
      </c>
      <c r="U50" s="102">
        <v>0</v>
      </c>
      <c r="V50" s="102">
        <v>6</v>
      </c>
      <c r="W50" s="102">
        <v>1</v>
      </c>
      <c r="X50" s="102">
        <v>0</v>
      </c>
      <c r="Y50" s="102">
        <v>0</v>
      </c>
      <c r="Z50" s="102">
        <v>1</v>
      </c>
      <c r="AA50" s="102">
        <v>43</v>
      </c>
      <c r="AB50" s="102">
        <v>0</v>
      </c>
      <c r="AC50" s="102">
        <v>0</v>
      </c>
      <c r="AD50" s="102">
        <v>0</v>
      </c>
      <c r="AE50" s="102">
        <v>0</v>
      </c>
      <c r="AF50" s="102">
        <v>1</v>
      </c>
      <c r="AG50" s="102"/>
      <c r="AH50" s="102"/>
      <c r="AI50" s="102"/>
      <c r="AJ50" s="102"/>
      <c r="AK50" s="102">
        <v>1</v>
      </c>
      <c r="AL50" s="102"/>
      <c r="AM50" s="102"/>
      <c r="AN50" s="102">
        <v>3</v>
      </c>
      <c r="AO50" s="102">
        <v>1</v>
      </c>
      <c r="AP50" s="102">
        <v>0</v>
      </c>
      <c r="AQ50" s="102">
        <v>0</v>
      </c>
      <c r="AR50" s="102">
        <v>0</v>
      </c>
      <c r="AS50" s="102" t="s">
        <v>853</v>
      </c>
      <c r="AT50" s="102">
        <v>1</v>
      </c>
      <c r="AU50" s="102" t="s">
        <v>1197</v>
      </c>
      <c r="AV50" s="102">
        <v>0</v>
      </c>
      <c r="AW50" s="102">
        <v>1</v>
      </c>
      <c r="AX50" s="102">
        <v>0</v>
      </c>
      <c r="AY50" s="102">
        <v>1</v>
      </c>
      <c r="AZ50" s="102">
        <v>4</v>
      </c>
      <c r="BA50" s="102">
        <v>0</v>
      </c>
      <c r="BB50" s="102">
        <v>0</v>
      </c>
      <c r="BC50" s="102">
        <v>0</v>
      </c>
      <c r="BD50" s="102">
        <v>0</v>
      </c>
      <c r="BE50" s="102">
        <v>0</v>
      </c>
      <c r="BF50" s="102">
        <v>0</v>
      </c>
      <c r="BG50" s="102">
        <v>0</v>
      </c>
      <c r="BH50" s="102">
        <v>0</v>
      </c>
      <c r="BI50" s="102">
        <v>0</v>
      </c>
      <c r="BJ50" s="102">
        <v>0</v>
      </c>
      <c r="BK50" s="102">
        <v>0</v>
      </c>
      <c r="BL50" s="102">
        <v>0</v>
      </c>
      <c r="BM50" s="102">
        <v>0</v>
      </c>
      <c r="BN50" s="102">
        <v>0</v>
      </c>
      <c r="BO50" s="102">
        <v>0</v>
      </c>
      <c r="BP50" s="102">
        <v>0</v>
      </c>
      <c r="BQ50" s="102">
        <v>0</v>
      </c>
      <c r="BR50" s="102">
        <v>0</v>
      </c>
      <c r="BS50" s="102">
        <v>0</v>
      </c>
      <c r="BT50" s="102">
        <v>0</v>
      </c>
      <c r="BU50" s="102"/>
      <c r="BV50" s="102">
        <v>0</v>
      </c>
      <c r="BW50" s="102">
        <v>0</v>
      </c>
      <c r="BX50" s="102">
        <v>0</v>
      </c>
      <c r="BY50" s="102">
        <v>0</v>
      </c>
      <c r="BZ50" s="102">
        <v>0</v>
      </c>
      <c r="CA50" s="102">
        <v>1</v>
      </c>
      <c r="CB50" s="102">
        <v>1</v>
      </c>
      <c r="CC50" s="102">
        <v>2</v>
      </c>
      <c r="CD50" s="102" t="s">
        <v>1198</v>
      </c>
      <c r="CE50" s="102">
        <v>0</v>
      </c>
      <c r="CF50" s="102">
        <v>1</v>
      </c>
      <c r="CG50" s="102">
        <v>0</v>
      </c>
      <c r="CH50" s="102">
        <v>0</v>
      </c>
      <c r="CI50" s="102">
        <v>1</v>
      </c>
      <c r="CJ50" s="102">
        <v>1</v>
      </c>
      <c r="CK50" s="102">
        <v>1</v>
      </c>
      <c r="CL50" s="102">
        <v>1</v>
      </c>
      <c r="CM50" s="102">
        <v>1</v>
      </c>
      <c r="CN50" s="102">
        <v>1</v>
      </c>
      <c r="CO50" s="102">
        <v>0</v>
      </c>
      <c r="CP50" s="102">
        <v>0</v>
      </c>
      <c r="CQ50" s="102">
        <v>0</v>
      </c>
      <c r="CR50" s="102">
        <v>0</v>
      </c>
      <c r="CS50" s="102">
        <v>0</v>
      </c>
      <c r="CT50" s="102" t="s">
        <v>853</v>
      </c>
      <c r="CU50" s="102">
        <v>0</v>
      </c>
      <c r="CV50" s="102">
        <v>0</v>
      </c>
      <c r="CW50" s="102">
        <v>0</v>
      </c>
      <c r="CX50" s="102">
        <v>0</v>
      </c>
      <c r="CY50" s="102">
        <v>0</v>
      </c>
      <c r="CZ50" s="102">
        <v>1</v>
      </c>
      <c r="DA50" s="102" t="s">
        <v>1199</v>
      </c>
      <c r="DB50" s="102">
        <v>0</v>
      </c>
      <c r="DC50" s="102">
        <v>0</v>
      </c>
      <c r="DD50" s="102">
        <v>0</v>
      </c>
      <c r="DE50" s="102">
        <v>0</v>
      </c>
      <c r="DF50" s="102">
        <v>0</v>
      </c>
      <c r="DG50" s="102">
        <v>0</v>
      </c>
      <c r="DH50" s="102">
        <v>0</v>
      </c>
      <c r="DI50" s="102">
        <v>1</v>
      </c>
      <c r="DJ50" s="102">
        <v>1</v>
      </c>
      <c r="DK50" s="102">
        <v>1</v>
      </c>
      <c r="DL50" s="102">
        <v>1</v>
      </c>
      <c r="DM50" s="102">
        <v>0</v>
      </c>
      <c r="DN50" s="102">
        <v>0</v>
      </c>
      <c r="DO50" s="102">
        <v>0</v>
      </c>
      <c r="DP50" s="102">
        <v>0</v>
      </c>
      <c r="DQ50" s="102">
        <v>2</v>
      </c>
      <c r="DR50" s="102">
        <v>1</v>
      </c>
      <c r="DS50" s="102">
        <v>0</v>
      </c>
      <c r="DT50" s="105" t="s">
        <v>1080</v>
      </c>
      <c r="DU50" s="102">
        <v>0</v>
      </c>
      <c r="DV50" s="102">
        <v>0</v>
      </c>
      <c r="DW50" s="102">
        <v>0</v>
      </c>
      <c r="DX50" s="102" t="s">
        <v>853</v>
      </c>
      <c r="DY50" s="102">
        <v>1</v>
      </c>
      <c r="DZ50" s="102">
        <v>0</v>
      </c>
      <c r="EA50" s="102" t="s">
        <v>853</v>
      </c>
      <c r="EB50" s="102">
        <v>0</v>
      </c>
      <c r="EC50" s="102">
        <v>0</v>
      </c>
      <c r="ED50" s="102">
        <v>0</v>
      </c>
      <c r="EE50" s="102">
        <v>0</v>
      </c>
      <c r="EF50" s="102">
        <v>2</v>
      </c>
      <c r="EG50" s="102">
        <v>0</v>
      </c>
      <c r="EH50" s="102" t="s">
        <v>853</v>
      </c>
      <c r="EI50" s="102">
        <v>0</v>
      </c>
      <c r="EJ50" s="102">
        <v>0</v>
      </c>
      <c r="EK50" s="102">
        <v>2</v>
      </c>
      <c r="EL50" s="102">
        <v>0</v>
      </c>
      <c r="EM50" s="102"/>
    </row>
    <row r="51" spans="1:143" ht="15.75" customHeight="1" x14ac:dyDescent="0.55000000000000004">
      <c r="A51" s="99">
        <v>49</v>
      </c>
      <c r="B51" s="102" t="s">
        <v>1200</v>
      </c>
      <c r="C51" s="102" t="s">
        <v>1201</v>
      </c>
      <c r="D51" s="103">
        <v>34151</v>
      </c>
      <c r="E51" s="102" t="s">
        <v>995</v>
      </c>
      <c r="F51" s="102">
        <v>1</v>
      </c>
      <c r="G51" s="102">
        <v>7</v>
      </c>
      <c r="H51" s="102">
        <v>1993</v>
      </c>
      <c r="I51" s="102" t="s">
        <v>1202</v>
      </c>
      <c r="J51" s="102" t="s">
        <v>1203</v>
      </c>
      <c r="K51" s="102" t="s">
        <v>930</v>
      </c>
      <c r="L51" s="102">
        <v>5</v>
      </c>
      <c r="M51" s="102">
        <v>3</v>
      </c>
      <c r="N51" s="102">
        <v>0</v>
      </c>
      <c r="O51" s="107">
        <v>6</v>
      </c>
      <c r="P51" s="102">
        <v>0</v>
      </c>
      <c r="Q51" s="104">
        <v>1</v>
      </c>
      <c r="R51" s="102">
        <v>0</v>
      </c>
      <c r="S51" s="102" t="s">
        <v>853</v>
      </c>
      <c r="T51" s="102">
        <v>0</v>
      </c>
      <c r="U51" s="102">
        <v>0</v>
      </c>
      <c r="V51" s="102">
        <v>8</v>
      </c>
      <c r="W51" s="102">
        <v>6</v>
      </c>
      <c r="X51" s="102">
        <v>0</v>
      </c>
      <c r="Y51" s="102">
        <v>0</v>
      </c>
      <c r="Z51" s="102">
        <v>0</v>
      </c>
      <c r="AA51" s="102">
        <v>55</v>
      </c>
      <c r="AB51" s="102">
        <v>0</v>
      </c>
      <c r="AC51" s="102">
        <v>0</v>
      </c>
      <c r="AD51" s="102">
        <v>1</v>
      </c>
      <c r="AE51" s="102">
        <v>0</v>
      </c>
      <c r="AF51" s="102">
        <v>1</v>
      </c>
      <c r="AG51" s="102">
        <v>4</v>
      </c>
      <c r="AH51" s="102"/>
      <c r="AI51" s="102"/>
      <c r="AJ51" s="102"/>
      <c r="AK51" s="102">
        <v>1</v>
      </c>
      <c r="AL51" s="102"/>
      <c r="AM51" s="102"/>
      <c r="AN51" s="102">
        <v>3</v>
      </c>
      <c r="AO51" s="102">
        <v>0</v>
      </c>
      <c r="AP51" s="102">
        <v>1</v>
      </c>
      <c r="AQ51" s="102">
        <v>1</v>
      </c>
      <c r="AR51" s="102">
        <v>0</v>
      </c>
      <c r="AS51" s="102" t="s">
        <v>853</v>
      </c>
      <c r="AT51" s="102"/>
      <c r="AU51" s="102"/>
      <c r="AV51" s="102">
        <v>0</v>
      </c>
      <c r="AW51" s="102">
        <v>0</v>
      </c>
      <c r="AX51" s="102">
        <v>0</v>
      </c>
      <c r="AY51" s="102">
        <v>0</v>
      </c>
      <c r="AZ51" s="102">
        <v>0</v>
      </c>
      <c r="BA51" s="102">
        <v>0</v>
      </c>
      <c r="BB51" s="102">
        <v>0</v>
      </c>
      <c r="BC51" s="102">
        <v>0</v>
      </c>
      <c r="BD51" s="102">
        <v>0</v>
      </c>
      <c r="BE51" s="102">
        <v>0</v>
      </c>
      <c r="BF51" s="102">
        <v>0</v>
      </c>
      <c r="BG51" s="102">
        <v>0</v>
      </c>
      <c r="BH51" s="102">
        <v>0</v>
      </c>
      <c r="BI51" s="102">
        <v>0</v>
      </c>
      <c r="BJ51" s="102">
        <v>0</v>
      </c>
      <c r="BK51" s="102">
        <v>0</v>
      </c>
      <c r="BL51" s="102">
        <v>0</v>
      </c>
      <c r="BM51" s="102">
        <v>0</v>
      </c>
      <c r="BN51" s="102">
        <v>0</v>
      </c>
      <c r="BO51" s="102">
        <v>0</v>
      </c>
      <c r="BP51" s="102">
        <v>0</v>
      </c>
      <c r="BQ51" s="102">
        <v>0</v>
      </c>
      <c r="BR51" s="102">
        <v>0</v>
      </c>
      <c r="BS51" s="102">
        <v>0</v>
      </c>
      <c r="BT51" s="102">
        <v>0</v>
      </c>
      <c r="BU51" s="102"/>
      <c r="BV51" s="102">
        <v>0</v>
      </c>
      <c r="BW51" s="102">
        <v>0</v>
      </c>
      <c r="BX51" s="102">
        <v>0</v>
      </c>
      <c r="BY51" s="102">
        <v>0</v>
      </c>
      <c r="BZ51" s="102">
        <v>0</v>
      </c>
      <c r="CA51" s="102">
        <v>3</v>
      </c>
      <c r="CB51" s="102">
        <v>1</v>
      </c>
      <c r="CC51" s="102">
        <v>2</v>
      </c>
      <c r="CD51" s="102" t="s">
        <v>1204</v>
      </c>
      <c r="CE51" s="102">
        <v>0</v>
      </c>
      <c r="CF51" s="102">
        <v>0</v>
      </c>
      <c r="CG51" s="102">
        <v>0</v>
      </c>
      <c r="CH51" s="102">
        <v>0</v>
      </c>
      <c r="CI51" s="102">
        <v>0</v>
      </c>
      <c r="CJ51" s="102">
        <v>0</v>
      </c>
      <c r="CK51" s="102">
        <v>1</v>
      </c>
      <c r="CL51" s="102">
        <v>1</v>
      </c>
      <c r="CM51" s="102">
        <v>1</v>
      </c>
      <c r="CN51" s="102">
        <v>2</v>
      </c>
      <c r="CO51" s="102">
        <v>0</v>
      </c>
      <c r="CP51" s="102">
        <v>0</v>
      </c>
      <c r="CQ51" s="102">
        <v>0</v>
      </c>
      <c r="CR51" s="102">
        <v>0</v>
      </c>
      <c r="CS51" s="102">
        <v>0</v>
      </c>
      <c r="CT51" s="102" t="s">
        <v>853</v>
      </c>
      <c r="CU51" s="102">
        <v>0</v>
      </c>
      <c r="CV51" s="102">
        <v>4</v>
      </c>
      <c r="CW51" s="102">
        <v>0</v>
      </c>
      <c r="CX51" s="102">
        <v>0</v>
      </c>
      <c r="CY51" s="102">
        <v>0</v>
      </c>
      <c r="CZ51" s="102">
        <v>0</v>
      </c>
      <c r="DA51" s="102" t="s">
        <v>853</v>
      </c>
      <c r="DB51" s="102">
        <v>0</v>
      </c>
      <c r="DC51" s="102">
        <v>0</v>
      </c>
      <c r="DD51" s="102">
        <v>0</v>
      </c>
      <c r="DE51" s="102">
        <v>0</v>
      </c>
      <c r="DF51" s="102">
        <v>0</v>
      </c>
      <c r="DG51" s="102">
        <v>0</v>
      </c>
      <c r="DH51" s="102">
        <v>0</v>
      </c>
      <c r="DI51" s="102">
        <v>1</v>
      </c>
      <c r="DJ51" s="102">
        <v>1</v>
      </c>
      <c r="DK51" s="102">
        <v>0</v>
      </c>
      <c r="DL51" s="102">
        <v>0</v>
      </c>
      <c r="DM51" s="102">
        <v>0</v>
      </c>
      <c r="DN51" s="102">
        <v>1</v>
      </c>
      <c r="DO51" s="102">
        <v>0</v>
      </c>
      <c r="DP51" s="102">
        <v>0</v>
      </c>
      <c r="DQ51" s="102">
        <v>2</v>
      </c>
      <c r="DR51" s="102">
        <v>0</v>
      </c>
      <c r="DS51" s="102" t="s">
        <v>853</v>
      </c>
      <c r="DT51" s="105" t="s">
        <v>853</v>
      </c>
      <c r="DU51" s="102" t="s">
        <v>853</v>
      </c>
      <c r="DV51" s="102">
        <v>0</v>
      </c>
      <c r="DW51" s="102">
        <v>0</v>
      </c>
      <c r="DX51" s="102" t="s">
        <v>853</v>
      </c>
      <c r="DY51" s="102">
        <v>1</v>
      </c>
      <c r="DZ51" s="102">
        <v>0</v>
      </c>
      <c r="EA51" s="102" t="s">
        <v>853</v>
      </c>
      <c r="EB51" s="102">
        <v>0</v>
      </c>
      <c r="EC51" s="102">
        <v>0</v>
      </c>
      <c r="ED51" s="102">
        <v>0</v>
      </c>
      <c r="EE51" s="102">
        <v>1</v>
      </c>
      <c r="EF51" s="102">
        <v>3</v>
      </c>
      <c r="EG51" s="102">
        <v>1</v>
      </c>
      <c r="EH51" s="102" t="s">
        <v>1205</v>
      </c>
      <c r="EI51" s="102">
        <v>0</v>
      </c>
      <c r="EJ51" s="102">
        <v>0</v>
      </c>
      <c r="EK51" s="102">
        <v>2</v>
      </c>
      <c r="EL51" s="102">
        <v>0</v>
      </c>
      <c r="EM51" s="102"/>
    </row>
    <row r="52" spans="1:143" ht="15.75" customHeight="1" x14ac:dyDescent="0.55000000000000004">
      <c r="A52" s="99">
        <v>50</v>
      </c>
      <c r="B52" s="102" t="s">
        <v>1206</v>
      </c>
      <c r="C52" s="102" t="s">
        <v>1207</v>
      </c>
      <c r="D52" s="103">
        <v>34187</v>
      </c>
      <c r="E52" s="102" t="s">
        <v>959</v>
      </c>
      <c r="F52" s="102">
        <v>6</v>
      </c>
      <c r="G52" s="102">
        <v>8</v>
      </c>
      <c r="H52" s="102">
        <v>1993</v>
      </c>
      <c r="I52" s="102" t="s">
        <v>1208</v>
      </c>
      <c r="J52" s="102" t="s">
        <v>1209</v>
      </c>
      <c r="K52" s="102" t="s">
        <v>901</v>
      </c>
      <c r="L52" s="102">
        <v>33</v>
      </c>
      <c r="M52" s="102">
        <v>0</v>
      </c>
      <c r="N52" s="102">
        <v>0</v>
      </c>
      <c r="O52" s="102">
        <v>5</v>
      </c>
      <c r="P52" s="102">
        <v>0</v>
      </c>
      <c r="Q52" s="104">
        <v>0</v>
      </c>
      <c r="R52" s="102">
        <v>0</v>
      </c>
      <c r="S52" s="102" t="s">
        <v>853</v>
      </c>
      <c r="T52" s="102">
        <v>0</v>
      </c>
      <c r="U52" s="102">
        <v>0</v>
      </c>
      <c r="V52" s="102">
        <v>4</v>
      </c>
      <c r="W52" s="102">
        <v>7</v>
      </c>
      <c r="X52" s="102">
        <v>0</v>
      </c>
      <c r="Y52" s="102">
        <v>0</v>
      </c>
      <c r="Z52" s="102">
        <v>0</v>
      </c>
      <c r="AA52" s="102">
        <v>22</v>
      </c>
      <c r="AB52" s="102">
        <v>0</v>
      </c>
      <c r="AC52" s="102">
        <v>0</v>
      </c>
      <c r="AD52" s="102">
        <v>0</v>
      </c>
      <c r="AE52" s="102">
        <v>0</v>
      </c>
      <c r="AF52" s="102"/>
      <c r="AG52" s="102"/>
      <c r="AH52" s="102"/>
      <c r="AI52" s="102"/>
      <c r="AJ52" s="102">
        <v>2</v>
      </c>
      <c r="AK52" s="102">
        <v>2</v>
      </c>
      <c r="AL52" s="102">
        <v>1</v>
      </c>
      <c r="AM52" s="102">
        <v>1</v>
      </c>
      <c r="AN52" s="102">
        <v>1</v>
      </c>
      <c r="AO52" s="102">
        <v>0</v>
      </c>
      <c r="AP52" s="102">
        <v>1</v>
      </c>
      <c r="AQ52" s="102">
        <v>0</v>
      </c>
      <c r="AR52" s="102">
        <v>1</v>
      </c>
      <c r="AS52" s="102">
        <v>0</v>
      </c>
      <c r="AT52" s="102">
        <v>0</v>
      </c>
      <c r="AU52" s="102"/>
      <c r="AV52" s="102">
        <v>0</v>
      </c>
      <c r="AW52" s="102">
        <v>0</v>
      </c>
      <c r="AX52" s="102">
        <v>0</v>
      </c>
      <c r="AY52" s="102">
        <v>0</v>
      </c>
      <c r="AZ52" s="102">
        <v>0</v>
      </c>
      <c r="BA52" s="102">
        <v>0</v>
      </c>
      <c r="BB52" s="102">
        <v>0</v>
      </c>
      <c r="BC52" s="102">
        <v>0</v>
      </c>
      <c r="BD52" s="102">
        <v>0</v>
      </c>
      <c r="BE52" s="102">
        <v>0</v>
      </c>
      <c r="BF52" s="102">
        <v>0</v>
      </c>
      <c r="BG52" s="102">
        <v>0</v>
      </c>
      <c r="BH52" s="102">
        <v>0</v>
      </c>
      <c r="BI52" s="102">
        <v>0</v>
      </c>
      <c r="BJ52" s="102">
        <v>0</v>
      </c>
      <c r="BK52" s="102">
        <v>0</v>
      </c>
      <c r="BL52" s="102">
        <v>0</v>
      </c>
      <c r="BM52" s="102">
        <v>0</v>
      </c>
      <c r="BN52" s="102">
        <v>0</v>
      </c>
      <c r="BO52" s="102">
        <v>1</v>
      </c>
      <c r="BP52" s="102">
        <v>1</v>
      </c>
      <c r="BQ52" s="102">
        <v>0</v>
      </c>
      <c r="BR52" s="102">
        <v>0</v>
      </c>
      <c r="BS52" s="102">
        <v>0</v>
      </c>
      <c r="BT52" s="102">
        <v>0</v>
      </c>
      <c r="BU52" s="102">
        <v>0</v>
      </c>
      <c r="BV52" s="102">
        <v>1</v>
      </c>
      <c r="BW52" s="102">
        <v>0</v>
      </c>
      <c r="BX52" s="102">
        <v>0</v>
      </c>
      <c r="BY52" s="102">
        <v>0</v>
      </c>
      <c r="BZ52" s="102">
        <v>1</v>
      </c>
      <c r="CA52" s="102">
        <v>0</v>
      </c>
      <c r="CB52" s="102">
        <v>1</v>
      </c>
      <c r="CC52" s="102">
        <v>0</v>
      </c>
      <c r="CD52" s="102" t="s">
        <v>1210</v>
      </c>
      <c r="CE52" s="102">
        <v>0</v>
      </c>
      <c r="CF52" s="102">
        <v>0</v>
      </c>
      <c r="CG52" s="102">
        <v>0</v>
      </c>
      <c r="CH52" s="102">
        <v>1</v>
      </c>
      <c r="CI52" s="102">
        <v>1</v>
      </c>
      <c r="CJ52" s="102">
        <v>0</v>
      </c>
      <c r="CK52" s="102">
        <v>0</v>
      </c>
      <c r="CL52" s="102">
        <v>1</v>
      </c>
      <c r="CM52" s="102">
        <v>0</v>
      </c>
      <c r="CN52" s="102">
        <v>2</v>
      </c>
      <c r="CO52" s="102">
        <v>0</v>
      </c>
      <c r="CP52" s="102">
        <v>0</v>
      </c>
      <c r="CQ52" s="102">
        <v>0</v>
      </c>
      <c r="CR52" s="102">
        <v>0</v>
      </c>
      <c r="CS52" s="102">
        <v>0</v>
      </c>
      <c r="CT52" s="102" t="s">
        <v>853</v>
      </c>
      <c r="CU52" s="102">
        <v>0</v>
      </c>
      <c r="CV52" s="102">
        <v>0</v>
      </c>
      <c r="CW52" s="102">
        <v>1</v>
      </c>
      <c r="CX52" s="102">
        <v>0</v>
      </c>
      <c r="CY52" s="102">
        <v>1</v>
      </c>
      <c r="CZ52" s="102">
        <v>0</v>
      </c>
      <c r="DA52" s="102" t="s">
        <v>853</v>
      </c>
      <c r="DB52" s="102">
        <v>0</v>
      </c>
      <c r="DC52" s="102" t="s">
        <v>954</v>
      </c>
      <c r="DD52" s="102">
        <v>0</v>
      </c>
      <c r="DE52" s="102">
        <v>0</v>
      </c>
      <c r="DF52" s="102">
        <v>0</v>
      </c>
      <c r="DG52" s="102">
        <v>1</v>
      </c>
      <c r="DH52" s="102">
        <v>0</v>
      </c>
      <c r="DI52" s="102">
        <v>0</v>
      </c>
      <c r="DJ52" s="102">
        <v>0</v>
      </c>
      <c r="DK52" s="102">
        <v>0</v>
      </c>
      <c r="DL52" s="102">
        <v>0</v>
      </c>
      <c r="DM52" s="102">
        <v>0</v>
      </c>
      <c r="DN52" s="102">
        <v>0</v>
      </c>
      <c r="DO52" s="102">
        <v>1</v>
      </c>
      <c r="DP52" s="102">
        <v>0</v>
      </c>
      <c r="DQ52" s="102">
        <v>2</v>
      </c>
      <c r="DR52" s="102">
        <v>0</v>
      </c>
      <c r="DS52" s="102" t="s">
        <v>853</v>
      </c>
      <c r="DT52" s="105" t="s">
        <v>853</v>
      </c>
      <c r="DU52" s="102" t="s">
        <v>853</v>
      </c>
      <c r="DV52" s="102">
        <v>0</v>
      </c>
      <c r="DW52" s="102">
        <v>0</v>
      </c>
      <c r="DX52" s="102" t="s">
        <v>853</v>
      </c>
      <c r="DY52" s="102">
        <v>0</v>
      </c>
      <c r="DZ52" s="102">
        <v>1</v>
      </c>
      <c r="EA52" s="102" t="s">
        <v>1211</v>
      </c>
      <c r="EB52" s="102">
        <v>0</v>
      </c>
      <c r="EC52" s="102">
        <v>0</v>
      </c>
      <c r="ED52" s="102">
        <v>0</v>
      </c>
      <c r="EE52" s="102">
        <v>3</v>
      </c>
      <c r="EF52" s="102">
        <v>3</v>
      </c>
      <c r="EG52" s="102">
        <v>0</v>
      </c>
      <c r="EH52" s="102" t="s">
        <v>853</v>
      </c>
      <c r="EI52" s="102">
        <v>2</v>
      </c>
      <c r="EJ52" s="102">
        <v>0</v>
      </c>
      <c r="EK52" s="102">
        <v>0</v>
      </c>
      <c r="EL52" s="102">
        <v>3</v>
      </c>
      <c r="EM52" s="102"/>
    </row>
    <row r="53" spans="1:143" ht="15.75" customHeight="1" x14ac:dyDescent="0.55000000000000004">
      <c r="A53" s="99">
        <v>51</v>
      </c>
      <c r="B53" s="102" t="s">
        <v>1212</v>
      </c>
      <c r="C53" s="102" t="s">
        <v>1061</v>
      </c>
      <c r="D53" s="103">
        <v>34256</v>
      </c>
      <c r="E53" s="102" t="s">
        <v>995</v>
      </c>
      <c r="F53" s="102">
        <v>14</v>
      </c>
      <c r="G53" s="102">
        <v>10</v>
      </c>
      <c r="H53" s="102">
        <v>1993</v>
      </c>
      <c r="I53" s="102" t="s">
        <v>1213</v>
      </c>
      <c r="J53" s="102" t="s">
        <v>1214</v>
      </c>
      <c r="K53" s="102" t="s">
        <v>930</v>
      </c>
      <c r="L53" s="102">
        <v>5</v>
      </c>
      <c r="M53" s="102">
        <v>3</v>
      </c>
      <c r="N53" s="102">
        <v>1</v>
      </c>
      <c r="O53" s="102">
        <v>4</v>
      </c>
      <c r="P53" s="102">
        <v>0</v>
      </c>
      <c r="Q53" s="104">
        <v>0</v>
      </c>
      <c r="R53" s="102">
        <v>0</v>
      </c>
      <c r="S53" s="102" t="s">
        <v>853</v>
      </c>
      <c r="T53" s="102">
        <v>0</v>
      </c>
      <c r="U53" s="102">
        <v>0</v>
      </c>
      <c r="V53" s="102">
        <v>4</v>
      </c>
      <c r="W53" s="102">
        <v>2</v>
      </c>
      <c r="X53" s="102">
        <v>0</v>
      </c>
      <c r="Y53" s="102">
        <v>0</v>
      </c>
      <c r="Z53" s="102">
        <v>0</v>
      </c>
      <c r="AA53" s="102">
        <v>19</v>
      </c>
      <c r="AB53" s="102">
        <v>0</v>
      </c>
      <c r="AC53" s="102">
        <v>0</v>
      </c>
      <c r="AD53" s="102">
        <v>0</v>
      </c>
      <c r="AE53" s="102">
        <v>0</v>
      </c>
      <c r="AF53" s="102">
        <v>1</v>
      </c>
      <c r="AG53" s="102">
        <v>2</v>
      </c>
      <c r="AH53" s="102">
        <v>2</v>
      </c>
      <c r="AI53" s="102" t="s">
        <v>1215</v>
      </c>
      <c r="AJ53" s="102">
        <v>1</v>
      </c>
      <c r="AK53" s="102">
        <v>1</v>
      </c>
      <c r="AL53" s="102">
        <v>0</v>
      </c>
      <c r="AM53" s="102">
        <v>1</v>
      </c>
      <c r="AN53" s="102">
        <v>0</v>
      </c>
      <c r="AO53" s="102">
        <v>0</v>
      </c>
      <c r="AP53" s="102">
        <v>0</v>
      </c>
      <c r="AQ53" s="102"/>
      <c r="AR53" s="102">
        <v>0</v>
      </c>
      <c r="AS53" s="102" t="s">
        <v>853</v>
      </c>
      <c r="AT53" s="102">
        <v>0</v>
      </c>
      <c r="AU53" s="102"/>
      <c r="AV53" s="102">
        <v>0</v>
      </c>
      <c r="AW53" s="102">
        <v>0</v>
      </c>
      <c r="AX53" s="102">
        <v>0</v>
      </c>
      <c r="AY53" s="102">
        <v>0</v>
      </c>
      <c r="AZ53" s="102">
        <v>0</v>
      </c>
      <c r="BA53" s="102">
        <v>0</v>
      </c>
      <c r="BB53" s="102">
        <v>0</v>
      </c>
      <c r="BC53" s="102">
        <v>0</v>
      </c>
      <c r="BD53" s="102">
        <v>0</v>
      </c>
      <c r="BE53" s="102">
        <v>0</v>
      </c>
      <c r="BF53" s="102">
        <v>0</v>
      </c>
      <c r="BG53" s="102">
        <v>0</v>
      </c>
      <c r="BH53" s="102">
        <v>0</v>
      </c>
      <c r="BI53" s="102">
        <v>0</v>
      </c>
      <c r="BJ53" s="102">
        <v>0</v>
      </c>
      <c r="BK53" s="102">
        <v>0</v>
      </c>
      <c r="BL53" s="102">
        <v>0</v>
      </c>
      <c r="BM53" s="102">
        <v>0</v>
      </c>
      <c r="BN53" s="102">
        <v>0</v>
      </c>
      <c r="BO53" s="102">
        <v>0</v>
      </c>
      <c r="BP53" s="102">
        <v>0</v>
      </c>
      <c r="BQ53" s="102">
        <v>0</v>
      </c>
      <c r="BR53" s="102">
        <v>0</v>
      </c>
      <c r="BS53" s="102">
        <v>0</v>
      </c>
      <c r="BT53" s="102">
        <v>0</v>
      </c>
      <c r="BU53" s="102">
        <v>2</v>
      </c>
      <c r="BV53" s="102">
        <v>0</v>
      </c>
      <c r="BW53" s="102">
        <v>0</v>
      </c>
      <c r="BX53" s="102">
        <v>0</v>
      </c>
      <c r="BY53" s="102">
        <v>0</v>
      </c>
      <c r="BZ53" s="102">
        <v>0</v>
      </c>
      <c r="CA53" s="102">
        <v>6</v>
      </c>
      <c r="CB53" s="102">
        <v>1</v>
      </c>
      <c r="CC53" s="102">
        <v>1</v>
      </c>
      <c r="CD53" s="102" t="s">
        <v>1216</v>
      </c>
      <c r="CE53" s="102">
        <v>0</v>
      </c>
      <c r="CF53" s="102">
        <v>1</v>
      </c>
      <c r="CG53" s="102">
        <v>0</v>
      </c>
      <c r="CH53" s="102">
        <v>0</v>
      </c>
      <c r="CI53" s="102">
        <v>1</v>
      </c>
      <c r="CJ53" s="102">
        <v>0</v>
      </c>
      <c r="CK53" s="102">
        <v>1</v>
      </c>
      <c r="CL53" s="102">
        <v>0</v>
      </c>
      <c r="CM53" s="102">
        <v>0</v>
      </c>
      <c r="CN53" s="102">
        <v>2</v>
      </c>
      <c r="CO53" s="102">
        <v>0</v>
      </c>
      <c r="CP53" s="102">
        <v>0</v>
      </c>
      <c r="CQ53" s="102">
        <v>1</v>
      </c>
      <c r="CR53" s="102">
        <v>1</v>
      </c>
      <c r="CS53" s="102">
        <v>0</v>
      </c>
      <c r="CT53" s="102" t="s">
        <v>853</v>
      </c>
      <c r="CU53" s="102">
        <v>1</v>
      </c>
      <c r="CV53" s="102">
        <v>1</v>
      </c>
      <c r="CW53" s="102">
        <v>0</v>
      </c>
      <c r="CX53" s="102">
        <v>0</v>
      </c>
      <c r="CY53" s="102">
        <v>3</v>
      </c>
      <c r="CZ53" s="102">
        <v>1</v>
      </c>
      <c r="DA53" s="102" t="s">
        <v>1217</v>
      </c>
      <c r="DB53" s="102">
        <v>0</v>
      </c>
      <c r="DC53" s="102">
        <v>0</v>
      </c>
      <c r="DD53" s="102">
        <v>0</v>
      </c>
      <c r="DE53" s="102">
        <v>0</v>
      </c>
      <c r="DF53" s="102">
        <v>0</v>
      </c>
      <c r="DG53" s="102">
        <v>0</v>
      </c>
      <c r="DH53" s="102">
        <v>0</v>
      </c>
      <c r="DI53" s="102">
        <v>0</v>
      </c>
      <c r="DJ53" s="102">
        <v>0</v>
      </c>
      <c r="DK53" s="102">
        <v>0</v>
      </c>
      <c r="DL53" s="102">
        <v>0</v>
      </c>
      <c r="DM53" s="102">
        <v>0</v>
      </c>
      <c r="DN53" s="102">
        <v>0</v>
      </c>
      <c r="DO53" s="102">
        <v>1</v>
      </c>
      <c r="DP53" s="102">
        <v>0</v>
      </c>
      <c r="DQ53" s="102">
        <v>2</v>
      </c>
      <c r="DR53" s="102">
        <v>1</v>
      </c>
      <c r="DS53" s="102">
        <v>2</v>
      </c>
      <c r="DT53" s="105" t="s">
        <v>1218</v>
      </c>
      <c r="DU53" s="102">
        <v>0</v>
      </c>
      <c r="DV53" s="102">
        <v>1</v>
      </c>
      <c r="DW53" s="102">
        <v>0</v>
      </c>
      <c r="DX53" s="102" t="s">
        <v>853</v>
      </c>
      <c r="DY53" s="102">
        <v>0</v>
      </c>
      <c r="DZ53" s="102">
        <v>0</v>
      </c>
      <c r="EA53" s="102" t="s">
        <v>853</v>
      </c>
      <c r="EB53" s="102">
        <v>0</v>
      </c>
      <c r="EC53" s="102">
        <v>0</v>
      </c>
      <c r="ED53" s="102">
        <v>0</v>
      </c>
      <c r="EE53" s="102">
        <v>0</v>
      </c>
      <c r="EF53" s="102">
        <v>1</v>
      </c>
      <c r="EG53" s="102">
        <v>0</v>
      </c>
      <c r="EH53" s="102" t="s">
        <v>853</v>
      </c>
      <c r="EI53" s="102">
        <v>0</v>
      </c>
      <c r="EJ53" s="102">
        <v>0</v>
      </c>
      <c r="EK53" s="102">
        <v>2</v>
      </c>
      <c r="EL53" s="102">
        <v>0</v>
      </c>
      <c r="EM53" s="102"/>
    </row>
    <row r="54" spans="1:143" ht="15.75" customHeight="1" x14ac:dyDescent="0.55000000000000004">
      <c r="A54" s="99">
        <v>52</v>
      </c>
      <c r="B54" s="102" t="s">
        <v>1219</v>
      </c>
      <c r="C54" s="102" t="s">
        <v>1220</v>
      </c>
      <c r="D54" s="103">
        <v>34305</v>
      </c>
      <c r="E54" s="102" t="s">
        <v>995</v>
      </c>
      <c r="F54" s="102">
        <v>2</v>
      </c>
      <c r="G54" s="102">
        <v>12</v>
      </c>
      <c r="H54" s="102">
        <v>1993</v>
      </c>
      <c r="I54" s="102" t="s">
        <v>1221</v>
      </c>
      <c r="J54" s="102" t="s">
        <v>1222</v>
      </c>
      <c r="K54" s="102" t="s">
        <v>930</v>
      </c>
      <c r="L54" s="102">
        <v>5</v>
      </c>
      <c r="M54" s="102">
        <v>3</v>
      </c>
      <c r="N54" s="102">
        <v>1</v>
      </c>
      <c r="O54" s="107">
        <v>6</v>
      </c>
      <c r="P54" s="102">
        <v>0</v>
      </c>
      <c r="Q54" s="104">
        <v>1</v>
      </c>
      <c r="R54" s="102">
        <v>1</v>
      </c>
      <c r="S54" s="102">
        <v>8</v>
      </c>
      <c r="T54" s="102">
        <v>0</v>
      </c>
      <c r="U54" s="102">
        <v>0</v>
      </c>
      <c r="V54" s="102">
        <v>4</v>
      </c>
      <c r="W54" s="102">
        <v>5</v>
      </c>
      <c r="X54" s="102">
        <v>0</v>
      </c>
      <c r="Y54" s="102">
        <v>0</v>
      </c>
      <c r="Z54" s="102">
        <v>0</v>
      </c>
      <c r="AA54" s="102">
        <v>33</v>
      </c>
      <c r="AB54" s="102">
        <v>0</v>
      </c>
      <c r="AC54" s="102">
        <v>0</v>
      </c>
      <c r="AD54" s="102">
        <v>0</v>
      </c>
      <c r="AE54" s="102">
        <v>0</v>
      </c>
      <c r="AF54" s="102">
        <v>1</v>
      </c>
      <c r="AG54" s="102">
        <v>3</v>
      </c>
      <c r="AH54" s="102">
        <v>0</v>
      </c>
      <c r="AI54" s="102" t="s">
        <v>1223</v>
      </c>
      <c r="AJ54" s="102">
        <v>3</v>
      </c>
      <c r="AK54" s="102">
        <v>1</v>
      </c>
      <c r="AL54" s="102">
        <v>1</v>
      </c>
      <c r="AM54" s="102">
        <v>0</v>
      </c>
      <c r="AN54" s="102">
        <v>0</v>
      </c>
      <c r="AO54" s="102">
        <v>0</v>
      </c>
      <c r="AP54" s="102">
        <v>0</v>
      </c>
      <c r="AQ54" s="102">
        <v>2</v>
      </c>
      <c r="AR54" s="102">
        <v>0</v>
      </c>
      <c r="AS54" s="102" t="s">
        <v>853</v>
      </c>
      <c r="AT54" s="102">
        <v>2</v>
      </c>
      <c r="AU54" s="102" t="s">
        <v>1224</v>
      </c>
      <c r="AV54" s="102">
        <v>0</v>
      </c>
      <c r="AW54" s="102">
        <v>0</v>
      </c>
      <c r="AX54" s="102">
        <v>0</v>
      </c>
      <c r="AY54" s="102">
        <v>0</v>
      </c>
      <c r="AZ54" s="102">
        <v>0</v>
      </c>
      <c r="BA54" s="102">
        <v>0</v>
      </c>
      <c r="BB54" s="102">
        <v>0</v>
      </c>
      <c r="BC54" s="102">
        <v>0</v>
      </c>
      <c r="BD54" s="102">
        <v>0</v>
      </c>
      <c r="BE54" s="102">
        <v>0</v>
      </c>
      <c r="BF54" s="102">
        <v>0</v>
      </c>
      <c r="BG54" s="102">
        <v>0</v>
      </c>
      <c r="BH54" s="102">
        <v>0</v>
      </c>
      <c r="BI54" s="102">
        <v>0</v>
      </c>
      <c r="BJ54" s="102">
        <v>0</v>
      </c>
      <c r="BK54" s="102">
        <v>0</v>
      </c>
      <c r="BL54" s="102">
        <v>0</v>
      </c>
      <c r="BM54" s="102">
        <v>0</v>
      </c>
      <c r="BN54" s="102">
        <v>0</v>
      </c>
      <c r="BO54" s="102">
        <v>1</v>
      </c>
      <c r="BP54" s="102">
        <v>0</v>
      </c>
      <c r="BQ54" s="102">
        <v>0</v>
      </c>
      <c r="BR54" s="102">
        <v>0</v>
      </c>
      <c r="BS54" s="102">
        <v>0</v>
      </c>
      <c r="BT54" s="102">
        <v>0</v>
      </c>
      <c r="BU54" s="102">
        <v>1</v>
      </c>
      <c r="BV54" s="102">
        <v>0</v>
      </c>
      <c r="BW54" s="102">
        <v>0</v>
      </c>
      <c r="BX54" s="102">
        <v>0</v>
      </c>
      <c r="BY54" s="102">
        <v>0</v>
      </c>
      <c r="BZ54" s="102">
        <v>1</v>
      </c>
      <c r="CA54" s="102">
        <v>0</v>
      </c>
      <c r="CB54" s="102">
        <v>1</v>
      </c>
      <c r="CC54" s="102">
        <v>1</v>
      </c>
      <c r="CD54" s="102" t="s">
        <v>1225</v>
      </c>
      <c r="CE54" s="102">
        <v>1</v>
      </c>
      <c r="CF54" s="102">
        <v>1</v>
      </c>
      <c r="CG54" s="102">
        <v>0</v>
      </c>
      <c r="CH54" s="102">
        <v>0</v>
      </c>
      <c r="CI54" s="102">
        <v>0</v>
      </c>
      <c r="CJ54" s="102">
        <v>0</v>
      </c>
      <c r="CK54" s="102">
        <v>1</v>
      </c>
      <c r="CL54" s="102">
        <v>1</v>
      </c>
      <c r="CM54" s="102">
        <v>1</v>
      </c>
      <c r="CN54" s="102">
        <v>2</v>
      </c>
      <c r="CO54" s="102">
        <v>0</v>
      </c>
      <c r="CP54" s="102">
        <v>0</v>
      </c>
      <c r="CQ54" s="102">
        <v>0</v>
      </c>
      <c r="CR54" s="102">
        <v>0</v>
      </c>
      <c r="CS54" s="102">
        <v>0</v>
      </c>
      <c r="CT54" s="102" t="s">
        <v>853</v>
      </c>
      <c r="CU54" s="102">
        <v>0</v>
      </c>
      <c r="CV54" s="102">
        <v>2</v>
      </c>
      <c r="CW54" s="102">
        <v>1</v>
      </c>
      <c r="CX54" s="102">
        <v>0</v>
      </c>
      <c r="CY54" s="102">
        <v>0</v>
      </c>
      <c r="CZ54" s="102">
        <v>0</v>
      </c>
      <c r="DA54" s="102" t="s">
        <v>853</v>
      </c>
      <c r="DB54" s="102">
        <v>0</v>
      </c>
      <c r="DC54" s="102">
        <v>0</v>
      </c>
      <c r="DD54" s="102">
        <v>0</v>
      </c>
      <c r="DE54" s="102">
        <v>0</v>
      </c>
      <c r="DF54" s="102">
        <v>0</v>
      </c>
      <c r="DG54" s="102">
        <v>0</v>
      </c>
      <c r="DH54" s="102">
        <v>1</v>
      </c>
      <c r="DI54" s="102">
        <v>1</v>
      </c>
      <c r="DJ54" s="102">
        <v>0</v>
      </c>
      <c r="DK54" s="102">
        <v>0</v>
      </c>
      <c r="DL54" s="102">
        <v>0</v>
      </c>
      <c r="DM54" s="102">
        <v>0</v>
      </c>
      <c r="DN54" s="102">
        <v>0</v>
      </c>
      <c r="DO54" s="102">
        <v>0</v>
      </c>
      <c r="DP54" s="102">
        <v>1</v>
      </c>
      <c r="DQ54" s="102">
        <v>2</v>
      </c>
      <c r="DR54" s="102">
        <v>0</v>
      </c>
      <c r="DS54" s="102" t="s">
        <v>853</v>
      </c>
      <c r="DT54" s="105" t="s">
        <v>853</v>
      </c>
      <c r="DU54" s="102" t="s">
        <v>853</v>
      </c>
      <c r="DV54" s="102">
        <v>0</v>
      </c>
      <c r="DW54" s="102">
        <v>0</v>
      </c>
      <c r="DX54" s="102" t="s">
        <v>853</v>
      </c>
      <c r="DY54" s="102">
        <v>1</v>
      </c>
      <c r="DZ54" s="102">
        <v>0</v>
      </c>
      <c r="EA54" s="102" t="s">
        <v>853</v>
      </c>
      <c r="EB54" s="102">
        <v>0</v>
      </c>
      <c r="EC54" s="102">
        <v>0</v>
      </c>
      <c r="ED54" s="102">
        <v>0</v>
      </c>
      <c r="EE54" s="102">
        <v>1</v>
      </c>
      <c r="EF54" s="102">
        <v>4</v>
      </c>
      <c r="EG54" s="102">
        <v>0</v>
      </c>
      <c r="EH54" s="102" t="s">
        <v>853</v>
      </c>
      <c r="EI54" s="102">
        <v>1</v>
      </c>
      <c r="EJ54" s="102">
        <v>0</v>
      </c>
      <c r="EK54" s="102">
        <v>2</v>
      </c>
      <c r="EL54" s="102">
        <v>0</v>
      </c>
      <c r="EM54" s="102"/>
    </row>
    <row r="55" spans="1:143" ht="15.75" customHeight="1" x14ac:dyDescent="0.55000000000000004">
      <c r="A55" s="99">
        <v>53</v>
      </c>
      <c r="B55" s="102" t="s">
        <v>1226</v>
      </c>
      <c r="C55" s="102" t="s">
        <v>1227</v>
      </c>
      <c r="D55" s="103">
        <v>34310</v>
      </c>
      <c r="E55" s="102" t="s">
        <v>1032</v>
      </c>
      <c r="F55" s="102">
        <v>7</v>
      </c>
      <c r="G55" s="102">
        <v>12</v>
      </c>
      <c r="H55" s="102">
        <v>1993</v>
      </c>
      <c r="I55" s="102" t="s">
        <v>1228</v>
      </c>
      <c r="J55" s="102" t="s">
        <v>1229</v>
      </c>
      <c r="K55" s="102" t="s">
        <v>894</v>
      </c>
      <c r="L55" s="102">
        <v>32</v>
      </c>
      <c r="M55" s="102">
        <v>2</v>
      </c>
      <c r="N55" s="102">
        <v>0</v>
      </c>
      <c r="O55" s="102">
        <v>8</v>
      </c>
      <c r="P55" s="102">
        <v>0</v>
      </c>
      <c r="Q55" s="104">
        <v>0</v>
      </c>
      <c r="R55" s="102">
        <v>0</v>
      </c>
      <c r="S55" s="102" t="s">
        <v>853</v>
      </c>
      <c r="T55" s="102">
        <v>0</v>
      </c>
      <c r="U55" s="102">
        <v>0</v>
      </c>
      <c r="V55" s="102">
        <v>6</v>
      </c>
      <c r="W55" s="102">
        <v>19</v>
      </c>
      <c r="X55" s="102">
        <v>0</v>
      </c>
      <c r="Y55" s="102">
        <v>0</v>
      </c>
      <c r="Z55" s="102">
        <v>0</v>
      </c>
      <c r="AA55" s="102">
        <v>35</v>
      </c>
      <c r="AB55" s="102">
        <v>0</v>
      </c>
      <c r="AC55" s="102">
        <v>1</v>
      </c>
      <c r="AD55" s="102">
        <v>1</v>
      </c>
      <c r="AE55" s="102">
        <v>0</v>
      </c>
      <c r="AF55" s="102">
        <v>1</v>
      </c>
      <c r="AG55" s="102">
        <v>2</v>
      </c>
      <c r="AH55" s="102">
        <v>2</v>
      </c>
      <c r="AI55" s="102" t="s">
        <v>1215</v>
      </c>
      <c r="AJ55" s="102"/>
      <c r="AK55" s="102">
        <v>4</v>
      </c>
      <c r="AL55" s="102"/>
      <c r="AM55" s="102"/>
      <c r="AN55" s="102">
        <v>3</v>
      </c>
      <c r="AO55" s="102">
        <v>0</v>
      </c>
      <c r="AP55" s="102">
        <v>0</v>
      </c>
      <c r="AQ55" s="102">
        <v>0</v>
      </c>
      <c r="AR55" s="102">
        <v>0</v>
      </c>
      <c r="AS55" s="102" t="s">
        <v>853</v>
      </c>
      <c r="AT55" s="102">
        <v>0</v>
      </c>
      <c r="AU55" s="102"/>
      <c r="AV55" s="102">
        <v>0</v>
      </c>
      <c r="AW55" s="102">
        <v>1</v>
      </c>
      <c r="AX55" s="102">
        <v>0</v>
      </c>
      <c r="AY55" s="102">
        <v>9</v>
      </c>
      <c r="AZ55" s="102">
        <v>2</v>
      </c>
      <c r="BA55" s="102">
        <v>0</v>
      </c>
      <c r="BB55" s="102">
        <v>0</v>
      </c>
      <c r="BC55" s="102">
        <v>1</v>
      </c>
      <c r="BD55" s="102" t="s">
        <v>954</v>
      </c>
      <c r="BE55" s="102">
        <v>0</v>
      </c>
      <c r="BF55" s="102">
        <v>0</v>
      </c>
      <c r="BG55" s="102">
        <v>0</v>
      </c>
      <c r="BH55" s="102">
        <v>0</v>
      </c>
      <c r="BI55" s="102">
        <v>0</v>
      </c>
      <c r="BJ55" s="102">
        <v>0</v>
      </c>
      <c r="BK55" s="102">
        <v>0</v>
      </c>
      <c r="BL55" s="102">
        <v>0</v>
      </c>
      <c r="BM55" s="102">
        <v>0</v>
      </c>
      <c r="BN55" s="102">
        <v>0</v>
      </c>
      <c r="BO55" s="102">
        <v>0</v>
      </c>
      <c r="BP55" s="102">
        <v>1</v>
      </c>
      <c r="BQ55" s="102">
        <v>0</v>
      </c>
      <c r="BR55" s="102">
        <v>0</v>
      </c>
      <c r="BS55" s="102">
        <v>0</v>
      </c>
      <c r="BT55" s="102">
        <v>0</v>
      </c>
      <c r="BU55" s="102">
        <v>2</v>
      </c>
      <c r="BV55" s="102">
        <v>0</v>
      </c>
      <c r="BW55" s="102">
        <v>0</v>
      </c>
      <c r="BX55" s="102">
        <v>0</v>
      </c>
      <c r="BY55" s="102">
        <v>0</v>
      </c>
      <c r="BZ55" s="102">
        <v>1</v>
      </c>
      <c r="CA55" s="102" t="s">
        <v>1230</v>
      </c>
      <c r="CB55" s="102">
        <v>1</v>
      </c>
      <c r="CC55" s="102">
        <v>3</v>
      </c>
      <c r="CD55" s="102" t="s">
        <v>1231</v>
      </c>
      <c r="CE55" s="102">
        <v>0</v>
      </c>
      <c r="CF55" s="102">
        <v>0</v>
      </c>
      <c r="CG55" s="102">
        <v>1</v>
      </c>
      <c r="CH55" s="102">
        <v>1</v>
      </c>
      <c r="CI55" s="102">
        <v>1</v>
      </c>
      <c r="CJ55" s="102">
        <v>1</v>
      </c>
      <c r="CK55" s="102">
        <v>1</v>
      </c>
      <c r="CL55" s="102">
        <v>1</v>
      </c>
      <c r="CM55" s="102">
        <v>1</v>
      </c>
      <c r="CN55" s="102">
        <v>0</v>
      </c>
      <c r="CO55" s="102">
        <v>0</v>
      </c>
      <c r="CP55" s="102">
        <v>0</v>
      </c>
      <c r="CQ55" s="102">
        <v>0</v>
      </c>
      <c r="CR55" s="102">
        <v>0</v>
      </c>
      <c r="CS55" s="102">
        <v>0</v>
      </c>
      <c r="CT55" s="102" t="s">
        <v>853</v>
      </c>
      <c r="CU55" s="102">
        <v>0</v>
      </c>
      <c r="CV55" s="102">
        <v>4</v>
      </c>
      <c r="CW55" s="102">
        <v>0</v>
      </c>
      <c r="CX55" s="102">
        <v>0</v>
      </c>
      <c r="CY55" s="102">
        <v>0</v>
      </c>
      <c r="CZ55" s="102">
        <v>1</v>
      </c>
      <c r="DA55" s="102" t="s">
        <v>1232</v>
      </c>
      <c r="DB55" s="102">
        <v>1</v>
      </c>
      <c r="DC55" s="102">
        <v>1</v>
      </c>
      <c r="DD55" s="102">
        <v>2</v>
      </c>
      <c r="DE55" s="102">
        <v>0</v>
      </c>
      <c r="DF55" s="102">
        <v>0</v>
      </c>
      <c r="DG55" s="102">
        <v>0</v>
      </c>
      <c r="DH55" s="102">
        <v>0</v>
      </c>
      <c r="DI55" s="102">
        <v>1</v>
      </c>
      <c r="DJ55" s="102">
        <v>1</v>
      </c>
      <c r="DK55" s="102">
        <v>0</v>
      </c>
      <c r="DL55" s="102">
        <v>0</v>
      </c>
      <c r="DM55" s="102">
        <v>0</v>
      </c>
      <c r="DN55" s="102">
        <v>0</v>
      </c>
      <c r="DO55" s="102">
        <v>0</v>
      </c>
      <c r="DP55" s="102">
        <v>2</v>
      </c>
      <c r="DQ55" s="102">
        <v>2</v>
      </c>
      <c r="DR55" s="102">
        <v>0</v>
      </c>
      <c r="DS55" s="102" t="s">
        <v>853</v>
      </c>
      <c r="DT55" s="105" t="s">
        <v>853</v>
      </c>
      <c r="DU55" s="102" t="s">
        <v>853</v>
      </c>
      <c r="DV55" s="102">
        <v>0</v>
      </c>
      <c r="DW55" s="102">
        <v>0</v>
      </c>
      <c r="DX55" s="102" t="s">
        <v>853</v>
      </c>
      <c r="DY55" s="102">
        <v>1</v>
      </c>
      <c r="DZ55" s="102">
        <v>0</v>
      </c>
      <c r="EA55" s="102" t="s">
        <v>853</v>
      </c>
      <c r="EB55" s="102">
        <v>1</v>
      </c>
      <c r="EC55" s="102">
        <v>0</v>
      </c>
      <c r="ED55" s="102">
        <v>0</v>
      </c>
      <c r="EE55" s="102">
        <v>1</v>
      </c>
      <c r="EF55" s="102">
        <v>1</v>
      </c>
      <c r="EG55" s="102">
        <v>0</v>
      </c>
      <c r="EH55" s="102" t="s">
        <v>853</v>
      </c>
      <c r="EI55" s="102">
        <v>2</v>
      </c>
      <c r="EJ55" s="102">
        <v>0</v>
      </c>
      <c r="EK55" s="102">
        <v>0</v>
      </c>
      <c r="EL55" s="102">
        <v>3</v>
      </c>
      <c r="EM55" s="102"/>
    </row>
    <row r="56" spans="1:143" ht="15.75" customHeight="1" x14ac:dyDescent="0.55000000000000004">
      <c r="A56" s="99">
        <v>54</v>
      </c>
      <c r="B56" s="102" t="s">
        <v>1233</v>
      </c>
      <c r="C56" s="102" t="s">
        <v>1234</v>
      </c>
      <c r="D56" s="103">
        <v>34317</v>
      </c>
      <c r="E56" s="102" t="s">
        <v>1032</v>
      </c>
      <c r="F56" s="102">
        <v>14</v>
      </c>
      <c r="G56" s="102">
        <v>12</v>
      </c>
      <c r="H56" s="102">
        <v>1993</v>
      </c>
      <c r="I56" s="102" t="s">
        <v>1235</v>
      </c>
      <c r="J56" s="102" t="s">
        <v>1236</v>
      </c>
      <c r="K56" s="102" t="s">
        <v>1237</v>
      </c>
      <c r="L56" s="102">
        <v>6</v>
      </c>
      <c r="M56" s="102">
        <v>3</v>
      </c>
      <c r="N56" s="102">
        <v>1</v>
      </c>
      <c r="O56" s="106">
        <v>5</v>
      </c>
      <c r="P56" s="102">
        <v>1</v>
      </c>
      <c r="Q56" s="104">
        <v>1</v>
      </c>
      <c r="R56" s="102">
        <v>0</v>
      </c>
      <c r="S56" s="102" t="s">
        <v>853</v>
      </c>
      <c r="T56" s="102">
        <v>0</v>
      </c>
      <c r="U56" s="102">
        <v>0</v>
      </c>
      <c r="V56" s="102">
        <v>4</v>
      </c>
      <c r="W56" s="102">
        <v>1</v>
      </c>
      <c r="X56" s="102">
        <v>0</v>
      </c>
      <c r="Y56" s="102">
        <v>0</v>
      </c>
      <c r="Z56" s="102">
        <v>0</v>
      </c>
      <c r="AA56" s="102">
        <v>19</v>
      </c>
      <c r="AB56" s="102">
        <v>0</v>
      </c>
      <c r="AC56" s="102">
        <v>1</v>
      </c>
      <c r="AD56" s="102">
        <v>0</v>
      </c>
      <c r="AE56" s="102">
        <v>0</v>
      </c>
      <c r="AF56" s="102">
        <v>1</v>
      </c>
      <c r="AG56" s="102">
        <v>1</v>
      </c>
      <c r="AH56" s="102">
        <v>1</v>
      </c>
      <c r="AI56" s="102" t="s">
        <v>1238</v>
      </c>
      <c r="AJ56" s="102">
        <v>2</v>
      </c>
      <c r="AK56" s="102">
        <v>2</v>
      </c>
      <c r="AL56" s="102">
        <v>1</v>
      </c>
      <c r="AM56" s="102">
        <v>1</v>
      </c>
      <c r="AN56" s="102">
        <v>1</v>
      </c>
      <c r="AO56" s="102">
        <v>0</v>
      </c>
      <c r="AP56" s="102">
        <v>1</v>
      </c>
      <c r="AQ56" s="102">
        <v>0</v>
      </c>
      <c r="AR56" s="102">
        <v>0</v>
      </c>
      <c r="AS56" s="102" t="s">
        <v>853</v>
      </c>
      <c r="AT56" s="102">
        <v>0</v>
      </c>
      <c r="AU56" s="102"/>
      <c r="AV56" s="102">
        <v>0</v>
      </c>
      <c r="AW56" s="102">
        <v>1</v>
      </c>
      <c r="AX56" s="102">
        <v>3</v>
      </c>
      <c r="AY56" s="102" t="s">
        <v>1239</v>
      </c>
      <c r="AZ56" s="102">
        <v>4</v>
      </c>
      <c r="BA56" s="102">
        <v>0</v>
      </c>
      <c r="BB56" s="102">
        <v>0</v>
      </c>
      <c r="BC56" s="102">
        <v>0</v>
      </c>
      <c r="BD56" s="102">
        <v>0</v>
      </c>
      <c r="BE56" s="102">
        <v>0</v>
      </c>
      <c r="BF56" s="102">
        <v>0</v>
      </c>
      <c r="BG56" s="102">
        <v>0</v>
      </c>
      <c r="BH56" s="102">
        <v>0</v>
      </c>
      <c r="BI56" s="102">
        <v>1</v>
      </c>
      <c r="BJ56" s="102">
        <v>0</v>
      </c>
      <c r="BK56" s="102">
        <v>0</v>
      </c>
      <c r="BL56" s="102">
        <v>0</v>
      </c>
      <c r="BM56" s="102">
        <v>1</v>
      </c>
      <c r="BN56" s="102">
        <v>0</v>
      </c>
      <c r="BO56" s="102">
        <v>0</v>
      </c>
      <c r="BP56" s="102">
        <v>1</v>
      </c>
      <c r="BQ56" s="102">
        <v>1</v>
      </c>
      <c r="BR56" s="102">
        <v>1</v>
      </c>
      <c r="BS56" s="102">
        <v>1</v>
      </c>
      <c r="BT56" s="102">
        <v>0</v>
      </c>
      <c r="BU56" s="102">
        <v>0</v>
      </c>
      <c r="BV56" s="102">
        <v>1</v>
      </c>
      <c r="BW56" s="102">
        <v>0</v>
      </c>
      <c r="BX56" s="102">
        <v>0</v>
      </c>
      <c r="BY56" s="102">
        <v>0</v>
      </c>
      <c r="BZ56" s="102">
        <v>0</v>
      </c>
      <c r="CA56" s="102">
        <v>2</v>
      </c>
      <c r="CB56" s="102">
        <v>1</v>
      </c>
      <c r="CC56" s="102">
        <v>2</v>
      </c>
      <c r="CD56" s="102" t="s">
        <v>1240</v>
      </c>
      <c r="CE56" s="102">
        <v>1</v>
      </c>
      <c r="CF56" s="102">
        <v>0</v>
      </c>
      <c r="CG56" s="102">
        <v>0</v>
      </c>
      <c r="CH56" s="102">
        <v>0</v>
      </c>
      <c r="CI56" s="102">
        <v>1</v>
      </c>
      <c r="CJ56" s="102">
        <v>1</v>
      </c>
      <c r="CK56" s="102">
        <v>0</v>
      </c>
      <c r="CL56" s="102">
        <v>1</v>
      </c>
      <c r="CM56" s="102">
        <v>0</v>
      </c>
      <c r="CN56" s="102">
        <v>1</v>
      </c>
      <c r="CO56" s="102">
        <v>1</v>
      </c>
      <c r="CP56" s="102">
        <v>2</v>
      </c>
      <c r="CQ56" s="102">
        <v>1</v>
      </c>
      <c r="CR56" s="102">
        <v>1</v>
      </c>
      <c r="CS56" s="102">
        <v>0</v>
      </c>
      <c r="CT56" s="102" t="s">
        <v>853</v>
      </c>
      <c r="CU56" s="102">
        <v>0</v>
      </c>
      <c r="CV56" s="102">
        <v>1</v>
      </c>
      <c r="CW56" s="102">
        <v>1</v>
      </c>
      <c r="CX56" s="102">
        <v>0</v>
      </c>
      <c r="CY56" s="102">
        <v>0</v>
      </c>
      <c r="CZ56" s="102">
        <v>1</v>
      </c>
      <c r="DA56" s="102" t="s">
        <v>1186</v>
      </c>
      <c r="DB56" s="102">
        <v>1</v>
      </c>
      <c r="DC56" s="102">
        <v>0</v>
      </c>
      <c r="DD56" s="102">
        <v>0</v>
      </c>
      <c r="DE56" s="102">
        <v>0</v>
      </c>
      <c r="DF56" s="102">
        <v>0</v>
      </c>
      <c r="DG56" s="102">
        <v>0</v>
      </c>
      <c r="DH56" s="102">
        <v>1</v>
      </c>
      <c r="DI56" s="102">
        <v>0</v>
      </c>
      <c r="DJ56" s="102">
        <v>0</v>
      </c>
      <c r="DK56" s="102">
        <v>0</v>
      </c>
      <c r="DL56" s="102">
        <v>0</v>
      </c>
      <c r="DM56" s="102">
        <v>0</v>
      </c>
      <c r="DN56" s="102">
        <v>0</v>
      </c>
      <c r="DO56" s="102">
        <v>0</v>
      </c>
      <c r="DP56" s="102">
        <v>1</v>
      </c>
      <c r="DQ56" s="102">
        <v>2</v>
      </c>
      <c r="DR56" s="102">
        <v>1</v>
      </c>
      <c r="DS56" s="102">
        <v>0</v>
      </c>
      <c r="DT56" s="105" t="s">
        <v>945</v>
      </c>
      <c r="DU56" s="102">
        <v>1</v>
      </c>
      <c r="DV56" s="102">
        <v>0</v>
      </c>
      <c r="DW56" s="102">
        <v>0</v>
      </c>
      <c r="DX56" s="102" t="s">
        <v>853</v>
      </c>
      <c r="DY56" s="102">
        <v>0</v>
      </c>
      <c r="DZ56" s="102">
        <v>0</v>
      </c>
      <c r="EA56" s="102" t="s">
        <v>853</v>
      </c>
      <c r="EB56" s="102">
        <v>0</v>
      </c>
      <c r="EC56" s="102">
        <v>0</v>
      </c>
      <c r="ED56" s="102">
        <v>0</v>
      </c>
      <c r="EE56" s="102">
        <v>1</v>
      </c>
      <c r="EF56" s="102">
        <v>1</v>
      </c>
      <c r="EG56" s="102">
        <v>0</v>
      </c>
      <c r="EH56" s="102" t="s">
        <v>853</v>
      </c>
      <c r="EI56" s="102">
        <v>2</v>
      </c>
      <c r="EJ56" s="102">
        <v>1</v>
      </c>
      <c r="EK56" s="102">
        <v>0</v>
      </c>
      <c r="EL56" s="102">
        <v>1</v>
      </c>
      <c r="EM56" s="102"/>
    </row>
    <row r="57" spans="1:143" ht="15.75" customHeight="1" x14ac:dyDescent="0.55000000000000004">
      <c r="A57" s="99">
        <v>55</v>
      </c>
      <c r="B57" s="102" t="s">
        <v>1241</v>
      </c>
      <c r="C57" s="102" t="s">
        <v>1242</v>
      </c>
      <c r="D57" s="103">
        <v>34505</v>
      </c>
      <c r="E57" s="102" t="s">
        <v>846</v>
      </c>
      <c r="F57" s="102">
        <v>20</v>
      </c>
      <c r="G57" s="102">
        <v>6</v>
      </c>
      <c r="H57" s="102">
        <v>1994</v>
      </c>
      <c r="I57" s="102" t="s">
        <v>1243</v>
      </c>
      <c r="J57" s="102" t="s">
        <v>1244</v>
      </c>
      <c r="K57" s="102" t="s">
        <v>1245</v>
      </c>
      <c r="L57" s="102">
        <v>47</v>
      </c>
      <c r="M57" s="102">
        <v>3</v>
      </c>
      <c r="N57" s="102">
        <v>0</v>
      </c>
      <c r="O57" s="106">
        <v>2</v>
      </c>
      <c r="P57" s="102">
        <v>1</v>
      </c>
      <c r="Q57" s="104">
        <v>1</v>
      </c>
      <c r="R57" s="102">
        <v>0</v>
      </c>
      <c r="S57" s="102" t="s">
        <v>853</v>
      </c>
      <c r="T57" s="102">
        <v>1</v>
      </c>
      <c r="U57" s="102">
        <v>1</v>
      </c>
      <c r="V57" s="102">
        <v>4</v>
      </c>
      <c r="W57" s="102">
        <v>23</v>
      </c>
      <c r="X57" s="102">
        <v>0</v>
      </c>
      <c r="Y57" s="102">
        <v>0</v>
      </c>
      <c r="Z57" s="102">
        <v>0</v>
      </c>
      <c r="AA57" s="102">
        <v>20</v>
      </c>
      <c r="AB57" s="102">
        <v>0</v>
      </c>
      <c r="AC57" s="102">
        <v>0</v>
      </c>
      <c r="AD57" s="102">
        <v>0</v>
      </c>
      <c r="AE57" s="102">
        <v>0</v>
      </c>
      <c r="AF57" s="102"/>
      <c r="AG57" s="102">
        <v>2</v>
      </c>
      <c r="AH57" s="102">
        <v>1</v>
      </c>
      <c r="AI57" s="102" t="s">
        <v>1246</v>
      </c>
      <c r="AJ57" s="102">
        <v>3</v>
      </c>
      <c r="AK57" s="102">
        <v>1</v>
      </c>
      <c r="AL57" s="102">
        <v>1</v>
      </c>
      <c r="AM57" s="102">
        <v>0</v>
      </c>
      <c r="AN57" s="102">
        <v>0</v>
      </c>
      <c r="AO57" s="102">
        <v>0</v>
      </c>
      <c r="AP57" s="102">
        <v>0</v>
      </c>
      <c r="AQ57" s="102">
        <v>2</v>
      </c>
      <c r="AR57" s="102">
        <v>1</v>
      </c>
      <c r="AS57" s="102">
        <v>2</v>
      </c>
      <c r="AT57" s="102">
        <v>0</v>
      </c>
      <c r="AU57" s="102"/>
      <c r="AV57" s="102">
        <v>1</v>
      </c>
      <c r="AW57" s="102">
        <v>0</v>
      </c>
      <c r="AX57" s="102">
        <v>0</v>
      </c>
      <c r="AY57" s="102">
        <v>0</v>
      </c>
      <c r="AZ57" s="102">
        <v>0</v>
      </c>
      <c r="BA57" s="102">
        <v>0</v>
      </c>
      <c r="BB57" s="102">
        <v>0</v>
      </c>
      <c r="BC57" s="102">
        <v>0</v>
      </c>
      <c r="BD57" s="102">
        <v>0</v>
      </c>
      <c r="BE57" s="102">
        <v>0</v>
      </c>
      <c r="BF57" s="102">
        <v>0</v>
      </c>
      <c r="BG57" s="102">
        <v>0</v>
      </c>
      <c r="BH57" s="102">
        <v>0</v>
      </c>
      <c r="BI57" s="102">
        <v>0</v>
      </c>
      <c r="BJ57" s="102">
        <v>0</v>
      </c>
      <c r="BK57" s="102">
        <v>1</v>
      </c>
      <c r="BL57" s="102">
        <v>0</v>
      </c>
      <c r="BM57" s="102">
        <v>0</v>
      </c>
      <c r="BN57" s="102">
        <v>0</v>
      </c>
      <c r="BO57" s="102">
        <v>0</v>
      </c>
      <c r="BP57" s="102">
        <v>1</v>
      </c>
      <c r="BQ57" s="102">
        <v>0</v>
      </c>
      <c r="BR57" s="102">
        <v>1</v>
      </c>
      <c r="BS57" s="102">
        <v>0</v>
      </c>
      <c r="BT57" s="102">
        <v>0</v>
      </c>
      <c r="BU57" s="102">
        <v>1</v>
      </c>
      <c r="BV57" s="102">
        <v>0</v>
      </c>
      <c r="BW57" s="102">
        <v>0</v>
      </c>
      <c r="BX57" s="102">
        <v>0</v>
      </c>
      <c r="BY57" s="102">
        <v>0</v>
      </c>
      <c r="BZ57" s="102">
        <v>0</v>
      </c>
      <c r="CA57" s="102">
        <v>2</v>
      </c>
      <c r="CB57" s="102">
        <v>1</v>
      </c>
      <c r="CC57" s="102">
        <v>2</v>
      </c>
      <c r="CD57" s="102" t="s">
        <v>1247</v>
      </c>
      <c r="CE57" s="102">
        <v>1</v>
      </c>
      <c r="CF57" s="102">
        <v>0</v>
      </c>
      <c r="CG57" s="102">
        <v>0</v>
      </c>
      <c r="CH57" s="102">
        <v>0</v>
      </c>
      <c r="CI57" s="102">
        <v>0</v>
      </c>
      <c r="CJ57" s="102">
        <v>0</v>
      </c>
      <c r="CK57" s="102">
        <v>0</v>
      </c>
      <c r="CL57" s="102">
        <v>1</v>
      </c>
      <c r="CM57" s="102">
        <v>1</v>
      </c>
      <c r="CN57" s="102">
        <v>0</v>
      </c>
      <c r="CO57" s="102">
        <v>1</v>
      </c>
      <c r="CP57" s="102">
        <v>2</v>
      </c>
      <c r="CQ57" s="102">
        <v>1</v>
      </c>
      <c r="CR57" s="102">
        <v>1</v>
      </c>
      <c r="CS57" s="102">
        <v>0</v>
      </c>
      <c r="CT57" s="102" t="s">
        <v>853</v>
      </c>
      <c r="CU57" s="102">
        <v>1</v>
      </c>
      <c r="CV57" s="102">
        <v>2</v>
      </c>
      <c r="CW57" s="102">
        <v>0</v>
      </c>
      <c r="CX57" s="102">
        <v>1</v>
      </c>
      <c r="CY57" s="102">
        <v>0</v>
      </c>
      <c r="CZ57" s="102">
        <v>0</v>
      </c>
      <c r="DA57" s="102" t="s">
        <v>853</v>
      </c>
      <c r="DB57" s="102">
        <v>0</v>
      </c>
      <c r="DC57" s="102">
        <v>0</v>
      </c>
      <c r="DD57" s="102">
        <v>0</v>
      </c>
      <c r="DE57" s="102">
        <v>0</v>
      </c>
      <c r="DF57" s="102">
        <v>0</v>
      </c>
      <c r="DG57" s="102">
        <v>0</v>
      </c>
      <c r="DH57" s="102">
        <v>1</v>
      </c>
      <c r="DI57" s="102">
        <v>0</v>
      </c>
      <c r="DJ57" s="102">
        <v>0</v>
      </c>
      <c r="DK57" s="102">
        <v>0</v>
      </c>
      <c r="DL57" s="102">
        <v>0</v>
      </c>
      <c r="DM57" s="102">
        <v>0</v>
      </c>
      <c r="DN57" s="102">
        <v>0</v>
      </c>
      <c r="DO57" s="102">
        <v>0</v>
      </c>
      <c r="DP57" s="102">
        <v>0</v>
      </c>
      <c r="DQ57" s="102">
        <v>2</v>
      </c>
      <c r="DR57" s="102">
        <v>1</v>
      </c>
      <c r="DS57" s="102">
        <v>0</v>
      </c>
      <c r="DT57" s="105" t="s">
        <v>855</v>
      </c>
      <c r="DU57" s="102">
        <v>1</v>
      </c>
      <c r="DV57" s="102">
        <v>0</v>
      </c>
      <c r="DW57" s="102">
        <v>0</v>
      </c>
      <c r="DX57" s="102" t="s">
        <v>853</v>
      </c>
      <c r="DY57" s="102">
        <v>0</v>
      </c>
      <c r="DZ57" s="102">
        <v>0</v>
      </c>
      <c r="EA57" s="102" t="s">
        <v>853</v>
      </c>
      <c r="EB57" s="102">
        <v>0</v>
      </c>
      <c r="EC57" s="102">
        <v>0</v>
      </c>
      <c r="ED57" s="102">
        <v>0</v>
      </c>
      <c r="EE57" s="102">
        <v>3</v>
      </c>
      <c r="EF57" s="102">
        <v>1</v>
      </c>
      <c r="EG57" s="102">
        <v>0</v>
      </c>
      <c r="EH57" s="102" t="s">
        <v>853</v>
      </c>
      <c r="EI57" s="102">
        <v>1</v>
      </c>
      <c r="EJ57" s="102">
        <v>0</v>
      </c>
      <c r="EK57" s="102">
        <v>2</v>
      </c>
      <c r="EL57" s="102">
        <v>0</v>
      </c>
      <c r="EM57" s="102"/>
    </row>
    <row r="58" spans="1:143" ht="15.75" customHeight="1" x14ac:dyDescent="0.55000000000000004">
      <c r="A58" s="108">
        <v>56</v>
      </c>
      <c r="B58" s="109" t="s">
        <v>1226</v>
      </c>
      <c r="C58" s="109" t="s">
        <v>1248</v>
      </c>
      <c r="D58" s="110">
        <v>34699</v>
      </c>
      <c r="E58" s="109" t="s">
        <v>860</v>
      </c>
      <c r="F58" s="109">
        <v>31</v>
      </c>
      <c r="G58" s="109">
        <v>12</v>
      </c>
      <c r="H58" s="109">
        <v>1994</v>
      </c>
      <c r="I58" s="109" t="s">
        <v>1249</v>
      </c>
      <c r="J58" s="109" t="s">
        <v>1250</v>
      </c>
      <c r="K58" s="109" t="s">
        <v>901</v>
      </c>
      <c r="L58" s="109">
        <v>33</v>
      </c>
      <c r="M58" s="109">
        <v>0</v>
      </c>
      <c r="N58" s="109">
        <v>2</v>
      </c>
      <c r="O58" s="109">
        <v>4</v>
      </c>
      <c r="P58" s="109">
        <v>0</v>
      </c>
      <c r="Q58" s="111">
        <v>0</v>
      </c>
      <c r="R58" s="109">
        <v>1</v>
      </c>
      <c r="S58" s="109">
        <v>5</v>
      </c>
      <c r="T58" s="109">
        <v>0</v>
      </c>
      <c r="U58" s="109">
        <v>0</v>
      </c>
      <c r="V58" s="109">
        <v>5</v>
      </c>
      <c r="W58" s="109">
        <v>1</v>
      </c>
      <c r="X58" s="109">
        <v>0</v>
      </c>
      <c r="Y58" s="109">
        <v>0</v>
      </c>
      <c r="Z58" s="109">
        <v>0</v>
      </c>
      <c r="AA58" s="109">
        <v>18</v>
      </c>
      <c r="AB58" s="109">
        <v>0</v>
      </c>
      <c r="AC58" s="109">
        <v>1</v>
      </c>
      <c r="AD58" s="109">
        <v>0</v>
      </c>
      <c r="AE58" s="109">
        <v>0</v>
      </c>
      <c r="AF58" s="109"/>
      <c r="AG58" s="109">
        <v>0</v>
      </c>
      <c r="AH58" s="109"/>
      <c r="AI58" s="109"/>
      <c r="AJ58" s="109">
        <v>2</v>
      </c>
      <c r="AK58" s="109">
        <v>2</v>
      </c>
      <c r="AL58" s="109">
        <v>1</v>
      </c>
      <c r="AM58" s="109">
        <v>1</v>
      </c>
      <c r="AN58" s="109">
        <v>0</v>
      </c>
      <c r="AO58" s="109">
        <v>0</v>
      </c>
      <c r="AP58" s="109">
        <v>0</v>
      </c>
      <c r="AQ58" s="109"/>
      <c r="AR58" s="109">
        <v>0</v>
      </c>
      <c r="AS58" s="109" t="s">
        <v>853</v>
      </c>
      <c r="AT58" s="109"/>
      <c r="AU58" s="109"/>
      <c r="AV58" s="109">
        <v>0</v>
      </c>
      <c r="AW58" s="109">
        <v>1</v>
      </c>
      <c r="AX58" s="109">
        <v>0</v>
      </c>
      <c r="AY58" s="109" t="s">
        <v>1092</v>
      </c>
      <c r="AZ58" s="109">
        <v>4</v>
      </c>
      <c r="BA58" s="109">
        <v>1</v>
      </c>
      <c r="BB58" s="109">
        <v>0</v>
      </c>
      <c r="BC58" s="109">
        <v>0</v>
      </c>
      <c r="BD58" s="109">
        <v>0</v>
      </c>
      <c r="BE58" s="109">
        <v>0</v>
      </c>
      <c r="BF58" s="109">
        <v>0</v>
      </c>
      <c r="BG58" s="109">
        <v>0</v>
      </c>
      <c r="BH58" s="109">
        <v>0</v>
      </c>
      <c r="BI58" s="109">
        <v>0</v>
      </c>
      <c r="BJ58" s="109">
        <v>0</v>
      </c>
      <c r="BK58" s="109">
        <v>0</v>
      </c>
      <c r="BL58" s="109">
        <v>0</v>
      </c>
      <c r="BM58" s="109">
        <v>0</v>
      </c>
      <c r="BN58" s="109">
        <v>0</v>
      </c>
      <c r="BO58" s="109">
        <v>0</v>
      </c>
      <c r="BP58" s="109">
        <v>1</v>
      </c>
      <c r="BQ58" s="109">
        <v>0</v>
      </c>
      <c r="BR58" s="109">
        <v>0</v>
      </c>
      <c r="BS58" s="109">
        <v>0</v>
      </c>
      <c r="BT58" s="109">
        <v>0</v>
      </c>
      <c r="BU58" s="109">
        <v>0</v>
      </c>
      <c r="BV58" s="109">
        <v>0</v>
      </c>
      <c r="BW58" s="109">
        <v>0</v>
      </c>
      <c r="BX58" s="109">
        <v>0</v>
      </c>
      <c r="BY58" s="109">
        <v>0</v>
      </c>
      <c r="BZ58" s="109">
        <v>0</v>
      </c>
      <c r="CA58" s="109">
        <v>0</v>
      </c>
      <c r="CB58" s="109">
        <v>0</v>
      </c>
      <c r="CC58" s="109" t="s">
        <v>853</v>
      </c>
      <c r="CD58" s="109"/>
      <c r="CE58" s="109">
        <v>0</v>
      </c>
      <c r="CF58" s="109">
        <v>0</v>
      </c>
      <c r="CG58" s="109">
        <v>0</v>
      </c>
      <c r="CH58" s="109">
        <v>0</v>
      </c>
      <c r="CI58" s="109">
        <v>0</v>
      </c>
      <c r="CJ58" s="109">
        <v>0</v>
      </c>
      <c r="CK58" s="109">
        <v>0</v>
      </c>
      <c r="CL58" s="109">
        <v>0</v>
      </c>
      <c r="CM58" s="109">
        <v>0</v>
      </c>
      <c r="CN58" s="109">
        <v>0</v>
      </c>
      <c r="CO58" s="109">
        <v>0</v>
      </c>
      <c r="CP58" s="109">
        <v>0</v>
      </c>
      <c r="CQ58" s="109">
        <v>0</v>
      </c>
      <c r="CR58" s="109">
        <v>0</v>
      </c>
      <c r="CS58" s="109">
        <v>0</v>
      </c>
      <c r="CT58" s="109" t="s">
        <v>853</v>
      </c>
      <c r="CU58" s="109">
        <v>0</v>
      </c>
      <c r="CV58" s="109">
        <v>3</v>
      </c>
      <c r="CW58" s="109">
        <v>0</v>
      </c>
      <c r="CX58" s="109">
        <v>0</v>
      </c>
      <c r="CY58" s="109" t="s">
        <v>954</v>
      </c>
      <c r="CZ58" s="109">
        <v>0</v>
      </c>
      <c r="DA58" s="109" t="s">
        <v>853</v>
      </c>
      <c r="DB58" s="109">
        <v>0</v>
      </c>
      <c r="DC58" s="109">
        <v>0</v>
      </c>
      <c r="DD58" s="109">
        <v>0</v>
      </c>
      <c r="DE58" s="109">
        <v>0</v>
      </c>
      <c r="DF58" s="109">
        <v>0</v>
      </c>
      <c r="DG58" s="109">
        <v>0</v>
      </c>
      <c r="DH58" s="109">
        <v>0</v>
      </c>
      <c r="DI58" s="109">
        <v>0</v>
      </c>
      <c r="DJ58" s="109">
        <v>0</v>
      </c>
      <c r="DK58" s="109">
        <v>0</v>
      </c>
      <c r="DL58" s="109">
        <v>1</v>
      </c>
      <c r="DM58" s="109">
        <v>0</v>
      </c>
      <c r="DN58" s="109">
        <v>0</v>
      </c>
      <c r="DO58" s="109">
        <v>1</v>
      </c>
      <c r="DP58" s="109">
        <v>0</v>
      </c>
      <c r="DQ58" s="109">
        <v>2</v>
      </c>
      <c r="DR58" s="109">
        <v>1</v>
      </c>
      <c r="DS58" s="109">
        <v>0</v>
      </c>
      <c r="DT58" s="112" t="s">
        <v>1025</v>
      </c>
      <c r="DU58" s="109">
        <v>0</v>
      </c>
      <c r="DV58" s="109">
        <v>0</v>
      </c>
      <c r="DW58" s="109">
        <v>0</v>
      </c>
      <c r="DX58" s="109" t="s">
        <v>853</v>
      </c>
      <c r="DY58" s="109">
        <v>0</v>
      </c>
      <c r="DZ58" s="109">
        <v>0</v>
      </c>
      <c r="EA58" s="109" t="s">
        <v>853</v>
      </c>
      <c r="EB58" s="109">
        <v>0</v>
      </c>
      <c r="EC58" s="109">
        <v>0</v>
      </c>
      <c r="ED58" s="109">
        <v>0</v>
      </c>
      <c r="EE58" s="109">
        <v>0</v>
      </c>
      <c r="EF58" s="109">
        <v>1</v>
      </c>
      <c r="EG58" s="109">
        <v>0</v>
      </c>
      <c r="EH58" s="109" t="s">
        <v>853</v>
      </c>
      <c r="EI58" s="109">
        <v>2</v>
      </c>
      <c r="EJ58" s="109">
        <v>0</v>
      </c>
      <c r="EK58" s="109">
        <v>0</v>
      </c>
      <c r="EL58" s="109">
        <v>3</v>
      </c>
      <c r="EM58" s="109"/>
    </row>
    <row r="59" spans="1:143" ht="15.75" customHeight="1" x14ac:dyDescent="0.55000000000000004">
      <c r="A59" s="99">
        <v>57</v>
      </c>
      <c r="B59" s="102" t="s">
        <v>1251</v>
      </c>
      <c r="C59" s="102" t="s">
        <v>1061</v>
      </c>
      <c r="D59" s="103">
        <v>34792</v>
      </c>
      <c r="E59" s="102" t="s">
        <v>846</v>
      </c>
      <c r="F59" s="102">
        <v>3</v>
      </c>
      <c r="G59" s="102">
        <v>4</v>
      </c>
      <c r="H59" s="102">
        <v>1995</v>
      </c>
      <c r="I59" s="102" t="s">
        <v>1252</v>
      </c>
      <c r="J59" s="102" t="s">
        <v>1253</v>
      </c>
      <c r="K59" s="102" t="s">
        <v>849</v>
      </c>
      <c r="L59" s="102">
        <v>43</v>
      </c>
      <c r="M59" s="102">
        <v>0</v>
      </c>
      <c r="N59" s="102">
        <v>0</v>
      </c>
      <c r="O59" s="106">
        <v>9</v>
      </c>
      <c r="P59" s="102">
        <v>1</v>
      </c>
      <c r="Q59" s="104">
        <v>1</v>
      </c>
      <c r="R59" s="102">
        <v>0</v>
      </c>
      <c r="S59" s="102" t="s">
        <v>853</v>
      </c>
      <c r="T59" s="102">
        <v>0</v>
      </c>
      <c r="U59" s="102">
        <v>0</v>
      </c>
      <c r="V59" s="102">
        <v>5</v>
      </c>
      <c r="W59" s="102">
        <v>0</v>
      </c>
      <c r="X59" s="102">
        <v>0</v>
      </c>
      <c r="Y59" s="102">
        <v>0</v>
      </c>
      <c r="Z59" s="102">
        <v>0</v>
      </c>
      <c r="AA59" s="102">
        <v>28</v>
      </c>
      <c r="AB59" s="102">
        <v>0</v>
      </c>
      <c r="AC59" s="102"/>
      <c r="AD59" s="102">
        <v>0</v>
      </c>
      <c r="AE59" s="102">
        <v>0</v>
      </c>
      <c r="AF59" s="102"/>
      <c r="AG59" s="102">
        <v>2</v>
      </c>
      <c r="AH59" s="102">
        <v>2</v>
      </c>
      <c r="AI59" s="102" t="s">
        <v>1254</v>
      </c>
      <c r="AJ59" s="102"/>
      <c r="AK59" s="102"/>
      <c r="AL59" s="102"/>
      <c r="AM59" s="102"/>
      <c r="AN59" s="102">
        <v>0</v>
      </c>
      <c r="AO59" s="102">
        <v>0</v>
      </c>
      <c r="AP59" s="102">
        <v>0</v>
      </c>
      <c r="AQ59" s="102">
        <v>2</v>
      </c>
      <c r="AR59" s="102">
        <v>0</v>
      </c>
      <c r="AS59" s="102" t="s">
        <v>853</v>
      </c>
      <c r="AT59" s="102"/>
      <c r="AU59" s="102"/>
      <c r="AV59" s="102">
        <v>0</v>
      </c>
      <c r="AW59" s="102">
        <v>0</v>
      </c>
      <c r="AX59" s="102">
        <v>0</v>
      </c>
      <c r="AY59" s="102">
        <v>0</v>
      </c>
      <c r="AZ59" s="102">
        <v>0</v>
      </c>
      <c r="BA59" s="102">
        <v>0</v>
      </c>
      <c r="BB59" s="102">
        <v>0</v>
      </c>
      <c r="BC59" s="102">
        <v>0</v>
      </c>
      <c r="BD59" s="102">
        <v>0</v>
      </c>
      <c r="BE59" s="102">
        <v>0</v>
      </c>
      <c r="BF59" s="102">
        <v>0</v>
      </c>
      <c r="BG59" s="102">
        <v>0</v>
      </c>
      <c r="BH59" s="102">
        <v>0</v>
      </c>
      <c r="BI59" s="102">
        <v>0</v>
      </c>
      <c r="BJ59" s="102">
        <v>0</v>
      </c>
      <c r="BK59" s="102">
        <v>0</v>
      </c>
      <c r="BL59" s="102">
        <v>0</v>
      </c>
      <c r="BM59" s="102">
        <v>0</v>
      </c>
      <c r="BN59" s="102">
        <v>0</v>
      </c>
      <c r="BO59" s="102">
        <v>0</v>
      </c>
      <c r="BP59" s="102">
        <v>0</v>
      </c>
      <c r="BQ59" s="102">
        <v>0</v>
      </c>
      <c r="BR59" s="102">
        <v>0</v>
      </c>
      <c r="BS59" s="102">
        <v>0</v>
      </c>
      <c r="BT59" s="102">
        <v>0</v>
      </c>
      <c r="BU59" s="102">
        <v>1</v>
      </c>
      <c r="BV59" s="102">
        <v>0</v>
      </c>
      <c r="BW59" s="102">
        <v>0</v>
      </c>
      <c r="BX59" s="102">
        <v>0</v>
      </c>
      <c r="BY59" s="102">
        <v>0</v>
      </c>
      <c r="BZ59" s="102">
        <v>0</v>
      </c>
      <c r="CA59" s="102">
        <v>2</v>
      </c>
      <c r="CB59" s="102">
        <v>0</v>
      </c>
      <c r="CC59" s="102" t="s">
        <v>853</v>
      </c>
      <c r="CD59" s="102"/>
      <c r="CE59" s="102">
        <v>0</v>
      </c>
      <c r="CF59" s="102">
        <v>0</v>
      </c>
      <c r="CG59" s="102">
        <v>0</v>
      </c>
      <c r="CH59" s="102">
        <v>0</v>
      </c>
      <c r="CI59" s="102">
        <v>0</v>
      </c>
      <c r="CJ59" s="102">
        <v>0</v>
      </c>
      <c r="CK59" s="102">
        <v>0</v>
      </c>
      <c r="CL59" s="102">
        <v>0</v>
      </c>
      <c r="CM59" s="102">
        <v>0</v>
      </c>
      <c r="CN59" s="102">
        <v>2</v>
      </c>
      <c r="CO59" s="102">
        <v>0</v>
      </c>
      <c r="CP59" s="102">
        <v>0</v>
      </c>
      <c r="CQ59" s="102">
        <v>0</v>
      </c>
      <c r="CR59" s="102">
        <v>0</v>
      </c>
      <c r="CS59" s="102">
        <v>0</v>
      </c>
      <c r="CT59" s="102" t="s">
        <v>853</v>
      </c>
      <c r="CU59" s="102">
        <v>0</v>
      </c>
      <c r="CV59" s="102">
        <v>1</v>
      </c>
      <c r="CW59" s="102">
        <v>0</v>
      </c>
      <c r="CX59" s="102">
        <v>0</v>
      </c>
      <c r="CY59" s="102">
        <v>0</v>
      </c>
      <c r="CZ59" s="102">
        <v>0</v>
      </c>
      <c r="DA59" s="102" t="s">
        <v>853</v>
      </c>
      <c r="DB59" s="102">
        <v>0</v>
      </c>
      <c r="DC59" s="102">
        <v>0</v>
      </c>
      <c r="DD59" s="102">
        <v>0</v>
      </c>
      <c r="DE59" s="102">
        <v>0</v>
      </c>
      <c r="DF59" s="102">
        <v>0</v>
      </c>
      <c r="DG59" s="102">
        <v>0</v>
      </c>
      <c r="DH59" s="102">
        <v>1</v>
      </c>
      <c r="DI59" s="102">
        <v>0</v>
      </c>
      <c r="DJ59" s="102">
        <v>0</v>
      </c>
      <c r="DK59" s="102">
        <v>0</v>
      </c>
      <c r="DL59" s="102">
        <v>0</v>
      </c>
      <c r="DM59" s="102">
        <v>0</v>
      </c>
      <c r="DN59" s="102">
        <v>0</v>
      </c>
      <c r="DO59" s="102">
        <v>1</v>
      </c>
      <c r="DP59" s="102">
        <v>0</v>
      </c>
      <c r="DQ59" s="102">
        <v>2</v>
      </c>
      <c r="DR59" s="102">
        <v>0</v>
      </c>
      <c r="DS59" s="102" t="s">
        <v>853</v>
      </c>
      <c r="DT59" s="105" t="s">
        <v>853</v>
      </c>
      <c r="DU59" s="102" t="s">
        <v>853</v>
      </c>
      <c r="DV59" s="102">
        <v>0</v>
      </c>
      <c r="DW59" s="102">
        <v>0</v>
      </c>
      <c r="DX59" s="102" t="s">
        <v>853</v>
      </c>
      <c r="DY59" s="102">
        <v>0</v>
      </c>
      <c r="DZ59" s="102">
        <v>0</v>
      </c>
      <c r="EA59" s="102" t="s">
        <v>853</v>
      </c>
      <c r="EB59" s="102">
        <v>0</v>
      </c>
      <c r="EC59" s="102">
        <v>0</v>
      </c>
      <c r="ED59" s="102">
        <v>0</v>
      </c>
      <c r="EE59" s="102">
        <v>0</v>
      </c>
      <c r="EF59" s="102">
        <v>2</v>
      </c>
      <c r="EG59" s="102">
        <v>0</v>
      </c>
      <c r="EH59" s="102" t="s">
        <v>853</v>
      </c>
      <c r="EI59" s="102">
        <v>0</v>
      </c>
      <c r="EJ59" s="102">
        <v>0</v>
      </c>
      <c r="EK59" s="102">
        <v>2</v>
      </c>
      <c r="EL59" s="102">
        <v>0</v>
      </c>
      <c r="EM59" s="102"/>
    </row>
    <row r="60" spans="1:143" ht="15.75" customHeight="1" x14ac:dyDescent="0.55000000000000004">
      <c r="A60" s="99">
        <v>58</v>
      </c>
      <c r="B60" s="102" t="s">
        <v>1255</v>
      </c>
      <c r="C60" s="102" t="s">
        <v>1256</v>
      </c>
      <c r="D60" s="103">
        <v>34899</v>
      </c>
      <c r="E60" s="102" t="s">
        <v>891</v>
      </c>
      <c r="F60" s="102">
        <v>19</v>
      </c>
      <c r="G60" s="102">
        <v>7</v>
      </c>
      <c r="H60" s="102">
        <v>1995</v>
      </c>
      <c r="I60" s="102" t="s">
        <v>1257</v>
      </c>
      <c r="J60" s="102" t="s">
        <v>1258</v>
      </c>
      <c r="K60" s="102" t="s">
        <v>930</v>
      </c>
      <c r="L60" s="102">
        <v>5</v>
      </c>
      <c r="M60" s="102">
        <v>3</v>
      </c>
      <c r="N60" s="102">
        <v>0</v>
      </c>
      <c r="O60" s="106">
        <v>9</v>
      </c>
      <c r="P60" s="102">
        <v>1</v>
      </c>
      <c r="Q60" s="104">
        <v>1</v>
      </c>
      <c r="R60" s="102">
        <v>0</v>
      </c>
      <c r="S60" s="102" t="s">
        <v>853</v>
      </c>
      <c r="T60" s="102">
        <v>0</v>
      </c>
      <c r="U60" s="102">
        <v>0</v>
      </c>
      <c r="V60" s="102">
        <v>4</v>
      </c>
      <c r="W60" s="102">
        <v>0</v>
      </c>
      <c r="X60" s="102">
        <v>0</v>
      </c>
      <c r="Y60" s="102">
        <v>0</v>
      </c>
      <c r="Z60" s="102">
        <v>0</v>
      </c>
      <c r="AA60" s="102">
        <v>42</v>
      </c>
      <c r="AB60" s="102">
        <v>0</v>
      </c>
      <c r="AC60" s="102">
        <v>1</v>
      </c>
      <c r="AD60" s="102">
        <v>0</v>
      </c>
      <c r="AE60" s="102">
        <v>0</v>
      </c>
      <c r="AF60" s="102"/>
      <c r="AG60" s="102"/>
      <c r="AH60" s="102"/>
      <c r="AI60" s="102"/>
      <c r="AJ60" s="102"/>
      <c r="AK60" s="102"/>
      <c r="AL60" s="102"/>
      <c r="AM60" s="102"/>
      <c r="AN60" s="102">
        <v>1</v>
      </c>
      <c r="AO60" s="102">
        <v>1</v>
      </c>
      <c r="AP60" s="102">
        <v>1</v>
      </c>
      <c r="AQ60" s="102">
        <v>0</v>
      </c>
      <c r="AR60" s="102">
        <v>1</v>
      </c>
      <c r="AS60" s="102">
        <v>3</v>
      </c>
      <c r="AT60" s="102"/>
      <c r="AU60" s="102"/>
      <c r="AV60" s="102">
        <v>0</v>
      </c>
      <c r="AW60" s="102">
        <v>0</v>
      </c>
      <c r="AX60" s="102">
        <v>0</v>
      </c>
      <c r="AY60" s="102">
        <v>0</v>
      </c>
      <c r="AZ60" s="102">
        <v>0</v>
      </c>
      <c r="BA60" s="102">
        <v>0</v>
      </c>
      <c r="BB60" s="102">
        <v>0</v>
      </c>
      <c r="BC60" s="102">
        <v>0</v>
      </c>
      <c r="BD60" s="102">
        <v>0</v>
      </c>
      <c r="BE60" s="102">
        <v>0</v>
      </c>
      <c r="BF60" s="102">
        <v>0</v>
      </c>
      <c r="BG60" s="102">
        <v>0</v>
      </c>
      <c r="BH60" s="102">
        <v>0</v>
      </c>
      <c r="BI60" s="102">
        <v>0</v>
      </c>
      <c r="BJ60" s="102">
        <v>0</v>
      </c>
      <c r="BK60" s="102">
        <v>0</v>
      </c>
      <c r="BL60" s="102">
        <v>0</v>
      </c>
      <c r="BM60" s="102">
        <v>0</v>
      </c>
      <c r="BN60" s="102">
        <v>0</v>
      </c>
      <c r="BO60" s="102">
        <v>0</v>
      </c>
      <c r="BP60" s="102">
        <v>1</v>
      </c>
      <c r="BQ60" s="102">
        <v>1</v>
      </c>
      <c r="BR60" s="102">
        <v>0</v>
      </c>
      <c r="BS60" s="102">
        <v>0</v>
      </c>
      <c r="BT60" s="102">
        <v>0</v>
      </c>
      <c r="BU60" s="102"/>
      <c r="BV60" s="102">
        <v>0</v>
      </c>
      <c r="BW60" s="102">
        <v>0</v>
      </c>
      <c r="BX60" s="102">
        <v>0</v>
      </c>
      <c r="BY60" s="102">
        <v>0</v>
      </c>
      <c r="BZ60" s="102">
        <v>0</v>
      </c>
      <c r="CA60" s="102">
        <v>2</v>
      </c>
      <c r="CB60" s="102">
        <v>1</v>
      </c>
      <c r="CC60" s="102">
        <v>0</v>
      </c>
      <c r="CD60" s="102" t="s">
        <v>1259</v>
      </c>
      <c r="CE60" s="102">
        <v>0</v>
      </c>
      <c r="CF60" s="102">
        <v>0</v>
      </c>
      <c r="CG60" s="102">
        <v>0</v>
      </c>
      <c r="CH60" s="102">
        <v>0</v>
      </c>
      <c r="CI60" s="102">
        <v>1</v>
      </c>
      <c r="CJ60" s="102">
        <v>0</v>
      </c>
      <c r="CK60" s="102">
        <v>0</v>
      </c>
      <c r="CL60" s="102">
        <v>0</v>
      </c>
      <c r="CM60" s="102">
        <v>0</v>
      </c>
      <c r="CN60" s="102">
        <v>0</v>
      </c>
      <c r="CO60" s="102">
        <v>0</v>
      </c>
      <c r="CP60" s="102">
        <v>0</v>
      </c>
      <c r="CQ60" s="102">
        <v>0</v>
      </c>
      <c r="CR60" s="102">
        <v>0</v>
      </c>
      <c r="CS60" s="102">
        <v>0</v>
      </c>
      <c r="CT60" s="102" t="s">
        <v>853</v>
      </c>
      <c r="CU60" s="102">
        <v>0</v>
      </c>
      <c r="CV60" s="102">
        <v>0</v>
      </c>
      <c r="CW60" s="102">
        <v>0</v>
      </c>
      <c r="CX60" s="102">
        <v>0</v>
      </c>
      <c r="CY60" s="102">
        <v>0</v>
      </c>
      <c r="CZ60" s="102">
        <v>0</v>
      </c>
      <c r="DA60" s="102" t="s">
        <v>853</v>
      </c>
      <c r="DB60" s="102">
        <v>0</v>
      </c>
      <c r="DC60" s="102">
        <v>0</v>
      </c>
      <c r="DD60" s="102">
        <v>0</v>
      </c>
      <c r="DE60" s="102">
        <v>0</v>
      </c>
      <c r="DF60" s="102">
        <v>0</v>
      </c>
      <c r="DG60" s="102">
        <v>0</v>
      </c>
      <c r="DH60" s="102">
        <v>1</v>
      </c>
      <c r="DI60" s="102">
        <v>0</v>
      </c>
      <c r="DJ60" s="102">
        <v>0</v>
      </c>
      <c r="DK60" s="102">
        <v>0</v>
      </c>
      <c r="DL60" s="102">
        <v>0</v>
      </c>
      <c r="DM60" s="102">
        <v>0</v>
      </c>
      <c r="DN60" s="102">
        <v>0</v>
      </c>
      <c r="DO60" s="102">
        <v>0</v>
      </c>
      <c r="DP60" s="102">
        <v>0</v>
      </c>
      <c r="DQ60" s="102">
        <v>2</v>
      </c>
      <c r="DR60" s="102">
        <v>0</v>
      </c>
      <c r="DS60" s="102" t="s">
        <v>853</v>
      </c>
      <c r="DT60" s="105" t="s">
        <v>853</v>
      </c>
      <c r="DU60" s="102" t="s">
        <v>853</v>
      </c>
      <c r="DV60" s="102">
        <v>0</v>
      </c>
      <c r="DW60" s="102">
        <v>0</v>
      </c>
      <c r="DX60" s="102" t="s">
        <v>853</v>
      </c>
      <c r="DY60" s="102">
        <v>0</v>
      </c>
      <c r="DZ60" s="102">
        <v>0</v>
      </c>
      <c r="EA60" s="102" t="s">
        <v>853</v>
      </c>
      <c r="EB60" s="102">
        <v>0</v>
      </c>
      <c r="EC60" s="102">
        <v>0</v>
      </c>
      <c r="ED60" s="102">
        <v>0</v>
      </c>
      <c r="EE60" s="102">
        <v>3</v>
      </c>
      <c r="EF60" s="102">
        <v>1</v>
      </c>
      <c r="EG60" s="102">
        <v>0</v>
      </c>
      <c r="EH60" s="102" t="s">
        <v>853</v>
      </c>
      <c r="EI60" s="102">
        <v>2</v>
      </c>
      <c r="EJ60" s="102">
        <v>0</v>
      </c>
      <c r="EK60" s="102">
        <v>0</v>
      </c>
      <c r="EL60" s="102">
        <v>2</v>
      </c>
      <c r="EM60" s="102"/>
    </row>
    <row r="61" spans="1:143" ht="15.75" customHeight="1" x14ac:dyDescent="0.55000000000000004">
      <c r="A61" s="99">
        <v>59</v>
      </c>
      <c r="B61" s="102" t="s">
        <v>1260</v>
      </c>
      <c r="C61" s="102" t="s">
        <v>1046</v>
      </c>
      <c r="D61" s="103">
        <v>35052</v>
      </c>
      <c r="E61" s="102" t="s">
        <v>1032</v>
      </c>
      <c r="F61" s="102">
        <v>19</v>
      </c>
      <c r="G61" s="102">
        <v>12</v>
      </c>
      <c r="H61" s="102">
        <v>1995</v>
      </c>
      <c r="I61" s="102" t="s">
        <v>1261</v>
      </c>
      <c r="J61" s="102" t="s">
        <v>1262</v>
      </c>
      <c r="K61" s="102" t="s">
        <v>894</v>
      </c>
      <c r="L61" s="102">
        <v>32</v>
      </c>
      <c r="M61" s="102">
        <v>2</v>
      </c>
      <c r="N61" s="102">
        <v>0</v>
      </c>
      <c r="O61" s="102">
        <v>4</v>
      </c>
      <c r="P61" s="102">
        <v>0</v>
      </c>
      <c r="Q61" s="104">
        <v>0</v>
      </c>
      <c r="R61" s="102">
        <v>0</v>
      </c>
      <c r="S61" s="102" t="s">
        <v>853</v>
      </c>
      <c r="T61" s="102">
        <v>0</v>
      </c>
      <c r="U61" s="102">
        <v>0</v>
      </c>
      <c r="V61" s="102">
        <v>5</v>
      </c>
      <c r="W61" s="102">
        <v>3</v>
      </c>
      <c r="X61" s="102">
        <v>0</v>
      </c>
      <c r="Y61" s="102">
        <v>0</v>
      </c>
      <c r="Z61" s="102">
        <v>1</v>
      </c>
      <c r="AA61" s="102">
        <v>22</v>
      </c>
      <c r="AB61" s="102">
        <v>0</v>
      </c>
      <c r="AC61" s="102">
        <v>1</v>
      </c>
      <c r="AD61" s="102">
        <v>0</v>
      </c>
      <c r="AE61" s="102">
        <v>0</v>
      </c>
      <c r="AF61" s="102"/>
      <c r="AG61" s="102">
        <v>0</v>
      </c>
      <c r="AH61" s="102">
        <v>0</v>
      </c>
      <c r="AI61" s="102" t="s">
        <v>1043</v>
      </c>
      <c r="AJ61" s="102"/>
      <c r="AK61" s="102">
        <v>2</v>
      </c>
      <c r="AL61" s="102"/>
      <c r="AM61" s="102"/>
      <c r="AN61" s="102">
        <v>0</v>
      </c>
      <c r="AO61" s="102">
        <v>1</v>
      </c>
      <c r="AP61" s="102">
        <v>0</v>
      </c>
      <c r="AQ61" s="102"/>
      <c r="AR61" s="102">
        <v>0</v>
      </c>
      <c r="AS61" s="102" t="s">
        <v>853</v>
      </c>
      <c r="AT61" s="102">
        <v>1</v>
      </c>
      <c r="AU61" s="102" t="s">
        <v>1263</v>
      </c>
      <c r="AV61" s="102">
        <v>0</v>
      </c>
      <c r="AW61" s="102">
        <v>1</v>
      </c>
      <c r="AX61" s="102" t="s">
        <v>954</v>
      </c>
      <c r="AY61" s="102" t="s">
        <v>1264</v>
      </c>
      <c r="AZ61" s="102">
        <v>4</v>
      </c>
      <c r="BA61" s="102">
        <v>0</v>
      </c>
      <c r="BB61" s="102">
        <v>0</v>
      </c>
      <c r="BC61" s="102">
        <v>0</v>
      </c>
      <c r="BD61" s="102">
        <v>0</v>
      </c>
      <c r="BE61" s="102">
        <v>0</v>
      </c>
      <c r="BF61" s="102">
        <v>0</v>
      </c>
      <c r="BG61" s="102">
        <v>0</v>
      </c>
      <c r="BH61" s="102">
        <v>0</v>
      </c>
      <c r="BI61" s="102">
        <v>0</v>
      </c>
      <c r="BJ61" s="102">
        <v>0</v>
      </c>
      <c r="BK61" s="102">
        <v>0</v>
      </c>
      <c r="BL61" s="102">
        <v>0</v>
      </c>
      <c r="BM61" s="102">
        <v>0</v>
      </c>
      <c r="BN61" s="102">
        <v>0</v>
      </c>
      <c r="BO61" s="102">
        <v>0</v>
      </c>
      <c r="BP61" s="102">
        <v>0</v>
      </c>
      <c r="BQ61" s="102">
        <v>0</v>
      </c>
      <c r="BR61" s="102">
        <v>0</v>
      </c>
      <c r="BS61" s="102">
        <v>0</v>
      </c>
      <c r="BT61" s="102">
        <v>0</v>
      </c>
      <c r="BU61" s="102">
        <v>0</v>
      </c>
      <c r="BV61" s="102">
        <v>0</v>
      </c>
      <c r="BW61" s="102">
        <v>0</v>
      </c>
      <c r="BX61" s="102">
        <v>0</v>
      </c>
      <c r="BY61" s="102">
        <v>0</v>
      </c>
      <c r="BZ61" s="102">
        <v>0</v>
      </c>
      <c r="CA61" s="102">
        <v>0</v>
      </c>
      <c r="CB61" s="102">
        <v>1</v>
      </c>
      <c r="CC61" s="102">
        <v>3</v>
      </c>
      <c r="CD61" s="102" t="s">
        <v>1265</v>
      </c>
      <c r="CE61" s="102">
        <v>1</v>
      </c>
      <c r="CF61" s="102">
        <v>0</v>
      </c>
      <c r="CG61" s="102">
        <v>0</v>
      </c>
      <c r="CH61" s="102">
        <v>0</v>
      </c>
      <c r="CI61" s="102">
        <v>1</v>
      </c>
      <c r="CJ61" s="102">
        <v>1</v>
      </c>
      <c r="CK61" s="102">
        <v>0</v>
      </c>
      <c r="CL61" s="102">
        <v>0</v>
      </c>
      <c r="CM61" s="102">
        <v>1</v>
      </c>
      <c r="CN61" s="102">
        <v>0</v>
      </c>
      <c r="CO61" s="102">
        <v>1</v>
      </c>
      <c r="CP61" s="102">
        <v>1</v>
      </c>
      <c r="CQ61" s="102">
        <v>1</v>
      </c>
      <c r="CR61" s="102">
        <v>1</v>
      </c>
      <c r="CS61" s="102">
        <v>1</v>
      </c>
      <c r="CT61" s="102" t="s">
        <v>1266</v>
      </c>
      <c r="CU61" s="102">
        <v>1</v>
      </c>
      <c r="CV61" s="102">
        <v>2</v>
      </c>
      <c r="CW61" s="102">
        <v>0</v>
      </c>
      <c r="CX61" s="102">
        <v>0</v>
      </c>
      <c r="CY61" s="102" t="s">
        <v>984</v>
      </c>
      <c r="CZ61" s="102">
        <v>0</v>
      </c>
      <c r="DA61" s="102" t="s">
        <v>853</v>
      </c>
      <c r="DB61" s="102">
        <v>0</v>
      </c>
      <c r="DC61" s="102">
        <v>0</v>
      </c>
      <c r="DD61" s="102">
        <v>0</v>
      </c>
      <c r="DE61" s="102">
        <v>0</v>
      </c>
      <c r="DF61" s="102">
        <v>0</v>
      </c>
      <c r="DG61" s="102">
        <v>0</v>
      </c>
      <c r="DH61" s="102">
        <v>0</v>
      </c>
      <c r="DI61" s="102">
        <v>0</v>
      </c>
      <c r="DJ61" s="102">
        <v>0</v>
      </c>
      <c r="DK61" s="102">
        <v>0</v>
      </c>
      <c r="DL61" s="102">
        <v>0</v>
      </c>
      <c r="DM61" s="102">
        <v>0</v>
      </c>
      <c r="DN61" s="102">
        <v>1</v>
      </c>
      <c r="DO61" s="102">
        <v>0</v>
      </c>
      <c r="DP61" s="102">
        <v>2</v>
      </c>
      <c r="DQ61" s="102">
        <v>2</v>
      </c>
      <c r="DR61" s="102">
        <v>0</v>
      </c>
      <c r="DS61" s="102" t="s">
        <v>853</v>
      </c>
      <c r="DT61" s="105" t="s">
        <v>853</v>
      </c>
      <c r="DU61" s="102" t="s">
        <v>853</v>
      </c>
      <c r="DV61" s="102">
        <v>0</v>
      </c>
      <c r="DW61" s="102">
        <v>0</v>
      </c>
      <c r="DX61" s="102" t="s">
        <v>853</v>
      </c>
      <c r="DY61" s="102">
        <v>0</v>
      </c>
      <c r="DZ61" s="102">
        <v>0</v>
      </c>
      <c r="EA61" s="102" t="s">
        <v>853</v>
      </c>
      <c r="EB61" s="102">
        <v>0</v>
      </c>
      <c r="EC61" s="102">
        <v>0</v>
      </c>
      <c r="ED61" s="102">
        <v>0</v>
      </c>
      <c r="EE61" s="102">
        <v>1</v>
      </c>
      <c r="EF61" s="102">
        <v>1</v>
      </c>
      <c r="EG61" s="102">
        <v>1</v>
      </c>
      <c r="EH61" s="102" t="s">
        <v>1267</v>
      </c>
      <c r="EI61" s="102">
        <v>2</v>
      </c>
      <c r="EJ61" s="102">
        <v>1</v>
      </c>
      <c r="EK61" s="102">
        <v>1</v>
      </c>
      <c r="EL61" s="102">
        <v>3</v>
      </c>
      <c r="EM61" s="102"/>
    </row>
    <row r="62" spans="1:143" ht="15.75" customHeight="1" x14ac:dyDescent="0.55000000000000004">
      <c r="A62" s="99">
        <v>60</v>
      </c>
      <c r="B62" s="102" t="s">
        <v>1268</v>
      </c>
      <c r="C62" s="102" t="s">
        <v>1269</v>
      </c>
      <c r="D62" s="103">
        <v>35104</v>
      </c>
      <c r="E62" s="102" t="s">
        <v>959</v>
      </c>
      <c r="F62" s="102">
        <v>9</v>
      </c>
      <c r="G62" s="102">
        <v>2</v>
      </c>
      <c r="H62" s="102">
        <v>1996</v>
      </c>
      <c r="I62" s="102" t="s">
        <v>1270</v>
      </c>
      <c r="J62" s="102" t="s">
        <v>1271</v>
      </c>
      <c r="K62" s="102" t="s">
        <v>1022</v>
      </c>
      <c r="L62" s="102">
        <v>9</v>
      </c>
      <c r="M62" s="102">
        <v>0</v>
      </c>
      <c r="N62" s="102">
        <v>0</v>
      </c>
      <c r="O62" s="107">
        <v>6</v>
      </c>
      <c r="P62" s="102">
        <v>1</v>
      </c>
      <c r="Q62" s="104">
        <v>1</v>
      </c>
      <c r="R62" s="102">
        <v>0</v>
      </c>
      <c r="S62" s="102" t="s">
        <v>853</v>
      </c>
      <c r="T62" s="102">
        <v>0</v>
      </c>
      <c r="U62" s="102">
        <v>0</v>
      </c>
      <c r="V62" s="102">
        <v>5</v>
      </c>
      <c r="W62" s="102">
        <v>1</v>
      </c>
      <c r="X62" s="102">
        <v>0</v>
      </c>
      <c r="Y62" s="102">
        <v>0</v>
      </c>
      <c r="Z62" s="102">
        <v>0</v>
      </c>
      <c r="AA62" s="102">
        <v>41</v>
      </c>
      <c r="AB62" s="102">
        <v>0</v>
      </c>
      <c r="AC62" s="102">
        <v>1</v>
      </c>
      <c r="AD62" s="102">
        <v>0</v>
      </c>
      <c r="AE62" s="102">
        <v>0</v>
      </c>
      <c r="AF62" s="102">
        <v>1</v>
      </c>
      <c r="AG62" s="102"/>
      <c r="AH62" s="102"/>
      <c r="AI62" s="102"/>
      <c r="AJ62" s="102"/>
      <c r="AK62" s="102"/>
      <c r="AL62" s="102"/>
      <c r="AM62" s="102"/>
      <c r="AN62" s="102">
        <v>2</v>
      </c>
      <c r="AO62" s="102">
        <v>1</v>
      </c>
      <c r="AP62" s="102">
        <v>0</v>
      </c>
      <c r="AQ62" s="102">
        <v>0</v>
      </c>
      <c r="AR62" s="102">
        <v>1</v>
      </c>
      <c r="AS62" s="102">
        <v>3</v>
      </c>
      <c r="AT62" s="102">
        <v>1</v>
      </c>
      <c r="AU62" s="102" t="s">
        <v>911</v>
      </c>
      <c r="AV62" s="102">
        <v>0</v>
      </c>
      <c r="AW62" s="102">
        <v>0</v>
      </c>
      <c r="AX62" s="102">
        <v>0</v>
      </c>
      <c r="AY62" s="102">
        <v>0</v>
      </c>
      <c r="AZ62" s="102">
        <v>0</v>
      </c>
      <c r="BA62" s="102">
        <v>0</v>
      </c>
      <c r="BB62" s="102">
        <v>0</v>
      </c>
      <c r="BC62" s="102">
        <v>0</v>
      </c>
      <c r="BD62" s="102">
        <v>0</v>
      </c>
      <c r="BE62" s="102">
        <v>0</v>
      </c>
      <c r="BF62" s="102">
        <v>0</v>
      </c>
      <c r="BG62" s="102">
        <v>0</v>
      </c>
      <c r="BH62" s="102">
        <v>0</v>
      </c>
      <c r="BI62" s="102">
        <v>0</v>
      </c>
      <c r="BJ62" s="102">
        <v>1</v>
      </c>
      <c r="BK62" s="102">
        <v>0</v>
      </c>
      <c r="BL62" s="102">
        <v>0</v>
      </c>
      <c r="BM62" s="102">
        <v>0</v>
      </c>
      <c r="BN62" s="102">
        <v>0</v>
      </c>
      <c r="BO62" s="102">
        <v>0</v>
      </c>
      <c r="BP62" s="102">
        <v>0</v>
      </c>
      <c r="BQ62" s="102">
        <v>0</v>
      </c>
      <c r="BR62" s="102">
        <v>0</v>
      </c>
      <c r="BS62" s="102">
        <v>0</v>
      </c>
      <c r="BT62" s="102">
        <v>0</v>
      </c>
      <c r="BU62" s="102"/>
      <c r="BV62" s="102">
        <v>0</v>
      </c>
      <c r="BW62" s="102">
        <v>0</v>
      </c>
      <c r="BX62" s="102">
        <v>0</v>
      </c>
      <c r="BY62" s="102">
        <v>0</v>
      </c>
      <c r="BZ62" s="102">
        <v>0</v>
      </c>
      <c r="CA62" s="102" t="s">
        <v>984</v>
      </c>
      <c r="CB62" s="102">
        <v>1</v>
      </c>
      <c r="CC62" s="102">
        <v>0</v>
      </c>
      <c r="CD62" s="102" t="s">
        <v>1272</v>
      </c>
      <c r="CE62" s="102">
        <v>0</v>
      </c>
      <c r="CF62" s="102">
        <v>1</v>
      </c>
      <c r="CG62" s="102">
        <v>0</v>
      </c>
      <c r="CH62" s="102">
        <v>0</v>
      </c>
      <c r="CI62" s="102">
        <v>1</v>
      </c>
      <c r="CJ62" s="102">
        <v>0</v>
      </c>
      <c r="CK62" s="102">
        <v>0</v>
      </c>
      <c r="CL62" s="102">
        <v>0</v>
      </c>
      <c r="CM62" s="102">
        <v>0</v>
      </c>
      <c r="CN62" s="102">
        <v>2</v>
      </c>
      <c r="CO62" s="102">
        <v>0</v>
      </c>
      <c r="CP62" s="102">
        <v>0</v>
      </c>
      <c r="CQ62" s="102">
        <v>0</v>
      </c>
      <c r="CR62" s="102">
        <v>0</v>
      </c>
      <c r="CS62" s="102">
        <v>0</v>
      </c>
      <c r="CT62" s="102" t="s">
        <v>853</v>
      </c>
      <c r="CU62" s="102">
        <v>0</v>
      </c>
      <c r="CV62" s="102">
        <v>4</v>
      </c>
      <c r="CW62" s="102">
        <v>0</v>
      </c>
      <c r="CX62" s="102">
        <v>0</v>
      </c>
      <c r="CY62" s="102">
        <v>2</v>
      </c>
      <c r="CZ62" s="102">
        <v>0</v>
      </c>
      <c r="DA62" s="102" t="s">
        <v>853</v>
      </c>
      <c r="DB62" s="102">
        <v>0</v>
      </c>
      <c r="DC62" s="102">
        <v>1</v>
      </c>
      <c r="DD62" s="102">
        <v>0</v>
      </c>
      <c r="DE62" s="102">
        <v>0</v>
      </c>
      <c r="DF62" s="102">
        <v>0</v>
      </c>
      <c r="DG62" s="102">
        <v>0</v>
      </c>
      <c r="DH62" s="102">
        <v>1</v>
      </c>
      <c r="DI62" s="102">
        <v>0</v>
      </c>
      <c r="DJ62" s="102">
        <v>0</v>
      </c>
      <c r="DK62" s="102">
        <v>0</v>
      </c>
      <c r="DL62" s="102">
        <v>0</v>
      </c>
      <c r="DM62" s="102">
        <v>0</v>
      </c>
      <c r="DN62" s="102">
        <v>0</v>
      </c>
      <c r="DO62" s="102">
        <v>0</v>
      </c>
      <c r="DP62" s="102">
        <v>0</v>
      </c>
      <c r="DQ62" s="102">
        <v>2</v>
      </c>
      <c r="DR62" s="102">
        <v>1</v>
      </c>
      <c r="DS62" s="102">
        <v>0</v>
      </c>
      <c r="DT62" s="105" t="s">
        <v>945</v>
      </c>
      <c r="DU62" s="102">
        <v>1</v>
      </c>
      <c r="DV62" s="102">
        <v>0</v>
      </c>
      <c r="DW62" s="102">
        <v>0</v>
      </c>
      <c r="DX62" s="102" t="s">
        <v>853</v>
      </c>
      <c r="DY62" s="102">
        <v>1</v>
      </c>
      <c r="DZ62" s="102">
        <v>0</v>
      </c>
      <c r="EA62" s="102" t="s">
        <v>853</v>
      </c>
      <c r="EB62" s="102">
        <v>0</v>
      </c>
      <c r="EC62" s="102">
        <v>0</v>
      </c>
      <c r="ED62" s="102">
        <v>0</v>
      </c>
      <c r="EE62" s="102">
        <v>3</v>
      </c>
      <c r="EF62" s="102">
        <v>2</v>
      </c>
      <c r="EG62" s="102">
        <v>0</v>
      </c>
      <c r="EH62" s="102" t="s">
        <v>853</v>
      </c>
      <c r="EI62" s="102">
        <v>0</v>
      </c>
      <c r="EJ62" s="102">
        <v>0</v>
      </c>
      <c r="EK62" s="102">
        <v>2</v>
      </c>
      <c r="EL62" s="102">
        <v>0</v>
      </c>
      <c r="EM62" s="102"/>
    </row>
    <row r="63" spans="1:143" ht="15.75" customHeight="1" x14ac:dyDescent="0.55000000000000004">
      <c r="A63" s="99">
        <v>61</v>
      </c>
      <c r="B63" s="102" t="s">
        <v>1273</v>
      </c>
      <c r="C63" s="102" t="s">
        <v>1207</v>
      </c>
      <c r="D63" s="103">
        <v>35179</v>
      </c>
      <c r="E63" s="102" t="s">
        <v>891</v>
      </c>
      <c r="F63" s="102">
        <v>24</v>
      </c>
      <c r="G63" s="102">
        <v>4</v>
      </c>
      <c r="H63" s="102">
        <v>1996</v>
      </c>
      <c r="I63" s="102" t="s">
        <v>1274</v>
      </c>
      <c r="J63" s="102" t="s">
        <v>1275</v>
      </c>
      <c r="K63" s="102" t="s">
        <v>1276</v>
      </c>
      <c r="L63" s="102">
        <v>24</v>
      </c>
      <c r="M63" s="102">
        <v>0</v>
      </c>
      <c r="N63" s="102">
        <v>0</v>
      </c>
      <c r="O63" s="107">
        <v>6</v>
      </c>
      <c r="P63" s="102">
        <v>1</v>
      </c>
      <c r="Q63" s="104">
        <v>1</v>
      </c>
      <c r="R63" s="102">
        <v>1</v>
      </c>
      <c r="S63" s="102">
        <v>7</v>
      </c>
      <c r="T63" s="102">
        <v>1</v>
      </c>
      <c r="U63" s="102">
        <v>1</v>
      </c>
      <c r="V63" s="102">
        <v>5</v>
      </c>
      <c r="W63" s="102">
        <v>3</v>
      </c>
      <c r="X63" s="102">
        <v>0</v>
      </c>
      <c r="Y63" s="102">
        <v>1</v>
      </c>
      <c r="Z63" s="102">
        <v>0</v>
      </c>
      <c r="AA63" s="102">
        <v>32</v>
      </c>
      <c r="AB63" s="102">
        <v>0</v>
      </c>
      <c r="AC63" s="102">
        <v>1</v>
      </c>
      <c r="AD63" s="102">
        <v>0</v>
      </c>
      <c r="AE63" s="102">
        <v>0</v>
      </c>
      <c r="AF63" s="102"/>
      <c r="AG63" s="102"/>
      <c r="AH63" s="102"/>
      <c r="AI63" s="102"/>
      <c r="AJ63" s="102"/>
      <c r="AK63" s="102"/>
      <c r="AL63" s="102"/>
      <c r="AM63" s="102"/>
      <c r="AN63" s="102">
        <v>2</v>
      </c>
      <c r="AO63" s="102">
        <v>1</v>
      </c>
      <c r="AP63" s="102">
        <v>1</v>
      </c>
      <c r="AQ63" s="102">
        <v>0</v>
      </c>
      <c r="AR63" s="102">
        <v>0</v>
      </c>
      <c r="AS63" s="102" t="s">
        <v>853</v>
      </c>
      <c r="AT63" s="102"/>
      <c r="AU63" s="102"/>
      <c r="AV63" s="102">
        <v>0</v>
      </c>
      <c r="AW63" s="102">
        <v>0</v>
      </c>
      <c r="AX63" s="102">
        <v>0</v>
      </c>
      <c r="AY63" s="102">
        <v>0</v>
      </c>
      <c r="AZ63" s="102">
        <v>0</v>
      </c>
      <c r="BA63" s="102">
        <v>0</v>
      </c>
      <c r="BB63" s="102">
        <v>0</v>
      </c>
      <c r="BC63" s="102">
        <v>0</v>
      </c>
      <c r="BD63" s="102">
        <v>0</v>
      </c>
      <c r="BE63" s="102">
        <v>0</v>
      </c>
      <c r="BF63" s="102">
        <v>0</v>
      </c>
      <c r="BG63" s="102">
        <v>0</v>
      </c>
      <c r="BH63" s="102">
        <v>0</v>
      </c>
      <c r="BI63" s="102">
        <v>0</v>
      </c>
      <c r="BJ63" s="102">
        <v>0</v>
      </c>
      <c r="BK63" s="102">
        <v>0</v>
      </c>
      <c r="BL63" s="102">
        <v>0</v>
      </c>
      <c r="BM63" s="102">
        <v>0</v>
      </c>
      <c r="BN63" s="102">
        <v>0</v>
      </c>
      <c r="BO63" s="102">
        <v>0</v>
      </c>
      <c r="BP63" s="102">
        <v>0</v>
      </c>
      <c r="BQ63" s="102">
        <v>0</v>
      </c>
      <c r="BR63" s="102">
        <v>0</v>
      </c>
      <c r="BS63" s="102">
        <v>0</v>
      </c>
      <c r="BT63" s="102">
        <v>0</v>
      </c>
      <c r="BU63" s="102"/>
      <c r="BV63" s="102">
        <v>0</v>
      </c>
      <c r="BW63" s="102">
        <v>0</v>
      </c>
      <c r="BX63" s="102">
        <v>0</v>
      </c>
      <c r="BY63" s="102">
        <v>0</v>
      </c>
      <c r="BZ63" s="102">
        <v>0</v>
      </c>
      <c r="CA63" s="102" t="s">
        <v>937</v>
      </c>
      <c r="CB63" s="102">
        <v>0</v>
      </c>
      <c r="CC63" s="102" t="s">
        <v>853</v>
      </c>
      <c r="CD63" s="102"/>
      <c r="CE63" s="102">
        <v>0</v>
      </c>
      <c r="CF63" s="102">
        <v>0</v>
      </c>
      <c r="CG63" s="102">
        <v>0</v>
      </c>
      <c r="CH63" s="102">
        <v>0</v>
      </c>
      <c r="CI63" s="102">
        <v>0</v>
      </c>
      <c r="CJ63" s="102">
        <v>0</v>
      </c>
      <c r="CK63" s="102">
        <v>0</v>
      </c>
      <c r="CL63" s="102">
        <v>0</v>
      </c>
      <c r="CM63" s="102">
        <v>0</v>
      </c>
      <c r="CN63" s="102">
        <v>2</v>
      </c>
      <c r="CO63" s="102">
        <v>0</v>
      </c>
      <c r="CP63" s="102">
        <v>0</v>
      </c>
      <c r="CQ63" s="102">
        <v>0</v>
      </c>
      <c r="CR63" s="102">
        <v>0</v>
      </c>
      <c r="CS63" s="102">
        <v>0</v>
      </c>
      <c r="CT63" s="102" t="s">
        <v>853</v>
      </c>
      <c r="CU63" s="102">
        <v>0</v>
      </c>
      <c r="CV63" s="102">
        <v>0</v>
      </c>
      <c r="CW63" s="102">
        <v>0</v>
      </c>
      <c r="CX63" s="102">
        <v>0</v>
      </c>
      <c r="CY63" s="102">
        <v>0</v>
      </c>
      <c r="CZ63" s="102">
        <v>0</v>
      </c>
      <c r="DA63" s="102" t="s">
        <v>853</v>
      </c>
      <c r="DB63" s="102">
        <v>0</v>
      </c>
      <c r="DC63" s="102">
        <v>0</v>
      </c>
      <c r="DD63" s="102">
        <v>0</v>
      </c>
      <c r="DE63" s="102">
        <v>0</v>
      </c>
      <c r="DF63" s="102">
        <v>0</v>
      </c>
      <c r="DG63" s="102">
        <v>0</v>
      </c>
      <c r="DH63" s="102">
        <v>1</v>
      </c>
      <c r="DI63" s="102">
        <v>0</v>
      </c>
      <c r="DJ63" s="102">
        <v>0</v>
      </c>
      <c r="DK63" s="102">
        <v>1</v>
      </c>
      <c r="DL63" s="102">
        <v>0</v>
      </c>
      <c r="DM63" s="102">
        <v>0</v>
      </c>
      <c r="DN63" s="102">
        <v>0</v>
      </c>
      <c r="DO63" s="102">
        <v>0</v>
      </c>
      <c r="DP63" s="102">
        <v>0</v>
      </c>
      <c r="DQ63" s="102">
        <v>2</v>
      </c>
      <c r="DR63" s="102">
        <v>1</v>
      </c>
      <c r="DS63" s="102">
        <v>0</v>
      </c>
      <c r="DT63" s="105" t="s">
        <v>945</v>
      </c>
      <c r="DU63" s="102">
        <v>1</v>
      </c>
      <c r="DV63" s="102">
        <v>0</v>
      </c>
      <c r="DW63" s="102">
        <v>0</v>
      </c>
      <c r="DX63" s="102" t="s">
        <v>853</v>
      </c>
      <c r="DY63" s="102">
        <v>0</v>
      </c>
      <c r="DZ63" s="102">
        <v>0</v>
      </c>
      <c r="EA63" s="102" t="s">
        <v>853</v>
      </c>
      <c r="EB63" s="102">
        <v>0</v>
      </c>
      <c r="EC63" s="102">
        <v>0</v>
      </c>
      <c r="ED63" s="102">
        <v>0</v>
      </c>
      <c r="EE63" s="102">
        <v>1</v>
      </c>
      <c r="EF63" s="102">
        <v>3</v>
      </c>
      <c r="EG63" s="102">
        <v>0</v>
      </c>
      <c r="EH63" s="102" t="s">
        <v>853</v>
      </c>
      <c r="EI63" s="102">
        <v>2</v>
      </c>
      <c r="EJ63" s="102">
        <v>1</v>
      </c>
      <c r="EK63" s="102">
        <v>0</v>
      </c>
      <c r="EL63" s="102">
        <v>1</v>
      </c>
      <c r="EM63" s="102"/>
    </row>
    <row r="64" spans="1:143" ht="15.75" customHeight="1" x14ac:dyDescent="0.55000000000000004">
      <c r="A64" s="99">
        <v>62</v>
      </c>
      <c r="B64" s="102" t="s">
        <v>1277</v>
      </c>
      <c r="C64" s="102" t="s">
        <v>1019</v>
      </c>
      <c r="D64" s="103">
        <v>35661</v>
      </c>
      <c r="E64" s="102" t="s">
        <v>1032</v>
      </c>
      <c r="F64" s="102">
        <v>19</v>
      </c>
      <c r="G64" s="102">
        <v>8</v>
      </c>
      <c r="H64" s="102">
        <v>1997</v>
      </c>
      <c r="I64" s="102" t="s">
        <v>1278</v>
      </c>
      <c r="J64" s="102" t="s">
        <v>1279</v>
      </c>
      <c r="K64" s="102" t="s">
        <v>1280</v>
      </c>
      <c r="L64" s="102">
        <v>29</v>
      </c>
      <c r="M64" s="102">
        <v>2</v>
      </c>
      <c r="N64" s="102">
        <v>2</v>
      </c>
      <c r="O64" s="106">
        <v>6</v>
      </c>
      <c r="P64" s="102">
        <v>0</v>
      </c>
      <c r="Q64" s="104">
        <v>0</v>
      </c>
      <c r="R64" s="102">
        <v>1</v>
      </c>
      <c r="S64" s="102">
        <v>8</v>
      </c>
      <c r="T64" s="102">
        <v>1</v>
      </c>
      <c r="U64" s="102">
        <v>1</v>
      </c>
      <c r="V64" s="102">
        <v>4</v>
      </c>
      <c r="W64" s="102">
        <v>4</v>
      </c>
      <c r="X64" s="102">
        <v>0</v>
      </c>
      <c r="Y64" s="102">
        <v>0</v>
      </c>
      <c r="Z64" s="102">
        <v>0</v>
      </c>
      <c r="AA64" s="102">
        <v>62</v>
      </c>
      <c r="AB64" s="102">
        <v>0</v>
      </c>
      <c r="AC64" s="102">
        <v>0</v>
      </c>
      <c r="AD64" s="102">
        <v>0</v>
      </c>
      <c r="AE64" s="102">
        <v>0</v>
      </c>
      <c r="AF64" s="102">
        <v>1</v>
      </c>
      <c r="AG64" s="102">
        <v>0</v>
      </c>
      <c r="AH64" s="102"/>
      <c r="AI64" s="102"/>
      <c r="AJ64" s="102">
        <v>3</v>
      </c>
      <c r="AK64" s="102">
        <v>6</v>
      </c>
      <c r="AL64" s="102">
        <v>6</v>
      </c>
      <c r="AM64" s="102">
        <v>0</v>
      </c>
      <c r="AN64" s="102">
        <v>1</v>
      </c>
      <c r="AO64" s="102">
        <v>0</v>
      </c>
      <c r="AP64" s="102">
        <v>1</v>
      </c>
      <c r="AQ64" s="102">
        <v>0</v>
      </c>
      <c r="AR64" s="102">
        <v>0</v>
      </c>
      <c r="AS64" s="102" t="s">
        <v>853</v>
      </c>
      <c r="AT64" s="102">
        <v>0</v>
      </c>
      <c r="AU64" s="102"/>
      <c r="AV64" s="102">
        <v>1</v>
      </c>
      <c r="AW64" s="102">
        <v>1</v>
      </c>
      <c r="AX64" s="102">
        <v>0</v>
      </c>
      <c r="AY64" s="102">
        <v>9</v>
      </c>
      <c r="AZ64" s="102">
        <v>2</v>
      </c>
      <c r="BA64" s="102">
        <v>0</v>
      </c>
      <c r="BB64" s="102">
        <v>0</v>
      </c>
      <c r="BC64" s="102">
        <v>0</v>
      </c>
      <c r="BD64" s="102">
        <v>0</v>
      </c>
      <c r="BE64" s="102">
        <v>0</v>
      </c>
      <c r="BF64" s="102">
        <v>0</v>
      </c>
      <c r="BG64" s="102">
        <v>0</v>
      </c>
      <c r="BH64" s="102">
        <v>0</v>
      </c>
      <c r="BI64" s="102">
        <v>0</v>
      </c>
      <c r="BJ64" s="102">
        <v>1</v>
      </c>
      <c r="BK64" s="102">
        <v>0</v>
      </c>
      <c r="BL64" s="102">
        <v>0</v>
      </c>
      <c r="BM64" s="102">
        <v>0</v>
      </c>
      <c r="BN64" s="102">
        <v>0</v>
      </c>
      <c r="BO64" s="102">
        <v>0</v>
      </c>
      <c r="BP64" s="102">
        <v>0</v>
      </c>
      <c r="BQ64" s="102">
        <v>0</v>
      </c>
      <c r="BR64" s="102">
        <v>0</v>
      </c>
      <c r="BS64" s="102">
        <v>0</v>
      </c>
      <c r="BT64" s="102">
        <v>0</v>
      </c>
      <c r="BU64" s="102"/>
      <c r="BV64" s="102">
        <v>0</v>
      </c>
      <c r="BW64" s="102">
        <v>0</v>
      </c>
      <c r="BX64" s="102">
        <v>0</v>
      </c>
      <c r="BY64" s="102">
        <v>0</v>
      </c>
      <c r="BZ64" s="102">
        <v>3</v>
      </c>
      <c r="CA64" s="102">
        <v>5</v>
      </c>
      <c r="CB64" s="102">
        <v>1</v>
      </c>
      <c r="CC64" s="102">
        <v>3</v>
      </c>
      <c r="CD64" s="102" t="s">
        <v>1281</v>
      </c>
      <c r="CE64" s="102">
        <v>0</v>
      </c>
      <c r="CF64" s="102">
        <v>0</v>
      </c>
      <c r="CG64" s="102">
        <v>0</v>
      </c>
      <c r="CH64" s="102">
        <v>1</v>
      </c>
      <c r="CI64" s="102">
        <v>1</v>
      </c>
      <c r="CJ64" s="102">
        <v>1</v>
      </c>
      <c r="CK64" s="102">
        <v>1</v>
      </c>
      <c r="CL64" s="102">
        <v>1</v>
      </c>
      <c r="CM64" s="102">
        <v>0</v>
      </c>
      <c r="CN64" s="102">
        <v>0</v>
      </c>
      <c r="CO64" s="102">
        <v>0</v>
      </c>
      <c r="CP64" s="102">
        <v>0</v>
      </c>
      <c r="CQ64" s="102">
        <v>0</v>
      </c>
      <c r="CR64" s="102">
        <v>0</v>
      </c>
      <c r="CS64" s="102">
        <v>0</v>
      </c>
      <c r="CT64" s="102" t="s">
        <v>853</v>
      </c>
      <c r="CU64" s="102">
        <v>0</v>
      </c>
      <c r="CV64" s="102">
        <v>4</v>
      </c>
      <c r="CW64" s="102">
        <v>0</v>
      </c>
      <c r="CX64" s="102">
        <v>0</v>
      </c>
      <c r="CY64" s="102">
        <v>0</v>
      </c>
      <c r="CZ64" s="102">
        <v>0</v>
      </c>
      <c r="DA64" s="102" t="s">
        <v>853</v>
      </c>
      <c r="DB64" s="102">
        <v>0</v>
      </c>
      <c r="DC64" s="102">
        <v>0</v>
      </c>
      <c r="DD64" s="102">
        <v>0</v>
      </c>
      <c r="DE64" s="102">
        <v>0</v>
      </c>
      <c r="DF64" s="102">
        <v>0</v>
      </c>
      <c r="DG64" s="102">
        <v>0</v>
      </c>
      <c r="DH64" s="102">
        <v>0</v>
      </c>
      <c r="DI64" s="102">
        <v>0</v>
      </c>
      <c r="DJ64" s="102">
        <v>1</v>
      </c>
      <c r="DK64" s="102">
        <v>0</v>
      </c>
      <c r="DL64" s="102">
        <v>1</v>
      </c>
      <c r="DM64" s="102">
        <v>0</v>
      </c>
      <c r="DN64" s="102">
        <v>0</v>
      </c>
      <c r="DO64" s="102">
        <v>0</v>
      </c>
      <c r="DP64" s="102">
        <v>0</v>
      </c>
      <c r="DQ64" s="102">
        <v>2</v>
      </c>
      <c r="DR64" s="102">
        <v>0</v>
      </c>
      <c r="DS64" s="102" t="s">
        <v>853</v>
      </c>
      <c r="DT64" s="105" t="s">
        <v>853</v>
      </c>
      <c r="DU64" s="102" t="s">
        <v>853</v>
      </c>
      <c r="DV64" s="102">
        <v>0</v>
      </c>
      <c r="DW64" s="102">
        <v>0</v>
      </c>
      <c r="DX64" s="102" t="s">
        <v>853</v>
      </c>
      <c r="DY64" s="102">
        <v>0</v>
      </c>
      <c r="DZ64" s="102">
        <v>0</v>
      </c>
      <c r="EA64" s="102" t="s">
        <v>853</v>
      </c>
      <c r="EB64" s="102">
        <v>0</v>
      </c>
      <c r="EC64" s="102">
        <v>0</v>
      </c>
      <c r="ED64" s="102">
        <v>1</v>
      </c>
      <c r="EE64" s="102">
        <v>1</v>
      </c>
      <c r="EF64" s="102">
        <v>2</v>
      </c>
      <c r="EG64" s="102">
        <v>1</v>
      </c>
      <c r="EH64" s="102" t="s">
        <v>1282</v>
      </c>
      <c r="EI64" s="102">
        <v>1</v>
      </c>
      <c r="EJ64" s="102">
        <v>1</v>
      </c>
      <c r="EK64" s="102">
        <v>2</v>
      </c>
      <c r="EL64" s="102">
        <v>0</v>
      </c>
      <c r="EM64" s="102"/>
    </row>
    <row r="65" spans="1:143" ht="15.75" customHeight="1" x14ac:dyDescent="0.55000000000000004">
      <c r="A65" s="99">
        <v>63</v>
      </c>
      <c r="B65" s="102" t="s">
        <v>1283</v>
      </c>
      <c r="C65" s="102" t="s">
        <v>1284</v>
      </c>
      <c r="D65" s="103">
        <v>35688</v>
      </c>
      <c r="E65" s="102" t="s">
        <v>846</v>
      </c>
      <c r="F65" s="102">
        <v>15</v>
      </c>
      <c r="G65" s="102">
        <v>9</v>
      </c>
      <c r="H65" s="102">
        <v>1997</v>
      </c>
      <c r="I65" s="102" t="s">
        <v>1285</v>
      </c>
      <c r="J65" s="102" t="s">
        <v>1286</v>
      </c>
      <c r="K65" s="102" t="s">
        <v>1287</v>
      </c>
      <c r="L65" s="102">
        <v>40</v>
      </c>
      <c r="M65" s="102">
        <v>0</v>
      </c>
      <c r="N65" s="102">
        <v>0</v>
      </c>
      <c r="O65" s="106">
        <v>9</v>
      </c>
      <c r="P65" s="102">
        <v>1</v>
      </c>
      <c r="Q65" s="104">
        <v>1</v>
      </c>
      <c r="R65" s="102">
        <v>0</v>
      </c>
      <c r="S65" s="102" t="s">
        <v>853</v>
      </c>
      <c r="T65" s="102">
        <v>0</v>
      </c>
      <c r="U65" s="102">
        <v>0</v>
      </c>
      <c r="V65" s="102">
        <v>4</v>
      </c>
      <c r="W65" s="102">
        <v>3</v>
      </c>
      <c r="X65" s="102">
        <v>0</v>
      </c>
      <c r="Y65" s="102">
        <v>0</v>
      </c>
      <c r="Z65" s="102">
        <v>0</v>
      </c>
      <c r="AA65" s="102">
        <v>43</v>
      </c>
      <c r="AB65" s="102">
        <v>0</v>
      </c>
      <c r="AC65" s="102">
        <v>1</v>
      </c>
      <c r="AD65" s="102">
        <v>0</v>
      </c>
      <c r="AE65" s="102">
        <v>0</v>
      </c>
      <c r="AF65" s="102">
        <v>1</v>
      </c>
      <c r="AG65" s="102">
        <v>2</v>
      </c>
      <c r="AH65" s="102"/>
      <c r="AI65" s="102"/>
      <c r="AJ65" s="102"/>
      <c r="AK65" s="102"/>
      <c r="AL65" s="102"/>
      <c r="AM65" s="102"/>
      <c r="AN65" s="102">
        <v>0</v>
      </c>
      <c r="AO65" s="102">
        <v>0</v>
      </c>
      <c r="AP65" s="102">
        <v>0</v>
      </c>
      <c r="AQ65" s="102">
        <v>0</v>
      </c>
      <c r="AR65" s="102">
        <v>0</v>
      </c>
      <c r="AS65" s="102" t="s">
        <v>853</v>
      </c>
      <c r="AT65" s="102">
        <v>1</v>
      </c>
      <c r="AU65" s="102" t="s">
        <v>911</v>
      </c>
      <c r="AV65" s="102">
        <v>0</v>
      </c>
      <c r="AW65" s="102">
        <v>1</v>
      </c>
      <c r="AX65" s="102" t="s">
        <v>1050</v>
      </c>
      <c r="AY65" s="102">
        <v>3</v>
      </c>
      <c r="AZ65" s="102">
        <v>4</v>
      </c>
      <c r="BA65" s="102">
        <v>1</v>
      </c>
      <c r="BB65" s="102">
        <v>0</v>
      </c>
      <c r="BC65" s="102">
        <v>0</v>
      </c>
      <c r="BD65" s="102">
        <v>0</v>
      </c>
      <c r="BE65" s="102">
        <v>0</v>
      </c>
      <c r="BF65" s="102">
        <v>0</v>
      </c>
      <c r="BG65" s="102">
        <v>0</v>
      </c>
      <c r="BH65" s="102">
        <v>0</v>
      </c>
      <c r="BI65" s="102">
        <v>0</v>
      </c>
      <c r="BJ65" s="102">
        <v>1</v>
      </c>
      <c r="BK65" s="102">
        <v>0</v>
      </c>
      <c r="BL65" s="102">
        <v>0</v>
      </c>
      <c r="BM65" s="102">
        <v>0</v>
      </c>
      <c r="BN65" s="102">
        <v>0</v>
      </c>
      <c r="BO65" s="102">
        <v>0</v>
      </c>
      <c r="BP65" s="102">
        <v>0</v>
      </c>
      <c r="BQ65" s="102">
        <v>0</v>
      </c>
      <c r="BR65" s="102">
        <v>0</v>
      </c>
      <c r="BS65" s="102">
        <v>0</v>
      </c>
      <c r="BT65" s="102">
        <v>0</v>
      </c>
      <c r="BU65" s="102"/>
      <c r="BV65" s="102">
        <v>0</v>
      </c>
      <c r="BW65" s="102">
        <v>0</v>
      </c>
      <c r="BX65" s="102">
        <v>0</v>
      </c>
      <c r="BY65" s="102">
        <v>0</v>
      </c>
      <c r="BZ65" s="102">
        <v>0</v>
      </c>
      <c r="CA65" s="102">
        <v>2</v>
      </c>
      <c r="CB65" s="102">
        <v>1</v>
      </c>
      <c r="CC65" s="102">
        <v>1</v>
      </c>
      <c r="CD65" s="102" t="s">
        <v>1288</v>
      </c>
      <c r="CE65" s="102">
        <v>0</v>
      </c>
      <c r="CF65" s="102">
        <v>0</v>
      </c>
      <c r="CG65" s="102">
        <v>0</v>
      </c>
      <c r="CH65" s="102">
        <v>0</v>
      </c>
      <c r="CI65" s="102">
        <v>1</v>
      </c>
      <c r="CJ65" s="102">
        <v>1</v>
      </c>
      <c r="CK65" s="102">
        <v>0</v>
      </c>
      <c r="CL65" s="102">
        <v>0</v>
      </c>
      <c r="CM65" s="102">
        <v>0</v>
      </c>
      <c r="CN65" s="102">
        <v>2</v>
      </c>
      <c r="CO65" s="102">
        <v>0</v>
      </c>
      <c r="CP65" s="102">
        <v>0</v>
      </c>
      <c r="CQ65" s="102">
        <v>0</v>
      </c>
      <c r="CR65" s="102">
        <v>0</v>
      </c>
      <c r="CS65" s="102">
        <v>0</v>
      </c>
      <c r="CT65" s="102" t="s">
        <v>853</v>
      </c>
      <c r="CU65" s="102">
        <v>0</v>
      </c>
      <c r="CV65" s="102">
        <v>0</v>
      </c>
      <c r="CW65" s="102">
        <v>0</v>
      </c>
      <c r="CX65" s="102">
        <v>0</v>
      </c>
      <c r="CY65" s="102">
        <v>3</v>
      </c>
      <c r="CZ65" s="102">
        <v>0</v>
      </c>
      <c r="DA65" s="102" t="s">
        <v>853</v>
      </c>
      <c r="DB65" s="102">
        <v>0</v>
      </c>
      <c r="DC65" s="102">
        <v>0</v>
      </c>
      <c r="DD65" s="102">
        <v>0</v>
      </c>
      <c r="DE65" s="102">
        <v>0</v>
      </c>
      <c r="DF65" s="102">
        <v>0</v>
      </c>
      <c r="DG65" s="102">
        <v>0</v>
      </c>
      <c r="DH65" s="102">
        <v>1</v>
      </c>
      <c r="DI65" s="102">
        <v>0</v>
      </c>
      <c r="DJ65" s="102">
        <v>0</v>
      </c>
      <c r="DK65" s="102">
        <v>0</v>
      </c>
      <c r="DL65" s="102">
        <v>0</v>
      </c>
      <c r="DM65" s="102">
        <v>0</v>
      </c>
      <c r="DN65" s="102">
        <v>0</v>
      </c>
      <c r="DO65" s="102">
        <v>0</v>
      </c>
      <c r="DP65" s="102">
        <v>0</v>
      </c>
      <c r="DQ65" s="102">
        <v>2</v>
      </c>
      <c r="DR65" s="102">
        <v>1</v>
      </c>
      <c r="DS65" s="102">
        <v>3</v>
      </c>
      <c r="DT65" s="105" t="s">
        <v>945</v>
      </c>
      <c r="DU65" s="102">
        <v>0</v>
      </c>
      <c r="DV65" s="102">
        <v>0</v>
      </c>
      <c r="DW65" s="102">
        <v>0</v>
      </c>
      <c r="DX65" s="102" t="s">
        <v>853</v>
      </c>
      <c r="DY65" s="102">
        <v>0</v>
      </c>
      <c r="DZ65" s="102">
        <v>0</v>
      </c>
      <c r="EA65" s="102" t="s">
        <v>853</v>
      </c>
      <c r="EB65" s="102">
        <v>1</v>
      </c>
      <c r="EC65" s="102">
        <v>0</v>
      </c>
      <c r="ED65" s="102">
        <v>0</v>
      </c>
      <c r="EE65" s="102">
        <v>0</v>
      </c>
      <c r="EF65" s="102">
        <v>1</v>
      </c>
      <c r="EG65" s="102">
        <v>0</v>
      </c>
      <c r="EH65" s="102" t="s">
        <v>853</v>
      </c>
      <c r="EI65" s="102">
        <v>2</v>
      </c>
      <c r="EJ65" s="102">
        <v>0</v>
      </c>
      <c r="EK65" s="102">
        <v>0</v>
      </c>
      <c r="EL65" s="102">
        <v>1</v>
      </c>
      <c r="EM65" s="102"/>
    </row>
    <row r="66" spans="1:143" ht="15.75" customHeight="1" x14ac:dyDescent="0.55000000000000004">
      <c r="A66" s="99">
        <v>64</v>
      </c>
      <c r="B66" s="102" t="s">
        <v>1289</v>
      </c>
      <c r="C66" s="102" t="s">
        <v>1290</v>
      </c>
      <c r="D66" s="103">
        <v>35767</v>
      </c>
      <c r="E66" s="102" t="s">
        <v>891</v>
      </c>
      <c r="F66" s="102">
        <v>3</v>
      </c>
      <c r="G66" s="102">
        <v>12</v>
      </c>
      <c r="H66" s="102">
        <v>1997</v>
      </c>
      <c r="I66" s="102" t="s">
        <v>1291</v>
      </c>
      <c r="J66" s="102" t="s">
        <v>1292</v>
      </c>
      <c r="K66" s="102" t="s">
        <v>1022</v>
      </c>
      <c r="L66" s="102">
        <v>9</v>
      </c>
      <c r="M66" s="102">
        <v>0</v>
      </c>
      <c r="N66" s="102">
        <v>1</v>
      </c>
      <c r="O66" s="106">
        <v>9</v>
      </c>
      <c r="P66" s="102">
        <v>1</v>
      </c>
      <c r="Q66" s="104">
        <v>1</v>
      </c>
      <c r="R66" s="102">
        <v>0</v>
      </c>
      <c r="S66" s="102" t="s">
        <v>853</v>
      </c>
      <c r="T66" s="102">
        <v>0</v>
      </c>
      <c r="U66" s="102">
        <v>0</v>
      </c>
      <c r="V66" s="102">
        <v>4</v>
      </c>
      <c r="W66" s="102">
        <v>0</v>
      </c>
      <c r="X66" s="102">
        <v>0</v>
      </c>
      <c r="Y66" s="102">
        <v>0</v>
      </c>
      <c r="Z66" s="102">
        <v>0</v>
      </c>
      <c r="AA66" s="102">
        <v>59</v>
      </c>
      <c r="AB66" s="102">
        <v>0</v>
      </c>
      <c r="AC66" s="102">
        <v>2</v>
      </c>
      <c r="AD66" s="102">
        <v>1</v>
      </c>
      <c r="AE66" s="102">
        <v>0</v>
      </c>
      <c r="AF66" s="102">
        <v>1</v>
      </c>
      <c r="AG66" s="102">
        <v>3</v>
      </c>
      <c r="AH66" s="102"/>
      <c r="AI66" s="102"/>
      <c r="AJ66" s="102"/>
      <c r="AK66" s="102"/>
      <c r="AL66" s="102"/>
      <c r="AM66" s="102"/>
      <c r="AN66" s="102">
        <v>2</v>
      </c>
      <c r="AO66" s="102">
        <v>1</v>
      </c>
      <c r="AP66" s="102">
        <v>1</v>
      </c>
      <c r="AQ66" s="102">
        <v>1</v>
      </c>
      <c r="AR66" s="102">
        <v>0</v>
      </c>
      <c r="AS66" s="102" t="s">
        <v>853</v>
      </c>
      <c r="AT66" s="102"/>
      <c r="AU66" s="102"/>
      <c r="AV66" s="102">
        <v>0</v>
      </c>
      <c r="AW66" s="102">
        <v>0</v>
      </c>
      <c r="AX66" s="102">
        <v>0</v>
      </c>
      <c r="AY66" s="102">
        <v>0</v>
      </c>
      <c r="AZ66" s="102">
        <v>0</v>
      </c>
      <c r="BA66" s="102">
        <v>0</v>
      </c>
      <c r="BB66" s="102">
        <v>0</v>
      </c>
      <c r="BC66" s="102">
        <v>0</v>
      </c>
      <c r="BD66" s="102">
        <v>0</v>
      </c>
      <c r="BE66" s="102">
        <v>0</v>
      </c>
      <c r="BF66" s="102">
        <v>0</v>
      </c>
      <c r="BG66" s="102">
        <v>0</v>
      </c>
      <c r="BH66" s="102">
        <v>0</v>
      </c>
      <c r="BI66" s="102">
        <v>0</v>
      </c>
      <c r="BJ66" s="102">
        <v>0</v>
      </c>
      <c r="BK66" s="102">
        <v>0</v>
      </c>
      <c r="BL66" s="102">
        <v>0</v>
      </c>
      <c r="BM66" s="102">
        <v>0</v>
      </c>
      <c r="BN66" s="102">
        <v>0</v>
      </c>
      <c r="BO66" s="102">
        <v>0</v>
      </c>
      <c r="BP66" s="102">
        <v>0</v>
      </c>
      <c r="BQ66" s="102">
        <v>0</v>
      </c>
      <c r="BR66" s="102">
        <v>0</v>
      </c>
      <c r="BS66" s="102">
        <v>0</v>
      </c>
      <c r="BT66" s="102">
        <v>0</v>
      </c>
      <c r="BU66" s="102"/>
      <c r="BV66" s="102">
        <v>0</v>
      </c>
      <c r="BW66" s="102">
        <v>0</v>
      </c>
      <c r="BX66" s="102">
        <v>0</v>
      </c>
      <c r="BY66" s="102">
        <v>0</v>
      </c>
      <c r="BZ66" s="102">
        <v>0</v>
      </c>
      <c r="CA66" s="102">
        <v>2</v>
      </c>
      <c r="CB66" s="102">
        <v>1</v>
      </c>
      <c r="CC66" s="102">
        <v>2</v>
      </c>
      <c r="CD66" s="102" t="s">
        <v>1293</v>
      </c>
      <c r="CE66" s="102">
        <v>0</v>
      </c>
      <c r="CF66" s="102">
        <v>0</v>
      </c>
      <c r="CG66" s="102">
        <v>0</v>
      </c>
      <c r="CH66" s="102">
        <v>0</v>
      </c>
      <c r="CI66" s="102">
        <v>1</v>
      </c>
      <c r="CJ66" s="102">
        <v>1</v>
      </c>
      <c r="CK66" s="102">
        <v>0</v>
      </c>
      <c r="CL66" s="102">
        <v>0</v>
      </c>
      <c r="CM66" s="102">
        <v>0</v>
      </c>
      <c r="CN66" s="102">
        <v>0</v>
      </c>
      <c r="CO66" s="102">
        <v>0</v>
      </c>
      <c r="CP66" s="102">
        <v>0</v>
      </c>
      <c r="CQ66" s="102">
        <v>0</v>
      </c>
      <c r="CR66" s="102">
        <v>0</v>
      </c>
      <c r="CS66" s="102">
        <v>0</v>
      </c>
      <c r="CT66" s="102" t="s">
        <v>853</v>
      </c>
      <c r="CU66" s="102">
        <v>0</v>
      </c>
      <c r="CV66" s="102">
        <v>0</v>
      </c>
      <c r="CW66" s="102">
        <v>0</v>
      </c>
      <c r="CX66" s="102">
        <v>0</v>
      </c>
      <c r="CY66" s="102">
        <v>0</v>
      </c>
      <c r="CZ66" s="102">
        <v>0</v>
      </c>
      <c r="DA66" s="102" t="s">
        <v>853</v>
      </c>
      <c r="DB66" s="102">
        <v>0</v>
      </c>
      <c r="DC66" s="102">
        <v>0</v>
      </c>
      <c r="DD66" s="102">
        <v>0</v>
      </c>
      <c r="DE66" s="102">
        <v>0</v>
      </c>
      <c r="DF66" s="102">
        <v>0</v>
      </c>
      <c r="DG66" s="102">
        <v>0</v>
      </c>
      <c r="DH66" s="102">
        <v>1</v>
      </c>
      <c r="DI66" s="102">
        <v>0</v>
      </c>
      <c r="DJ66" s="102">
        <v>0</v>
      </c>
      <c r="DK66" s="102">
        <v>0</v>
      </c>
      <c r="DL66" s="102">
        <v>1</v>
      </c>
      <c r="DM66" s="102">
        <v>0</v>
      </c>
      <c r="DN66" s="102">
        <v>0</v>
      </c>
      <c r="DO66" s="102">
        <v>0</v>
      </c>
      <c r="DP66" s="102">
        <v>0</v>
      </c>
      <c r="DQ66" s="102">
        <v>2</v>
      </c>
      <c r="DR66" s="102">
        <v>1</v>
      </c>
      <c r="DS66" s="102">
        <v>0</v>
      </c>
      <c r="DT66" s="105" t="s">
        <v>1080</v>
      </c>
      <c r="DU66" s="102">
        <v>0</v>
      </c>
      <c r="DV66" s="102">
        <v>0</v>
      </c>
      <c r="DW66" s="102">
        <v>0</v>
      </c>
      <c r="DX66" s="102" t="s">
        <v>853</v>
      </c>
      <c r="DY66" s="102">
        <v>0</v>
      </c>
      <c r="DZ66" s="102">
        <v>0</v>
      </c>
      <c r="EA66" s="102" t="s">
        <v>853</v>
      </c>
      <c r="EB66" s="102">
        <v>1</v>
      </c>
      <c r="EC66" s="102">
        <v>0</v>
      </c>
      <c r="ED66" s="102">
        <v>0</v>
      </c>
      <c r="EE66" s="102">
        <v>1</v>
      </c>
      <c r="EF66" s="102">
        <v>2</v>
      </c>
      <c r="EG66" s="102">
        <v>0</v>
      </c>
      <c r="EH66" s="102" t="s">
        <v>853</v>
      </c>
      <c r="EI66" s="102">
        <v>2</v>
      </c>
      <c r="EJ66" s="102">
        <v>1</v>
      </c>
      <c r="EK66" s="102">
        <v>0</v>
      </c>
      <c r="EL66" s="102">
        <v>1</v>
      </c>
      <c r="EM66" s="102"/>
    </row>
    <row r="67" spans="1:143" ht="15.75" customHeight="1" x14ac:dyDescent="0.55000000000000004">
      <c r="A67" s="99">
        <v>65</v>
      </c>
      <c r="B67" s="102" t="s">
        <v>1294</v>
      </c>
      <c r="C67" s="102" t="s">
        <v>1295</v>
      </c>
      <c r="D67" s="103">
        <v>35782</v>
      </c>
      <c r="E67" s="102" t="s">
        <v>995</v>
      </c>
      <c r="F67" s="102">
        <v>18</v>
      </c>
      <c r="G67" s="102">
        <v>12</v>
      </c>
      <c r="H67" s="102">
        <v>1997</v>
      </c>
      <c r="I67" s="102" t="s">
        <v>1296</v>
      </c>
      <c r="J67" s="102" t="s">
        <v>1297</v>
      </c>
      <c r="K67" s="102" t="s">
        <v>930</v>
      </c>
      <c r="L67" s="102">
        <v>5</v>
      </c>
      <c r="M67" s="102">
        <v>3</v>
      </c>
      <c r="N67" s="102">
        <v>1</v>
      </c>
      <c r="O67" s="106">
        <v>9</v>
      </c>
      <c r="P67" s="102">
        <v>1</v>
      </c>
      <c r="Q67" s="104">
        <v>1</v>
      </c>
      <c r="R67" s="102">
        <v>0</v>
      </c>
      <c r="S67" s="102" t="s">
        <v>853</v>
      </c>
      <c r="T67" s="102">
        <v>0</v>
      </c>
      <c r="U67" s="102">
        <v>0</v>
      </c>
      <c r="V67" s="102">
        <v>4</v>
      </c>
      <c r="W67" s="102">
        <v>3</v>
      </c>
      <c r="X67" s="102">
        <v>0</v>
      </c>
      <c r="Y67" s="102">
        <v>0</v>
      </c>
      <c r="Z67" s="102">
        <v>0</v>
      </c>
      <c r="AA67" s="102">
        <v>41</v>
      </c>
      <c r="AB67" s="102">
        <v>0</v>
      </c>
      <c r="AC67" s="102">
        <v>2</v>
      </c>
      <c r="AD67" s="102">
        <v>1</v>
      </c>
      <c r="AE67" s="102">
        <v>0</v>
      </c>
      <c r="AF67" s="102"/>
      <c r="AG67" s="102">
        <v>1</v>
      </c>
      <c r="AH67" s="102"/>
      <c r="AI67" s="102"/>
      <c r="AJ67" s="102">
        <v>2</v>
      </c>
      <c r="AK67" s="102">
        <v>5</v>
      </c>
      <c r="AL67" s="102">
        <v>1</v>
      </c>
      <c r="AM67" s="102">
        <v>4</v>
      </c>
      <c r="AN67" s="102">
        <v>2</v>
      </c>
      <c r="AO67" s="102">
        <v>0</v>
      </c>
      <c r="AP67" s="102">
        <v>0</v>
      </c>
      <c r="AQ67" s="102">
        <v>0</v>
      </c>
      <c r="AR67" s="102">
        <v>1</v>
      </c>
      <c r="AS67" s="102">
        <v>0</v>
      </c>
      <c r="AT67" s="102">
        <v>1</v>
      </c>
      <c r="AU67" s="102" t="s">
        <v>1298</v>
      </c>
      <c r="AV67" s="102">
        <v>0</v>
      </c>
      <c r="AW67" s="102">
        <v>0</v>
      </c>
      <c r="AX67" s="102">
        <v>0</v>
      </c>
      <c r="AY67" s="102">
        <v>3</v>
      </c>
      <c r="AZ67" s="102">
        <v>1</v>
      </c>
      <c r="BA67" s="102">
        <v>0</v>
      </c>
      <c r="BB67" s="102">
        <v>0</v>
      </c>
      <c r="BC67" s="102">
        <v>0</v>
      </c>
      <c r="BD67" s="102">
        <v>0</v>
      </c>
      <c r="BE67" s="102">
        <v>0</v>
      </c>
      <c r="BF67" s="102">
        <v>0</v>
      </c>
      <c r="BG67" s="102">
        <v>0</v>
      </c>
      <c r="BH67" s="102">
        <v>0</v>
      </c>
      <c r="BI67" s="102">
        <v>0</v>
      </c>
      <c r="BJ67" s="102">
        <v>0</v>
      </c>
      <c r="BK67" s="102">
        <v>0</v>
      </c>
      <c r="BL67" s="102">
        <v>0</v>
      </c>
      <c r="BM67" s="102">
        <v>0</v>
      </c>
      <c r="BN67" s="102">
        <v>0</v>
      </c>
      <c r="BO67" s="102">
        <v>0</v>
      </c>
      <c r="BP67" s="102">
        <v>0</v>
      </c>
      <c r="BQ67" s="102">
        <v>0</v>
      </c>
      <c r="BR67" s="102">
        <v>0</v>
      </c>
      <c r="BS67" s="102">
        <v>0</v>
      </c>
      <c r="BT67" s="102">
        <v>0</v>
      </c>
      <c r="BU67" s="102">
        <v>0</v>
      </c>
      <c r="BV67" s="102">
        <v>0</v>
      </c>
      <c r="BW67" s="102">
        <v>0</v>
      </c>
      <c r="BX67" s="102">
        <v>0</v>
      </c>
      <c r="BY67" s="102">
        <v>0</v>
      </c>
      <c r="BZ67" s="102">
        <v>0</v>
      </c>
      <c r="CA67" s="102">
        <v>2</v>
      </c>
      <c r="CB67" s="102">
        <v>1</v>
      </c>
      <c r="CC67" s="102">
        <v>2</v>
      </c>
      <c r="CD67" s="102" t="s">
        <v>1299</v>
      </c>
      <c r="CE67" s="102">
        <v>0</v>
      </c>
      <c r="CF67" s="102">
        <v>1</v>
      </c>
      <c r="CG67" s="102">
        <v>0</v>
      </c>
      <c r="CH67" s="102">
        <v>0</v>
      </c>
      <c r="CI67" s="102">
        <v>1</v>
      </c>
      <c r="CJ67" s="102">
        <v>1</v>
      </c>
      <c r="CK67" s="102">
        <v>0</v>
      </c>
      <c r="CL67" s="102">
        <v>0</v>
      </c>
      <c r="CM67" s="102">
        <v>0</v>
      </c>
      <c r="CN67" s="102">
        <v>2</v>
      </c>
      <c r="CO67" s="102">
        <v>0</v>
      </c>
      <c r="CP67" s="102">
        <v>0</v>
      </c>
      <c r="CQ67" s="102">
        <v>0</v>
      </c>
      <c r="CR67" s="102">
        <v>0</v>
      </c>
      <c r="CS67" s="102">
        <v>0</v>
      </c>
      <c r="CT67" s="102" t="s">
        <v>853</v>
      </c>
      <c r="CU67" s="102">
        <v>0</v>
      </c>
      <c r="CV67" s="102">
        <v>0</v>
      </c>
      <c r="CW67" s="102">
        <v>0</v>
      </c>
      <c r="CX67" s="102">
        <v>0</v>
      </c>
      <c r="CY67" s="102">
        <v>0</v>
      </c>
      <c r="CZ67" s="102">
        <v>1</v>
      </c>
      <c r="DA67" s="102" t="s">
        <v>1300</v>
      </c>
      <c r="DB67" s="102">
        <v>0</v>
      </c>
      <c r="DC67" s="102">
        <v>0</v>
      </c>
      <c r="DD67" s="102">
        <v>0</v>
      </c>
      <c r="DE67" s="102">
        <v>0</v>
      </c>
      <c r="DF67" s="102">
        <v>0</v>
      </c>
      <c r="DG67" s="102">
        <v>0</v>
      </c>
      <c r="DH67" s="102">
        <v>1</v>
      </c>
      <c r="DI67" s="102">
        <v>0</v>
      </c>
      <c r="DJ67" s="102">
        <v>1</v>
      </c>
      <c r="DK67" s="102">
        <v>0</v>
      </c>
      <c r="DL67" s="102">
        <v>0</v>
      </c>
      <c r="DM67" s="102">
        <v>0</v>
      </c>
      <c r="DN67" s="102">
        <v>0</v>
      </c>
      <c r="DO67" s="102">
        <v>0</v>
      </c>
      <c r="DP67" s="102">
        <v>0</v>
      </c>
      <c r="DQ67" s="102">
        <v>2</v>
      </c>
      <c r="DR67" s="102">
        <v>0</v>
      </c>
      <c r="DS67" s="102" t="s">
        <v>853</v>
      </c>
      <c r="DT67" s="105" t="s">
        <v>853</v>
      </c>
      <c r="DU67" s="102" t="s">
        <v>853</v>
      </c>
      <c r="DV67" s="102">
        <v>0</v>
      </c>
      <c r="DW67" s="102">
        <v>0</v>
      </c>
      <c r="DX67" s="102" t="s">
        <v>853</v>
      </c>
      <c r="DY67" s="102">
        <v>0</v>
      </c>
      <c r="DZ67" s="102">
        <v>0</v>
      </c>
      <c r="EA67" s="102" t="s">
        <v>853</v>
      </c>
      <c r="EB67" s="102">
        <v>0</v>
      </c>
      <c r="EC67" s="102">
        <v>0</v>
      </c>
      <c r="ED67" s="102">
        <v>0</v>
      </c>
      <c r="EE67" s="102">
        <v>3</v>
      </c>
      <c r="EF67" s="102">
        <v>3</v>
      </c>
      <c r="EG67" s="102">
        <v>0</v>
      </c>
      <c r="EH67" s="102" t="s">
        <v>853</v>
      </c>
      <c r="EI67" s="102">
        <v>1</v>
      </c>
      <c r="EJ67" s="102">
        <v>0</v>
      </c>
      <c r="EK67" s="102">
        <v>2</v>
      </c>
      <c r="EL67" s="102">
        <v>0</v>
      </c>
      <c r="EM67" s="102"/>
    </row>
    <row r="68" spans="1:143" ht="15.75" customHeight="1" x14ac:dyDescent="0.55000000000000004">
      <c r="A68" s="99">
        <v>66</v>
      </c>
      <c r="B68" s="102" t="s">
        <v>1301</v>
      </c>
      <c r="C68" s="102" t="s">
        <v>1302</v>
      </c>
      <c r="D68" s="103">
        <v>35860</v>
      </c>
      <c r="E68" s="102" t="s">
        <v>959</v>
      </c>
      <c r="F68" s="102">
        <v>6</v>
      </c>
      <c r="G68" s="102">
        <v>3</v>
      </c>
      <c r="H68" s="102">
        <v>1998</v>
      </c>
      <c r="I68" s="102" t="s">
        <v>1303</v>
      </c>
      <c r="J68" s="102" t="s">
        <v>1304</v>
      </c>
      <c r="K68" s="102" t="s">
        <v>1305</v>
      </c>
      <c r="L68" s="102">
        <v>7</v>
      </c>
      <c r="M68" s="102">
        <v>2</v>
      </c>
      <c r="N68" s="102">
        <v>1</v>
      </c>
      <c r="O68" s="107">
        <v>6</v>
      </c>
      <c r="P68" s="102">
        <v>1</v>
      </c>
      <c r="Q68" s="104">
        <v>1</v>
      </c>
      <c r="R68" s="102">
        <v>0</v>
      </c>
      <c r="S68" s="102" t="s">
        <v>853</v>
      </c>
      <c r="T68" s="102">
        <v>0</v>
      </c>
      <c r="U68" s="102">
        <v>0</v>
      </c>
      <c r="V68" s="102">
        <v>4</v>
      </c>
      <c r="W68" s="102">
        <v>0</v>
      </c>
      <c r="X68" s="102">
        <v>0</v>
      </c>
      <c r="Y68" s="102">
        <v>0</v>
      </c>
      <c r="Z68" s="102">
        <v>0</v>
      </c>
      <c r="AA68" s="102">
        <v>35</v>
      </c>
      <c r="AB68" s="102">
        <v>0</v>
      </c>
      <c r="AC68" s="102">
        <v>0</v>
      </c>
      <c r="AD68" s="102">
        <v>0</v>
      </c>
      <c r="AE68" s="102">
        <v>0</v>
      </c>
      <c r="AF68" s="102"/>
      <c r="AG68" s="102">
        <v>3</v>
      </c>
      <c r="AH68" s="102">
        <v>2</v>
      </c>
      <c r="AI68" s="102" t="s">
        <v>1306</v>
      </c>
      <c r="AJ68" s="102">
        <v>3</v>
      </c>
      <c r="AK68" s="102">
        <v>3</v>
      </c>
      <c r="AL68" s="102">
        <v>3</v>
      </c>
      <c r="AM68" s="102">
        <v>0</v>
      </c>
      <c r="AN68" s="102">
        <v>0</v>
      </c>
      <c r="AO68" s="102">
        <v>0</v>
      </c>
      <c r="AP68" s="102">
        <v>1</v>
      </c>
      <c r="AQ68" s="102">
        <v>1</v>
      </c>
      <c r="AR68" s="102">
        <v>0</v>
      </c>
      <c r="AS68" s="102" t="s">
        <v>853</v>
      </c>
      <c r="AT68" s="102">
        <v>0</v>
      </c>
      <c r="AU68" s="102"/>
      <c r="AV68" s="102">
        <v>1</v>
      </c>
      <c r="AW68" s="102">
        <v>0</v>
      </c>
      <c r="AX68" s="102">
        <v>0</v>
      </c>
      <c r="AY68" s="102">
        <v>0</v>
      </c>
      <c r="AZ68" s="102">
        <v>0</v>
      </c>
      <c r="BA68" s="102">
        <v>0</v>
      </c>
      <c r="BB68" s="102">
        <v>0</v>
      </c>
      <c r="BC68" s="102">
        <v>0</v>
      </c>
      <c r="BD68" s="102">
        <v>0</v>
      </c>
      <c r="BE68" s="102">
        <v>0</v>
      </c>
      <c r="BF68" s="102">
        <v>0</v>
      </c>
      <c r="BG68" s="102">
        <v>0</v>
      </c>
      <c r="BH68" s="102">
        <v>0</v>
      </c>
      <c r="BI68" s="102">
        <v>0</v>
      </c>
      <c r="BJ68" s="102">
        <v>0</v>
      </c>
      <c r="BK68" s="102">
        <v>0</v>
      </c>
      <c r="BL68" s="102">
        <v>0</v>
      </c>
      <c r="BM68" s="102">
        <v>0</v>
      </c>
      <c r="BN68" s="102">
        <v>0</v>
      </c>
      <c r="BO68" s="102">
        <v>0</v>
      </c>
      <c r="BP68" s="102">
        <v>0</v>
      </c>
      <c r="BQ68" s="102">
        <v>0</v>
      </c>
      <c r="BR68" s="102">
        <v>0</v>
      </c>
      <c r="BS68" s="102">
        <v>0</v>
      </c>
      <c r="BT68" s="102">
        <v>0</v>
      </c>
      <c r="BU68" s="102">
        <v>1</v>
      </c>
      <c r="BV68" s="102">
        <v>0</v>
      </c>
      <c r="BW68" s="102">
        <v>0</v>
      </c>
      <c r="BX68" s="102">
        <v>0</v>
      </c>
      <c r="BY68" s="102">
        <v>0</v>
      </c>
      <c r="BZ68" s="102">
        <v>0</v>
      </c>
      <c r="CA68" s="102" t="s">
        <v>937</v>
      </c>
      <c r="CB68" s="102">
        <v>1</v>
      </c>
      <c r="CC68" s="102">
        <v>2</v>
      </c>
      <c r="CD68" s="102" t="s">
        <v>1307</v>
      </c>
      <c r="CE68" s="102">
        <v>1</v>
      </c>
      <c r="CF68" s="102">
        <v>1</v>
      </c>
      <c r="CG68" s="102">
        <v>0</v>
      </c>
      <c r="CH68" s="102">
        <v>0</v>
      </c>
      <c r="CI68" s="102">
        <v>1</v>
      </c>
      <c r="CJ68" s="102">
        <v>0</v>
      </c>
      <c r="CK68" s="102">
        <v>1</v>
      </c>
      <c r="CL68" s="102">
        <v>0</v>
      </c>
      <c r="CM68" s="102">
        <v>0</v>
      </c>
      <c r="CN68" s="102">
        <v>1</v>
      </c>
      <c r="CO68" s="102">
        <v>1</v>
      </c>
      <c r="CP68" s="102">
        <v>2</v>
      </c>
      <c r="CQ68" s="102">
        <v>1</v>
      </c>
      <c r="CR68" s="102">
        <v>1</v>
      </c>
      <c r="CS68" s="102">
        <v>1</v>
      </c>
      <c r="CT68" s="102" t="s">
        <v>1308</v>
      </c>
      <c r="CU68" s="102">
        <v>1</v>
      </c>
      <c r="CV68" s="102">
        <v>1</v>
      </c>
      <c r="CW68" s="102">
        <v>0</v>
      </c>
      <c r="CX68" s="102">
        <v>0</v>
      </c>
      <c r="CY68" s="102">
        <v>1</v>
      </c>
      <c r="CZ68" s="102">
        <v>1</v>
      </c>
      <c r="DA68" s="102" t="s">
        <v>1309</v>
      </c>
      <c r="DB68" s="102">
        <v>0</v>
      </c>
      <c r="DC68" s="102">
        <v>0</v>
      </c>
      <c r="DD68" s="102">
        <v>0</v>
      </c>
      <c r="DE68" s="102">
        <v>0</v>
      </c>
      <c r="DF68" s="102">
        <v>0</v>
      </c>
      <c r="DG68" s="102">
        <v>0</v>
      </c>
      <c r="DH68" s="102">
        <v>1</v>
      </c>
      <c r="DI68" s="102">
        <v>0</v>
      </c>
      <c r="DJ68" s="102">
        <v>0</v>
      </c>
      <c r="DK68" s="102">
        <v>0</v>
      </c>
      <c r="DL68" s="102">
        <v>0</v>
      </c>
      <c r="DM68" s="102">
        <v>0</v>
      </c>
      <c r="DN68" s="102">
        <v>0</v>
      </c>
      <c r="DO68" s="102">
        <v>0</v>
      </c>
      <c r="DP68" s="102">
        <v>0</v>
      </c>
      <c r="DQ68" s="102">
        <v>2</v>
      </c>
      <c r="DR68" s="102">
        <v>0</v>
      </c>
      <c r="DS68" s="102" t="s">
        <v>853</v>
      </c>
      <c r="DT68" s="105" t="s">
        <v>853</v>
      </c>
      <c r="DU68" s="102" t="s">
        <v>853</v>
      </c>
      <c r="DV68" s="102">
        <v>0</v>
      </c>
      <c r="DW68" s="102">
        <v>0</v>
      </c>
      <c r="DX68" s="102" t="s">
        <v>853</v>
      </c>
      <c r="DY68" s="102">
        <v>0</v>
      </c>
      <c r="DZ68" s="102">
        <v>0</v>
      </c>
      <c r="EA68" s="102" t="s">
        <v>853</v>
      </c>
      <c r="EB68" s="102">
        <v>0</v>
      </c>
      <c r="EC68" s="102">
        <v>0</v>
      </c>
      <c r="ED68" s="102">
        <v>1</v>
      </c>
      <c r="EE68" s="102">
        <v>2</v>
      </c>
      <c r="EF68" s="102">
        <v>1</v>
      </c>
      <c r="EG68" s="102">
        <v>1</v>
      </c>
      <c r="EH68" s="102" t="s">
        <v>1310</v>
      </c>
      <c r="EI68" s="102">
        <v>0</v>
      </c>
      <c r="EJ68" s="102">
        <v>0</v>
      </c>
      <c r="EK68" s="102">
        <v>2</v>
      </c>
      <c r="EL68" s="102">
        <v>0</v>
      </c>
      <c r="EM68" s="102"/>
    </row>
    <row r="69" spans="1:143" ht="15.75" customHeight="1" x14ac:dyDescent="0.55000000000000004">
      <c r="A69" s="99">
        <v>67</v>
      </c>
      <c r="B69" s="102" t="s">
        <v>1311</v>
      </c>
      <c r="C69" s="102" t="s">
        <v>1312</v>
      </c>
      <c r="D69" s="103">
        <v>35878</v>
      </c>
      <c r="E69" s="102" t="s">
        <v>1032</v>
      </c>
      <c r="F69" s="102">
        <v>24</v>
      </c>
      <c r="G69" s="102">
        <v>3</v>
      </c>
      <c r="H69" s="102">
        <v>1998</v>
      </c>
      <c r="I69" s="102" t="s">
        <v>1313</v>
      </c>
      <c r="J69" s="102" t="s">
        <v>1314</v>
      </c>
      <c r="K69" s="102" t="s">
        <v>1072</v>
      </c>
      <c r="L69" s="102">
        <v>4</v>
      </c>
      <c r="M69" s="102">
        <v>0</v>
      </c>
      <c r="N69" s="102">
        <v>2</v>
      </c>
      <c r="O69" s="102">
        <v>0</v>
      </c>
      <c r="P69" s="102">
        <v>1</v>
      </c>
      <c r="Q69" s="104">
        <v>0</v>
      </c>
      <c r="R69" s="102">
        <v>0</v>
      </c>
      <c r="S69" s="102" t="s">
        <v>853</v>
      </c>
      <c r="T69" s="102">
        <v>0</v>
      </c>
      <c r="U69" s="102">
        <v>0</v>
      </c>
      <c r="V69" s="102">
        <v>5</v>
      </c>
      <c r="W69" s="102">
        <v>10</v>
      </c>
      <c r="X69" s="102">
        <v>0</v>
      </c>
      <c r="Y69" s="102">
        <v>0</v>
      </c>
      <c r="Z69" s="102">
        <v>0</v>
      </c>
      <c r="AA69" s="102">
        <v>11</v>
      </c>
      <c r="AB69" s="102">
        <v>0</v>
      </c>
      <c r="AC69" s="102">
        <v>0</v>
      </c>
      <c r="AD69" s="102">
        <v>0</v>
      </c>
      <c r="AE69" s="102">
        <v>0</v>
      </c>
      <c r="AF69" s="102"/>
      <c r="AG69" s="102">
        <v>0</v>
      </c>
      <c r="AH69" s="102">
        <v>1</v>
      </c>
      <c r="AI69" s="102" t="s">
        <v>1315</v>
      </c>
      <c r="AJ69" s="102">
        <v>3</v>
      </c>
      <c r="AK69" s="102">
        <v>2</v>
      </c>
      <c r="AL69" s="102">
        <v>2</v>
      </c>
      <c r="AM69" s="102">
        <v>0</v>
      </c>
      <c r="AN69" s="102">
        <v>0</v>
      </c>
      <c r="AO69" s="102">
        <v>0</v>
      </c>
      <c r="AP69" s="102">
        <v>0</v>
      </c>
      <c r="AQ69" s="102"/>
      <c r="AR69" s="102">
        <v>0</v>
      </c>
      <c r="AS69" s="102" t="s">
        <v>853</v>
      </c>
      <c r="AT69" s="102">
        <v>1</v>
      </c>
      <c r="AU69" s="102" t="s">
        <v>1316</v>
      </c>
      <c r="AV69" s="102">
        <v>0</v>
      </c>
      <c r="AW69" s="102">
        <v>0</v>
      </c>
      <c r="AX69" s="102">
        <v>0</v>
      </c>
      <c r="AY69" s="102">
        <v>0</v>
      </c>
      <c r="AZ69" s="102">
        <v>0</v>
      </c>
      <c r="BA69" s="102">
        <v>1</v>
      </c>
      <c r="BB69" s="102">
        <v>1</v>
      </c>
      <c r="BC69" s="102">
        <v>0</v>
      </c>
      <c r="BD69" s="102">
        <v>0</v>
      </c>
      <c r="BE69" s="102">
        <v>0</v>
      </c>
      <c r="BF69" s="102">
        <v>0</v>
      </c>
      <c r="BG69" s="102">
        <v>0</v>
      </c>
      <c r="BH69" s="102">
        <v>0</v>
      </c>
      <c r="BI69" s="102">
        <v>1</v>
      </c>
      <c r="BJ69" s="102">
        <v>1</v>
      </c>
      <c r="BK69" s="102">
        <v>0</v>
      </c>
      <c r="BL69" s="102">
        <v>0</v>
      </c>
      <c r="BM69" s="102">
        <v>0</v>
      </c>
      <c r="BN69" s="102">
        <v>0</v>
      </c>
      <c r="BO69" s="102">
        <v>0</v>
      </c>
      <c r="BP69" s="102">
        <v>0</v>
      </c>
      <c r="BQ69" s="102">
        <v>0</v>
      </c>
      <c r="BR69" s="102">
        <v>0</v>
      </c>
      <c r="BS69" s="102">
        <v>0</v>
      </c>
      <c r="BT69" s="102">
        <v>0</v>
      </c>
      <c r="BU69" s="102">
        <v>1</v>
      </c>
      <c r="BV69" s="102">
        <v>0</v>
      </c>
      <c r="BW69" s="102">
        <v>0</v>
      </c>
      <c r="BX69" s="102">
        <v>0</v>
      </c>
      <c r="BY69" s="102">
        <v>0</v>
      </c>
      <c r="BZ69" s="102">
        <v>0</v>
      </c>
      <c r="CA69" s="102">
        <v>0</v>
      </c>
      <c r="CB69" s="102">
        <v>0</v>
      </c>
      <c r="CC69" s="102" t="s">
        <v>853</v>
      </c>
      <c r="CD69" s="102"/>
      <c r="CE69" s="102">
        <v>0</v>
      </c>
      <c r="CF69" s="102">
        <v>0</v>
      </c>
      <c r="CG69" s="102">
        <v>0</v>
      </c>
      <c r="CH69" s="102">
        <v>0</v>
      </c>
      <c r="CI69" s="102">
        <v>0</v>
      </c>
      <c r="CJ69" s="102">
        <v>0</v>
      </c>
      <c r="CK69" s="102">
        <v>0</v>
      </c>
      <c r="CL69" s="102">
        <v>0</v>
      </c>
      <c r="CM69" s="102">
        <v>0</v>
      </c>
      <c r="CN69" s="102">
        <v>0</v>
      </c>
      <c r="CO69" s="102">
        <v>0</v>
      </c>
      <c r="CP69" s="102">
        <v>0</v>
      </c>
      <c r="CQ69" s="102">
        <v>0</v>
      </c>
      <c r="CR69" s="102">
        <v>0</v>
      </c>
      <c r="CS69" s="102">
        <v>0</v>
      </c>
      <c r="CT69" s="102" t="s">
        <v>853</v>
      </c>
      <c r="CU69" s="102">
        <v>0</v>
      </c>
      <c r="CV69" s="102">
        <v>0</v>
      </c>
      <c r="CW69" s="102">
        <v>0</v>
      </c>
      <c r="CX69" s="102">
        <v>0</v>
      </c>
      <c r="CY69" s="102">
        <v>2</v>
      </c>
      <c r="CZ69" s="102">
        <v>0</v>
      </c>
      <c r="DA69" s="102" t="s">
        <v>853</v>
      </c>
      <c r="DB69" s="102">
        <v>0</v>
      </c>
      <c r="DC69" s="102">
        <v>0</v>
      </c>
      <c r="DD69" s="102">
        <v>0</v>
      </c>
      <c r="DE69" s="102">
        <v>0</v>
      </c>
      <c r="DF69" s="102">
        <v>0</v>
      </c>
      <c r="DG69" s="102">
        <v>0</v>
      </c>
      <c r="DH69" s="102">
        <v>0</v>
      </c>
      <c r="DI69" s="102">
        <v>0</v>
      </c>
      <c r="DJ69" s="102">
        <v>0</v>
      </c>
      <c r="DK69" s="102">
        <v>0</v>
      </c>
      <c r="DL69" s="102">
        <v>0</v>
      </c>
      <c r="DM69" s="102">
        <v>0</v>
      </c>
      <c r="DN69" s="102">
        <v>1</v>
      </c>
      <c r="DO69" s="102">
        <v>0</v>
      </c>
      <c r="DP69" s="102">
        <v>0</v>
      </c>
      <c r="DQ69" s="102">
        <v>2</v>
      </c>
      <c r="DR69" s="102">
        <v>1</v>
      </c>
      <c r="DS69" s="102">
        <v>0</v>
      </c>
      <c r="DT69" s="105" t="s">
        <v>1317</v>
      </c>
      <c r="DU69" s="102">
        <v>1</v>
      </c>
      <c r="DV69" s="102">
        <v>0</v>
      </c>
      <c r="DW69" s="102">
        <v>0</v>
      </c>
      <c r="DX69" s="102" t="s">
        <v>853</v>
      </c>
      <c r="DY69" s="102">
        <v>0</v>
      </c>
      <c r="DZ69" s="102">
        <v>0</v>
      </c>
      <c r="EA69" s="102" t="s">
        <v>853</v>
      </c>
      <c r="EB69" s="102">
        <v>1</v>
      </c>
      <c r="EC69" s="102">
        <v>0</v>
      </c>
      <c r="ED69" s="102">
        <v>1</v>
      </c>
      <c r="EE69" s="102">
        <v>3</v>
      </c>
      <c r="EF69" s="102">
        <v>10</v>
      </c>
      <c r="EG69" s="102">
        <v>1</v>
      </c>
      <c r="EH69" s="102" t="s">
        <v>1318</v>
      </c>
      <c r="EI69" s="102">
        <v>2</v>
      </c>
      <c r="EJ69" s="102">
        <v>1</v>
      </c>
      <c r="EK69" s="102">
        <v>1</v>
      </c>
      <c r="EL69" s="102">
        <v>5</v>
      </c>
      <c r="EM69" s="102"/>
    </row>
    <row r="70" spans="1:143" ht="15.75" customHeight="1" x14ac:dyDescent="0.55000000000000004">
      <c r="A70" s="99">
        <v>68</v>
      </c>
      <c r="B70" s="102" t="s">
        <v>1319</v>
      </c>
      <c r="C70" s="102" t="s">
        <v>1320</v>
      </c>
      <c r="D70" s="103">
        <v>35878</v>
      </c>
      <c r="E70" s="102" t="s">
        <v>1032</v>
      </c>
      <c r="F70" s="102">
        <v>24</v>
      </c>
      <c r="G70" s="102">
        <v>3</v>
      </c>
      <c r="H70" s="102">
        <v>1998</v>
      </c>
      <c r="I70" s="102" t="s">
        <v>1313</v>
      </c>
      <c r="J70" s="102" t="s">
        <v>1321</v>
      </c>
      <c r="K70" s="102" t="s">
        <v>1072</v>
      </c>
      <c r="L70" s="102">
        <v>4</v>
      </c>
      <c r="M70" s="102">
        <v>0</v>
      </c>
      <c r="N70" s="102">
        <v>2</v>
      </c>
      <c r="O70" s="102">
        <v>0</v>
      </c>
      <c r="P70" s="102">
        <v>1</v>
      </c>
      <c r="Q70" s="104">
        <v>0</v>
      </c>
      <c r="R70" s="102">
        <v>0</v>
      </c>
      <c r="S70" s="102" t="s">
        <v>853</v>
      </c>
      <c r="T70" s="102">
        <v>0</v>
      </c>
      <c r="U70" s="102">
        <v>0</v>
      </c>
      <c r="V70" s="102">
        <v>5</v>
      </c>
      <c r="W70" s="102">
        <v>10</v>
      </c>
      <c r="X70" s="102">
        <v>0</v>
      </c>
      <c r="Y70" s="102">
        <v>0</v>
      </c>
      <c r="Z70" s="102">
        <v>0</v>
      </c>
      <c r="AA70" s="102">
        <v>13</v>
      </c>
      <c r="AB70" s="102">
        <v>0</v>
      </c>
      <c r="AC70" s="102">
        <v>0</v>
      </c>
      <c r="AD70" s="102">
        <v>0</v>
      </c>
      <c r="AE70" s="102">
        <v>0</v>
      </c>
      <c r="AF70" s="102">
        <v>1</v>
      </c>
      <c r="AG70" s="102">
        <v>0</v>
      </c>
      <c r="AH70" s="102">
        <v>2</v>
      </c>
      <c r="AI70" s="102" t="s">
        <v>1322</v>
      </c>
      <c r="AJ70" s="102">
        <v>1</v>
      </c>
      <c r="AK70" s="102">
        <v>2</v>
      </c>
      <c r="AL70" s="102">
        <v>0</v>
      </c>
      <c r="AM70" s="102">
        <v>2</v>
      </c>
      <c r="AN70" s="102">
        <v>0</v>
      </c>
      <c r="AO70" s="102">
        <v>0</v>
      </c>
      <c r="AP70" s="102">
        <v>0</v>
      </c>
      <c r="AQ70" s="102"/>
      <c r="AR70" s="102">
        <v>0</v>
      </c>
      <c r="AS70" s="102" t="s">
        <v>853</v>
      </c>
      <c r="AT70" s="102">
        <v>2</v>
      </c>
      <c r="AU70" s="102" t="s">
        <v>1323</v>
      </c>
      <c r="AV70" s="102">
        <v>0</v>
      </c>
      <c r="AW70" s="102">
        <v>1</v>
      </c>
      <c r="AX70" s="102">
        <v>0</v>
      </c>
      <c r="AY70" s="102">
        <v>6</v>
      </c>
      <c r="AZ70" s="102">
        <v>4</v>
      </c>
      <c r="BA70" s="102">
        <v>1</v>
      </c>
      <c r="BB70" s="102">
        <v>0</v>
      </c>
      <c r="BC70" s="102">
        <v>0</v>
      </c>
      <c r="BD70" s="102">
        <v>0</v>
      </c>
      <c r="BE70" s="102">
        <v>1</v>
      </c>
      <c r="BF70" s="102">
        <v>0</v>
      </c>
      <c r="BG70" s="102">
        <v>0</v>
      </c>
      <c r="BH70" s="102">
        <v>0</v>
      </c>
      <c r="BI70" s="102">
        <v>1</v>
      </c>
      <c r="BJ70" s="102">
        <v>1</v>
      </c>
      <c r="BK70" s="102">
        <v>0</v>
      </c>
      <c r="BL70" s="102">
        <v>0</v>
      </c>
      <c r="BM70" s="102">
        <v>1</v>
      </c>
      <c r="BN70" s="102">
        <v>0</v>
      </c>
      <c r="BO70" s="102">
        <v>0</v>
      </c>
      <c r="BP70" s="102">
        <v>1</v>
      </c>
      <c r="BQ70" s="102">
        <v>0</v>
      </c>
      <c r="BR70" s="102">
        <v>1</v>
      </c>
      <c r="BS70" s="102">
        <v>0</v>
      </c>
      <c r="BT70" s="102">
        <v>1</v>
      </c>
      <c r="BU70" s="102">
        <v>0</v>
      </c>
      <c r="BV70" s="102">
        <v>0</v>
      </c>
      <c r="BW70" s="102">
        <v>0</v>
      </c>
      <c r="BX70" s="102">
        <v>1</v>
      </c>
      <c r="BY70" s="102">
        <v>0</v>
      </c>
      <c r="BZ70" s="102">
        <v>0</v>
      </c>
      <c r="CA70" s="102">
        <v>1</v>
      </c>
      <c r="CB70" s="102">
        <v>1</v>
      </c>
      <c r="CC70" s="102">
        <v>2</v>
      </c>
      <c r="CD70" s="102" t="s">
        <v>1324</v>
      </c>
      <c r="CE70" s="102">
        <v>0</v>
      </c>
      <c r="CF70" s="102">
        <v>1</v>
      </c>
      <c r="CG70" s="102">
        <v>0</v>
      </c>
      <c r="CH70" s="102">
        <v>1</v>
      </c>
      <c r="CI70" s="102">
        <v>1</v>
      </c>
      <c r="CJ70" s="102">
        <v>1</v>
      </c>
      <c r="CK70" s="102">
        <v>1</v>
      </c>
      <c r="CL70" s="102">
        <v>0</v>
      </c>
      <c r="CM70" s="102">
        <v>0</v>
      </c>
      <c r="CN70" s="102">
        <v>1</v>
      </c>
      <c r="CO70" s="102">
        <v>0</v>
      </c>
      <c r="CP70" s="102">
        <v>0</v>
      </c>
      <c r="CQ70" s="102">
        <v>1</v>
      </c>
      <c r="CR70" s="102">
        <v>2</v>
      </c>
      <c r="CS70" s="102">
        <v>0</v>
      </c>
      <c r="CT70" s="102" t="s">
        <v>853</v>
      </c>
      <c r="CU70" s="102">
        <v>0</v>
      </c>
      <c r="CV70" s="102">
        <v>0</v>
      </c>
      <c r="CW70" s="102">
        <v>0</v>
      </c>
      <c r="CX70" s="102">
        <v>0</v>
      </c>
      <c r="CY70" s="102">
        <v>2</v>
      </c>
      <c r="CZ70" s="102">
        <v>0</v>
      </c>
      <c r="DA70" s="102" t="s">
        <v>853</v>
      </c>
      <c r="DB70" s="102">
        <v>0</v>
      </c>
      <c r="DC70" s="102">
        <v>0</v>
      </c>
      <c r="DD70" s="102">
        <v>0</v>
      </c>
      <c r="DE70" s="102">
        <v>0</v>
      </c>
      <c r="DF70" s="102">
        <v>0</v>
      </c>
      <c r="DG70" s="102">
        <v>0</v>
      </c>
      <c r="DH70" s="102">
        <v>0</v>
      </c>
      <c r="DI70" s="102">
        <v>0</v>
      </c>
      <c r="DJ70" s="102">
        <v>0</v>
      </c>
      <c r="DK70" s="102">
        <v>0</v>
      </c>
      <c r="DL70" s="102">
        <v>0</v>
      </c>
      <c r="DM70" s="102">
        <v>0</v>
      </c>
      <c r="DN70" s="102">
        <v>1</v>
      </c>
      <c r="DO70" s="102">
        <v>0</v>
      </c>
      <c r="DP70" s="102">
        <v>0</v>
      </c>
      <c r="DQ70" s="102">
        <v>2</v>
      </c>
      <c r="DR70" s="102">
        <v>1</v>
      </c>
      <c r="DS70" s="102">
        <v>0</v>
      </c>
      <c r="DT70" s="105" t="s">
        <v>1317</v>
      </c>
      <c r="DU70" s="102">
        <v>1</v>
      </c>
      <c r="DV70" s="102">
        <v>0</v>
      </c>
      <c r="DW70" s="102">
        <v>0</v>
      </c>
      <c r="DX70" s="102" t="s">
        <v>853</v>
      </c>
      <c r="DY70" s="102">
        <v>0</v>
      </c>
      <c r="DZ70" s="102">
        <v>2</v>
      </c>
      <c r="EA70" s="102" t="s">
        <v>1325</v>
      </c>
      <c r="EB70" s="102">
        <v>1</v>
      </c>
      <c r="EC70" s="102">
        <v>0</v>
      </c>
      <c r="ED70" s="102">
        <v>1</v>
      </c>
      <c r="EE70" s="102">
        <v>2</v>
      </c>
      <c r="EF70" s="102">
        <v>10</v>
      </c>
      <c r="EG70" s="102">
        <v>1</v>
      </c>
      <c r="EH70" s="102" t="s">
        <v>1318</v>
      </c>
      <c r="EI70" s="102">
        <v>2</v>
      </c>
      <c r="EJ70" s="102">
        <v>1</v>
      </c>
      <c r="EK70" s="102">
        <v>0</v>
      </c>
      <c r="EL70" s="102">
        <v>5</v>
      </c>
      <c r="EM70" s="102"/>
    </row>
    <row r="71" spans="1:143" ht="15.75" customHeight="1" x14ac:dyDescent="0.55000000000000004">
      <c r="A71" s="99">
        <v>69</v>
      </c>
      <c r="B71" s="102" t="s">
        <v>1326</v>
      </c>
      <c r="C71" s="102" t="s">
        <v>1327</v>
      </c>
      <c r="D71" s="103">
        <v>35935</v>
      </c>
      <c r="E71" s="102" t="s">
        <v>891</v>
      </c>
      <c r="F71" s="102">
        <v>20</v>
      </c>
      <c r="G71" s="102">
        <v>5</v>
      </c>
      <c r="H71" s="102">
        <v>1998</v>
      </c>
      <c r="I71" s="102" t="s">
        <v>1328</v>
      </c>
      <c r="J71" s="102" t="s">
        <v>1329</v>
      </c>
      <c r="K71" s="102" t="s">
        <v>951</v>
      </c>
      <c r="L71" s="102">
        <v>37</v>
      </c>
      <c r="M71" s="102">
        <v>3</v>
      </c>
      <c r="N71" s="102">
        <v>1</v>
      </c>
      <c r="O71" s="102">
        <v>0</v>
      </c>
      <c r="P71" s="102">
        <v>1</v>
      </c>
      <c r="Q71" s="104">
        <v>0</v>
      </c>
      <c r="R71" s="102">
        <v>1</v>
      </c>
      <c r="S71" s="102">
        <v>7</v>
      </c>
      <c r="T71" s="102">
        <v>0</v>
      </c>
      <c r="U71" s="102">
        <v>0</v>
      </c>
      <c r="V71" s="102">
        <v>4</v>
      </c>
      <c r="W71" s="102">
        <v>25</v>
      </c>
      <c r="X71" s="102">
        <v>1</v>
      </c>
      <c r="Y71" s="102">
        <v>0</v>
      </c>
      <c r="Z71" s="102">
        <v>0</v>
      </c>
      <c r="AA71" s="102">
        <v>15</v>
      </c>
      <c r="AB71" s="102">
        <v>0</v>
      </c>
      <c r="AC71" s="102">
        <v>0</v>
      </c>
      <c r="AD71" s="102">
        <v>0</v>
      </c>
      <c r="AE71" s="102">
        <v>0</v>
      </c>
      <c r="AF71" s="102"/>
      <c r="AG71" s="102">
        <v>0</v>
      </c>
      <c r="AH71" s="102">
        <v>1</v>
      </c>
      <c r="AI71" s="102" t="s">
        <v>1330</v>
      </c>
      <c r="AJ71" s="102">
        <v>3</v>
      </c>
      <c r="AK71" s="102">
        <v>1</v>
      </c>
      <c r="AL71" s="102">
        <v>1</v>
      </c>
      <c r="AM71" s="102">
        <v>0</v>
      </c>
      <c r="AN71" s="102">
        <v>0</v>
      </c>
      <c r="AO71" s="102">
        <v>0</v>
      </c>
      <c r="AP71" s="102">
        <v>0</v>
      </c>
      <c r="AQ71" s="102"/>
      <c r="AR71" s="102">
        <v>0</v>
      </c>
      <c r="AS71" s="102" t="s">
        <v>853</v>
      </c>
      <c r="AT71" s="102">
        <v>0</v>
      </c>
      <c r="AU71" s="102"/>
      <c r="AV71" s="102">
        <v>0</v>
      </c>
      <c r="AW71" s="102">
        <v>1</v>
      </c>
      <c r="AX71" s="102">
        <v>6</v>
      </c>
      <c r="AY71" s="102" t="s">
        <v>1331</v>
      </c>
      <c r="AZ71" s="102">
        <v>3</v>
      </c>
      <c r="BA71" s="102">
        <v>0</v>
      </c>
      <c r="BB71" s="102">
        <v>0</v>
      </c>
      <c r="BC71" s="102">
        <v>0</v>
      </c>
      <c r="BD71" s="102">
        <v>0</v>
      </c>
      <c r="BE71" s="102">
        <v>0</v>
      </c>
      <c r="BF71" s="102">
        <v>0</v>
      </c>
      <c r="BG71" s="102">
        <v>0</v>
      </c>
      <c r="BH71" s="102">
        <v>0</v>
      </c>
      <c r="BI71" s="102">
        <v>1</v>
      </c>
      <c r="BJ71" s="102">
        <v>1</v>
      </c>
      <c r="BK71" s="102">
        <v>1</v>
      </c>
      <c r="BL71" s="102">
        <v>0</v>
      </c>
      <c r="BM71" s="102">
        <v>0</v>
      </c>
      <c r="BN71" s="102">
        <v>0</v>
      </c>
      <c r="BO71" s="102">
        <v>0</v>
      </c>
      <c r="BP71" s="102">
        <v>1</v>
      </c>
      <c r="BQ71" s="102">
        <v>0</v>
      </c>
      <c r="BR71" s="102">
        <v>0</v>
      </c>
      <c r="BS71" s="102">
        <v>0</v>
      </c>
      <c r="BT71" s="102">
        <v>0</v>
      </c>
      <c r="BU71" s="102">
        <v>2</v>
      </c>
      <c r="BV71" s="102">
        <v>0</v>
      </c>
      <c r="BW71" s="102">
        <v>0</v>
      </c>
      <c r="BX71" s="102">
        <v>0</v>
      </c>
      <c r="BY71" s="102">
        <v>0</v>
      </c>
      <c r="BZ71" s="102">
        <v>0</v>
      </c>
      <c r="CA71" s="102" t="s">
        <v>964</v>
      </c>
      <c r="CB71" s="102">
        <v>1</v>
      </c>
      <c r="CC71" s="102">
        <v>3</v>
      </c>
      <c r="CD71" s="102" t="s">
        <v>1332</v>
      </c>
      <c r="CE71" s="102">
        <v>0</v>
      </c>
      <c r="CF71" s="102">
        <v>1</v>
      </c>
      <c r="CG71" s="102">
        <v>0</v>
      </c>
      <c r="CH71" s="102">
        <v>1</v>
      </c>
      <c r="CI71" s="102">
        <v>1</v>
      </c>
      <c r="CJ71" s="102">
        <v>0</v>
      </c>
      <c r="CK71" s="102">
        <v>0</v>
      </c>
      <c r="CL71" s="102">
        <v>1</v>
      </c>
      <c r="CM71" s="102">
        <v>0</v>
      </c>
      <c r="CN71" s="102">
        <v>1</v>
      </c>
      <c r="CO71" s="102">
        <v>0</v>
      </c>
      <c r="CP71" s="102">
        <v>0</v>
      </c>
      <c r="CQ71" s="102">
        <v>1</v>
      </c>
      <c r="CR71" s="102">
        <v>1</v>
      </c>
      <c r="CS71" s="102">
        <v>1</v>
      </c>
      <c r="CT71" s="102" t="s">
        <v>1131</v>
      </c>
      <c r="CU71" s="102">
        <v>0</v>
      </c>
      <c r="CV71" s="102" t="s">
        <v>937</v>
      </c>
      <c r="CW71" s="102">
        <v>1</v>
      </c>
      <c r="CX71" s="102">
        <v>0</v>
      </c>
      <c r="CY71" s="102">
        <v>0</v>
      </c>
      <c r="CZ71" s="102">
        <v>0</v>
      </c>
      <c r="DA71" s="102" t="s">
        <v>853</v>
      </c>
      <c r="DB71" s="102">
        <v>0</v>
      </c>
      <c r="DC71" s="102">
        <v>0</v>
      </c>
      <c r="DD71" s="102">
        <v>0</v>
      </c>
      <c r="DE71" s="102">
        <v>0</v>
      </c>
      <c r="DF71" s="102">
        <v>0</v>
      </c>
      <c r="DG71" s="102">
        <v>0</v>
      </c>
      <c r="DH71" s="102">
        <v>0</v>
      </c>
      <c r="DI71" s="102">
        <v>0</v>
      </c>
      <c r="DJ71" s="102">
        <v>1</v>
      </c>
      <c r="DK71" s="102">
        <v>0</v>
      </c>
      <c r="DL71" s="102">
        <v>0</v>
      </c>
      <c r="DM71" s="102">
        <v>0</v>
      </c>
      <c r="DN71" s="102">
        <v>2</v>
      </c>
      <c r="DO71" s="102">
        <v>0</v>
      </c>
      <c r="DP71" s="102">
        <v>2</v>
      </c>
      <c r="DQ71" s="102">
        <v>2</v>
      </c>
      <c r="DR71" s="102">
        <v>1</v>
      </c>
      <c r="DS71" s="102">
        <v>0</v>
      </c>
      <c r="DT71" s="105" t="s">
        <v>1317</v>
      </c>
      <c r="DU71" s="102">
        <v>0</v>
      </c>
      <c r="DV71" s="102">
        <v>1</v>
      </c>
      <c r="DW71" s="102">
        <v>1</v>
      </c>
      <c r="DX71" s="102" t="s">
        <v>1333</v>
      </c>
      <c r="DY71" s="102">
        <v>1</v>
      </c>
      <c r="DZ71" s="102">
        <v>0</v>
      </c>
      <c r="EA71" s="102" t="s">
        <v>853</v>
      </c>
      <c r="EB71" s="102">
        <v>0</v>
      </c>
      <c r="EC71" s="102">
        <v>0</v>
      </c>
      <c r="ED71" s="102">
        <v>1</v>
      </c>
      <c r="EE71" s="102">
        <v>3</v>
      </c>
      <c r="EF71" s="102">
        <v>3</v>
      </c>
      <c r="EG71" s="102">
        <v>1</v>
      </c>
      <c r="EH71" s="102" t="s">
        <v>1310</v>
      </c>
      <c r="EI71" s="102">
        <v>2</v>
      </c>
      <c r="EJ71" s="102">
        <v>0</v>
      </c>
      <c r="EK71" s="102">
        <v>0</v>
      </c>
      <c r="EL71" s="102">
        <v>2</v>
      </c>
      <c r="EM71" s="102"/>
    </row>
    <row r="72" spans="1:143" ht="15.75" customHeight="1" x14ac:dyDescent="0.55000000000000004">
      <c r="A72" s="99">
        <v>70</v>
      </c>
      <c r="B72" s="102" t="s">
        <v>1189</v>
      </c>
      <c r="C72" s="102" t="s">
        <v>1334</v>
      </c>
      <c r="D72" s="103">
        <v>36229</v>
      </c>
      <c r="E72" s="102" t="s">
        <v>891</v>
      </c>
      <c r="F72" s="102">
        <v>10</v>
      </c>
      <c r="G72" s="102">
        <v>3</v>
      </c>
      <c r="H72" s="102">
        <v>1999</v>
      </c>
      <c r="I72" s="102" t="s">
        <v>1335</v>
      </c>
      <c r="J72" s="102" t="s">
        <v>1336</v>
      </c>
      <c r="K72" s="102" t="s">
        <v>917</v>
      </c>
      <c r="L72" s="102">
        <v>18</v>
      </c>
      <c r="M72" s="102">
        <v>0</v>
      </c>
      <c r="N72" s="102">
        <v>2</v>
      </c>
      <c r="O72" s="102">
        <v>3</v>
      </c>
      <c r="P72" s="102">
        <v>1</v>
      </c>
      <c r="Q72" s="104">
        <v>0</v>
      </c>
      <c r="R72" s="102">
        <v>1</v>
      </c>
      <c r="S72" s="102">
        <v>7</v>
      </c>
      <c r="T72" s="102">
        <v>0</v>
      </c>
      <c r="U72" s="102">
        <v>0</v>
      </c>
      <c r="V72" s="102">
        <v>4</v>
      </c>
      <c r="W72" s="102">
        <v>4</v>
      </c>
      <c r="X72" s="102">
        <v>1</v>
      </c>
      <c r="Y72" s="102">
        <v>1</v>
      </c>
      <c r="Z72" s="102">
        <v>1</v>
      </c>
      <c r="AA72" s="102">
        <v>22</v>
      </c>
      <c r="AB72" s="102">
        <v>0</v>
      </c>
      <c r="AC72" s="102">
        <v>1</v>
      </c>
      <c r="AD72" s="102">
        <v>0</v>
      </c>
      <c r="AE72" s="102">
        <v>0</v>
      </c>
      <c r="AF72" s="102"/>
      <c r="AG72" s="102"/>
      <c r="AH72" s="102"/>
      <c r="AI72" s="102"/>
      <c r="AJ72" s="102"/>
      <c r="AK72" s="102">
        <v>9</v>
      </c>
      <c r="AL72" s="102"/>
      <c r="AM72" s="102"/>
      <c r="AN72" s="102">
        <v>3</v>
      </c>
      <c r="AO72" s="102">
        <v>1</v>
      </c>
      <c r="AP72" s="102">
        <v>0</v>
      </c>
      <c r="AQ72" s="102">
        <v>0</v>
      </c>
      <c r="AR72" s="102">
        <v>0</v>
      </c>
      <c r="AS72" s="102" t="s">
        <v>853</v>
      </c>
      <c r="AT72" s="102">
        <v>0</v>
      </c>
      <c r="AU72" s="102"/>
      <c r="AV72" s="102">
        <v>0</v>
      </c>
      <c r="AW72" s="102">
        <v>1</v>
      </c>
      <c r="AX72" s="102">
        <v>0</v>
      </c>
      <c r="AY72" s="102" t="s">
        <v>1092</v>
      </c>
      <c r="AZ72" s="102">
        <v>4</v>
      </c>
      <c r="BA72" s="102">
        <v>0</v>
      </c>
      <c r="BB72" s="102">
        <v>0</v>
      </c>
      <c r="BC72" s="102">
        <v>1</v>
      </c>
      <c r="BD72" s="102" t="s">
        <v>954</v>
      </c>
      <c r="BE72" s="102">
        <v>0</v>
      </c>
      <c r="BF72" s="102">
        <v>0</v>
      </c>
      <c r="BG72" s="102">
        <v>0</v>
      </c>
      <c r="BH72" s="102">
        <v>0</v>
      </c>
      <c r="BI72" s="102">
        <v>0</v>
      </c>
      <c r="BJ72" s="102">
        <v>0</v>
      </c>
      <c r="BK72" s="102">
        <v>0</v>
      </c>
      <c r="BL72" s="102">
        <v>1</v>
      </c>
      <c r="BM72" s="102">
        <v>0</v>
      </c>
      <c r="BN72" s="102">
        <v>1</v>
      </c>
      <c r="BO72" s="102">
        <v>0</v>
      </c>
      <c r="BP72" s="102">
        <v>1</v>
      </c>
      <c r="BQ72" s="102">
        <v>0</v>
      </c>
      <c r="BR72" s="102">
        <v>0</v>
      </c>
      <c r="BS72" s="102">
        <v>0</v>
      </c>
      <c r="BT72" s="102">
        <v>0</v>
      </c>
      <c r="BU72" s="102">
        <v>0</v>
      </c>
      <c r="BV72" s="102">
        <v>0</v>
      </c>
      <c r="BW72" s="102">
        <v>0</v>
      </c>
      <c r="BX72" s="102">
        <v>0</v>
      </c>
      <c r="BY72" s="102">
        <v>0</v>
      </c>
      <c r="BZ72" s="102">
        <v>0</v>
      </c>
      <c r="CA72" s="102" t="s">
        <v>937</v>
      </c>
      <c r="CB72" s="102">
        <v>1</v>
      </c>
      <c r="CC72" s="102">
        <v>3</v>
      </c>
      <c r="CD72" s="102" t="s">
        <v>1337</v>
      </c>
      <c r="CE72" s="102">
        <v>1</v>
      </c>
      <c r="CF72" s="102">
        <v>1</v>
      </c>
      <c r="CG72" s="102">
        <v>0</v>
      </c>
      <c r="CH72" s="102">
        <v>1</v>
      </c>
      <c r="CI72" s="102">
        <v>1</v>
      </c>
      <c r="CJ72" s="102">
        <v>1</v>
      </c>
      <c r="CK72" s="102">
        <v>0</v>
      </c>
      <c r="CL72" s="102">
        <v>1</v>
      </c>
      <c r="CM72" s="102">
        <v>0</v>
      </c>
      <c r="CN72" s="102">
        <v>1</v>
      </c>
      <c r="CO72" s="102">
        <v>1</v>
      </c>
      <c r="CP72" s="102">
        <v>2</v>
      </c>
      <c r="CQ72" s="102">
        <v>1</v>
      </c>
      <c r="CR72" s="102">
        <v>1</v>
      </c>
      <c r="CS72" s="102">
        <v>1</v>
      </c>
      <c r="CT72" s="102" t="s">
        <v>1338</v>
      </c>
      <c r="CU72" s="102">
        <v>1</v>
      </c>
      <c r="CV72" s="102">
        <v>3</v>
      </c>
      <c r="CW72" s="102">
        <v>0</v>
      </c>
      <c r="CX72" s="102">
        <v>0</v>
      </c>
      <c r="CY72" s="102">
        <v>0</v>
      </c>
      <c r="CZ72" s="102">
        <v>0</v>
      </c>
      <c r="DA72" s="102" t="s">
        <v>853</v>
      </c>
      <c r="DB72" s="102">
        <v>0</v>
      </c>
      <c r="DC72" s="102">
        <v>0</v>
      </c>
      <c r="DD72" s="102">
        <v>0</v>
      </c>
      <c r="DE72" s="102">
        <v>0</v>
      </c>
      <c r="DF72" s="102">
        <v>0</v>
      </c>
      <c r="DG72" s="102">
        <v>0</v>
      </c>
      <c r="DH72" s="102">
        <v>0</v>
      </c>
      <c r="DI72" s="102">
        <v>0</v>
      </c>
      <c r="DJ72" s="102">
        <v>0</v>
      </c>
      <c r="DK72" s="102">
        <v>1</v>
      </c>
      <c r="DL72" s="102">
        <v>0</v>
      </c>
      <c r="DM72" s="102">
        <v>0</v>
      </c>
      <c r="DN72" s="102">
        <v>0</v>
      </c>
      <c r="DO72" s="102">
        <v>0</v>
      </c>
      <c r="DP72" s="102">
        <v>0</v>
      </c>
      <c r="DQ72" s="102">
        <v>0</v>
      </c>
      <c r="DR72" s="102">
        <v>0</v>
      </c>
      <c r="DS72" s="102" t="s">
        <v>853</v>
      </c>
      <c r="DT72" s="105" t="s">
        <v>853</v>
      </c>
      <c r="DU72" s="102" t="s">
        <v>853</v>
      </c>
      <c r="DV72" s="102">
        <v>0</v>
      </c>
      <c r="DW72" s="102">
        <v>0</v>
      </c>
      <c r="DX72" s="102" t="s">
        <v>853</v>
      </c>
      <c r="DY72" s="102">
        <v>0</v>
      </c>
      <c r="DZ72" s="102">
        <v>0</v>
      </c>
      <c r="EA72" s="102" t="s">
        <v>853</v>
      </c>
      <c r="EB72" s="102">
        <v>0</v>
      </c>
      <c r="EC72" s="102">
        <v>0</v>
      </c>
      <c r="ED72" s="102">
        <v>0</v>
      </c>
      <c r="EE72" s="102">
        <v>0</v>
      </c>
      <c r="EF72" s="102">
        <v>1</v>
      </c>
      <c r="EG72" s="102">
        <v>0</v>
      </c>
      <c r="EH72" s="102" t="s">
        <v>853</v>
      </c>
      <c r="EI72" s="102">
        <v>2</v>
      </c>
      <c r="EJ72" s="102">
        <v>0</v>
      </c>
      <c r="EK72" s="102">
        <v>1</v>
      </c>
      <c r="EL72" s="102">
        <v>2</v>
      </c>
      <c r="EM72" s="102"/>
    </row>
    <row r="73" spans="1:143" ht="15.75" customHeight="1" x14ac:dyDescent="0.55000000000000004">
      <c r="A73" s="99">
        <v>71</v>
      </c>
      <c r="B73" s="102" t="s">
        <v>1339</v>
      </c>
      <c r="C73" s="102" t="s">
        <v>1340</v>
      </c>
      <c r="D73" s="103">
        <v>36270</v>
      </c>
      <c r="E73" s="102" t="s">
        <v>1032</v>
      </c>
      <c r="F73" s="102">
        <v>20</v>
      </c>
      <c r="G73" s="102">
        <v>4</v>
      </c>
      <c r="H73" s="102">
        <v>1999</v>
      </c>
      <c r="I73" s="102" t="s">
        <v>1341</v>
      </c>
      <c r="J73" s="102" t="s">
        <v>1342</v>
      </c>
      <c r="K73" s="102" t="s">
        <v>1237</v>
      </c>
      <c r="L73" s="102">
        <v>6</v>
      </c>
      <c r="M73" s="102">
        <v>3</v>
      </c>
      <c r="N73" s="102">
        <v>1</v>
      </c>
      <c r="O73" s="102">
        <v>0</v>
      </c>
      <c r="P73" s="102">
        <v>1</v>
      </c>
      <c r="Q73" s="104">
        <v>0</v>
      </c>
      <c r="R73" s="102">
        <v>0</v>
      </c>
      <c r="S73" s="102" t="s">
        <v>853</v>
      </c>
      <c r="T73" s="102">
        <v>0</v>
      </c>
      <c r="U73" s="102">
        <v>0</v>
      </c>
      <c r="V73" s="102">
        <v>13</v>
      </c>
      <c r="W73" s="102">
        <v>23</v>
      </c>
      <c r="X73" s="102">
        <v>0</v>
      </c>
      <c r="Y73" s="102">
        <v>0</v>
      </c>
      <c r="Z73" s="102">
        <v>0</v>
      </c>
      <c r="AA73" s="102">
        <v>17</v>
      </c>
      <c r="AB73" s="102">
        <v>0</v>
      </c>
      <c r="AC73" s="102">
        <v>0</v>
      </c>
      <c r="AD73" s="102">
        <v>0</v>
      </c>
      <c r="AE73" s="102">
        <v>0</v>
      </c>
      <c r="AF73" s="102">
        <v>1</v>
      </c>
      <c r="AG73" s="102">
        <v>0</v>
      </c>
      <c r="AH73" s="102">
        <v>2</v>
      </c>
      <c r="AI73" s="102" t="s">
        <v>1343</v>
      </c>
      <c r="AJ73" s="102">
        <v>3</v>
      </c>
      <c r="AK73" s="102">
        <v>1</v>
      </c>
      <c r="AL73" s="102">
        <v>1</v>
      </c>
      <c r="AM73" s="102">
        <v>0</v>
      </c>
      <c r="AN73" s="102">
        <v>0</v>
      </c>
      <c r="AO73" s="102">
        <v>0</v>
      </c>
      <c r="AP73" s="102">
        <v>1</v>
      </c>
      <c r="AQ73" s="102">
        <v>0</v>
      </c>
      <c r="AR73" s="102">
        <v>0</v>
      </c>
      <c r="AS73" s="102" t="s">
        <v>853</v>
      </c>
      <c r="AT73" s="102">
        <v>1</v>
      </c>
      <c r="AU73" s="102" t="s">
        <v>1344</v>
      </c>
      <c r="AV73" s="102">
        <v>0</v>
      </c>
      <c r="AW73" s="102">
        <v>1</v>
      </c>
      <c r="AX73" s="102">
        <v>6</v>
      </c>
      <c r="AY73" s="102">
        <v>9</v>
      </c>
      <c r="AZ73" s="102">
        <v>4</v>
      </c>
      <c r="BA73" s="102">
        <v>1</v>
      </c>
      <c r="BB73" s="102">
        <v>0</v>
      </c>
      <c r="BC73" s="102">
        <v>0</v>
      </c>
      <c r="BD73" s="102">
        <v>0</v>
      </c>
      <c r="BE73" s="102">
        <v>0</v>
      </c>
      <c r="BF73" s="102">
        <v>0</v>
      </c>
      <c r="BG73" s="102">
        <v>0</v>
      </c>
      <c r="BH73" s="102">
        <v>0</v>
      </c>
      <c r="BI73" s="102">
        <v>1</v>
      </c>
      <c r="BJ73" s="102">
        <v>1</v>
      </c>
      <c r="BK73" s="102">
        <v>0</v>
      </c>
      <c r="BL73" s="102">
        <v>0</v>
      </c>
      <c r="BM73" s="102">
        <v>0</v>
      </c>
      <c r="BN73" s="102">
        <v>0</v>
      </c>
      <c r="BO73" s="102">
        <v>0</v>
      </c>
      <c r="BP73" s="102">
        <v>0</v>
      </c>
      <c r="BQ73" s="102">
        <v>0</v>
      </c>
      <c r="BR73" s="102">
        <v>0</v>
      </c>
      <c r="BS73" s="102">
        <v>0</v>
      </c>
      <c r="BT73" s="102">
        <v>0</v>
      </c>
      <c r="BU73" s="102">
        <v>1</v>
      </c>
      <c r="BV73" s="102">
        <v>0</v>
      </c>
      <c r="BW73" s="102">
        <v>0</v>
      </c>
      <c r="BX73" s="102">
        <v>0</v>
      </c>
      <c r="BY73" s="102">
        <v>0</v>
      </c>
      <c r="BZ73" s="102">
        <v>0</v>
      </c>
      <c r="CA73" s="102">
        <v>0</v>
      </c>
      <c r="CB73" s="102">
        <v>1</v>
      </c>
      <c r="CC73" s="102">
        <v>3</v>
      </c>
      <c r="CD73" s="102" t="s">
        <v>1345</v>
      </c>
      <c r="CE73" s="102">
        <v>0</v>
      </c>
      <c r="CF73" s="102">
        <v>1</v>
      </c>
      <c r="CG73" s="102">
        <v>0</v>
      </c>
      <c r="CH73" s="102">
        <v>1</v>
      </c>
      <c r="CI73" s="102">
        <v>1</v>
      </c>
      <c r="CJ73" s="102">
        <v>1</v>
      </c>
      <c r="CK73" s="102">
        <v>1</v>
      </c>
      <c r="CL73" s="102">
        <v>0</v>
      </c>
      <c r="CM73" s="102">
        <v>0</v>
      </c>
      <c r="CN73" s="102">
        <v>1</v>
      </c>
      <c r="CO73" s="102">
        <v>0</v>
      </c>
      <c r="CP73" s="102">
        <v>0</v>
      </c>
      <c r="CQ73" s="102">
        <v>1</v>
      </c>
      <c r="CR73" s="102">
        <v>2</v>
      </c>
      <c r="CS73" s="102">
        <v>0</v>
      </c>
      <c r="CT73" s="102" t="s">
        <v>853</v>
      </c>
      <c r="CU73" s="102">
        <v>1</v>
      </c>
      <c r="CV73" s="102">
        <v>1</v>
      </c>
      <c r="CW73" s="102">
        <v>0</v>
      </c>
      <c r="CX73" s="102">
        <v>0</v>
      </c>
      <c r="CY73" s="102" t="s">
        <v>937</v>
      </c>
      <c r="CZ73" s="102">
        <v>1</v>
      </c>
      <c r="DA73" s="102" t="s">
        <v>1346</v>
      </c>
      <c r="DB73" s="102">
        <v>0</v>
      </c>
      <c r="DC73" s="102">
        <v>1</v>
      </c>
      <c r="DD73" s="102">
        <v>0</v>
      </c>
      <c r="DE73" s="102">
        <v>0</v>
      </c>
      <c r="DF73" s="102">
        <v>0</v>
      </c>
      <c r="DG73" s="102">
        <v>0</v>
      </c>
      <c r="DH73" s="102">
        <v>0</v>
      </c>
      <c r="DI73" s="102">
        <v>0</v>
      </c>
      <c r="DJ73" s="102">
        <v>0</v>
      </c>
      <c r="DK73" s="102">
        <v>0</v>
      </c>
      <c r="DL73" s="102">
        <v>0</v>
      </c>
      <c r="DM73" s="102">
        <v>1</v>
      </c>
      <c r="DN73" s="102">
        <v>1</v>
      </c>
      <c r="DO73" s="102">
        <v>0</v>
      </c>
      <c r="DP73" s="102">
        <v>0</v>
      </c>
      <c r="DQ73" s="102">
        <v>0</v>
      </c>
      <c r="DR73" s="102">
        <v>1</v>
      </c>
      <c r="DS73" s="102">
        <v>2</v>
      </c>
      <c r="DT73" s="105" t="s">
        <v>1317</v>
      </c>
      <c r="DU73" s="102">
        <v>1</v>
      </c>
      <c r="DV73" s="102">
        <v>1</v>
      </c>
      <c r="DW73" s="102">
        <v>1</v>
      </c>
      <c r="DX73" s="102" t="s">
        <v>1347</v>
      </c>
      <c r="DY73" s="102">
        <v>1</v>
      </c>
      <c r="DZ73" s="102">
        <v>1</v>
      </c>
      <c r="EA73" s="102" t="s">
        <v>1348</v>
      </c>
      <c r="EB73" s="102">
        <v>1</v>
      </c>
      <c r="EC73" s="102">
        <v>1</v>
      </c>
      <c r="ED73" s="102">
        <v>0</v>
      </c>
      <c r="EE73" s="102">
        <v>2</v>
      </c>
      <c r="EF73" s="102">
        <v>4</v>
      </c>
      <c r="EG73" s="102">
        <v>0</v>
      </c>
      <c r="EH73" s="102" t="s">
        <v>1349</v>
      </c>
      <c r="EI73" s="102">
        <v>0</v>
      </c>
      <c r="EJ73" s="102">
        <v>0</v>
      </c>
      <c r="EK73" s="102">
        <v>2</v>
      </c>
      <c r="EL73" s="102">
        <v>0</v>
      </c>
      <c r="EM73" s="102"/>
    </row>
    <row r="74" spans="1:143" ht="15.75" customHeight="1" x14ac:dyDescent="0.55000000000000004">
      <c r="A74" s="99">
        <v>72</v>
      </c>
      <c r="B74" s="102" t="s">
        <v>1139</v>
      </c>
      <c r="C74" s="102" t="s">
        <v>878</v>
      </c>
      <c r="D74" s="103">
        <v>36270</v>
      </c>
      <c r="E74" s="102" t="s">
        <v>1032</v>
      </c>
      <c r="F74" s="102">
        <v>20</v>
      </c>
      <c r="G74" s="102">
        <v>4</v>
      </c>
      <c r="H74" s="102">
        <v>1999</v>
      </c>
      <c r="I74" s="102" t="s">
        <v>1341</v>
      </c>
      <c r="J74" s="102" t="s">
        <v>1342</v>
      </c>
      <c r="K74" s="102" t="s">
        <v>1237</v>
      </c>
      <c r="L74" s="102">
        <v>6</v>
      </c>
      <c r="M74" s="102">
        <v>3</v>
      </c>
      <c r="N74" s="102">
        <v>1</v>
      </c>
      <c r="O74" s="102">
        <v>0</v>
      </c>
      <c r="P74" s="102">
        <v>1</v>
      </c>
      <c r="Q74" s="104">
        <v>0</v>
      </c>
      <c r="R74" s="102">
        <v>0</v>
      </c>
      <c r="S74" s="102" t="s">
        <v>853</v>
      </c>
      <c r="T74" s="102">
        <v>0</v>
      </c>
      <c r="U74" s="102">
        <v>0</v>
      </c>
      <c r="V74" s="102">
        <v>13</v>
      </c>
      <c r="W74" s="102">
        <v>23</v>
      </c>
      <c r="X74" s="102">
        <v>0</v>
      </c>
      <c r="Y74" s="102">
        <v>0</v>
      </c>
      <c r="Z74" s="102">
        <v>0</v>
      </c>
      <c r="AA74" s="102">
        <v>18</v>
      </c>
      <c r="AB74" s="102">
        <v>0</v>
      </c>
      <c r="AC74" s="102">
        <v>0</v>
      </c>
      <c r="AD74" s="102">
        <v>0</v>
      </c>
      <c r="AE74" s="102">
        <v>0</v>
      </c>
      <c r="AF74" s="102">
        <v>0</v>
      </c>
      <c r="AG74" s="102">
        <v>0</v>
      </c>
      <c r="AH74" s="102">
        <v>2</v>
      </c>
      <c r="AI74" s="102" t="s">
        <v>1343</v>
      </c>
      <c r="AJ74" s="102">
        <v>3</v>
      </c>
      <c r="AK74" s="102">
        <v>1</v>
      </c>
      <c r="AL74" s="102">
        <v>1</v>
      </c>
      <c r="AM74" s="102">
        <v>0</v>
      </c>
      <c r="AN74" s="102">
        <v>0</v>
      </c>
      <c r="AO74" s="102">
        <v>0</v>
      </c>
      <c r="AP74" s="102">
        <v>1</v>
      </c>
      <c r="AQ74" s="102">
        <v>0</v>
      </c>
      <c r="AR74" s="102">
        <v>0</v>
      </c>
      <c r="AS74" s="102" t="s">
        <v>853</v>
      </c>
      <c r="AT74" s="102">
        <v>1</v>
      </c>
      <c r="AU74" s="102" t="s">
        <v>1344</v>
      </c>
      <c r="AV74" s="102">
        <v>1</v>
      </c>
      <c r="AW74" s="102">
        <v>1</v>
      </c>
      <c r="AX74" s="102">
        <v>6</v>
      </c>
      <c r="AY74" s="102">
        <v>9</v>
      </c>
      <c r="AZ74" s="102">
        <v>4</v>
      </c>
      <c r="BA74" s="102">
        <v>1</v>
      </c>
      <c r="BB74" s="102">
        <v>0</v>
      </c>
      <c r="BC74" s="102">
        <v>0</v>
      </c>
      <c r="BD74" s="102">
        <v>0</v>
      </c>
      <c r="BE74" s="102">
        <v>0</v>
      </c>
      <c r="BF74" s="102">
        <v>0</v>
      </c>
      <c r="BG74" s="102">
        <v>0</v>
      </c>
      <c r="BH74" s="102">
        <v>0</v>
      </c>
      <c r="BI74" s="102">
        <v>1</v>
      </c>
      <c r="BJ74" s="102">
        <v>1</v>
      </c>
      <c r="BK74" s="102">
        <v>0</v>
      </c>
      <c r="BL74" s="102">
        <v>0</v>
      </c>
      <c r="BM74" s="102">
        <v>0</v>
      </c>
      <c r="BN74" s="102">
        <v>0</v>
      </c>
      <c r="BO74" s="102">
        <v>0</v>
      </c>
      <c r="BP74" s="102">
        <v>0</v>
      </c>
      <c r="BQ74" s="102">
        <v>0</v>
      </c>
      <c r="BR74" s="102">
        <v>0</v>
      </c>
      <c r="BS74" s="102">
        <v>0</v>
      </c>
      <c r="BT74" s="102">
        <v>0</v>
      </c>
      <c r="BU74" s="102">
        <v>1</v>
      </c>
      <c r="BV74" s="102">
        <v>0</v>
      </c>
      <c r="BW74" s="102">
        <v>0</v>
      </c>
      <c r="BX74" s="102">
        <v>0</v>
      </c>
      <c r="BY74" s="102">
        <v>0</v>
      </c>
      <c r="BZ74" s="102">
        <v>0</v>
      </c>
      <c r="CA74" s="102">
        <v>6</v>
      </c>
      <c r="CB74" s="102">
        <v>1</v>
      </c>
      <c r="CC74" s="102">
        <v>3</v>
      </c>
      <c r="CD74" s="102" t="s">
        <v>1350</v>
      </c>
      <c r="CE74" s="102">
        <v>0</v>
      </c>
      <c r="CF74" s="102">
        <v>1</v>
      </c>
      <c r="CG74" s="102">
        <v>0</v>
      </c>
      <c r="CH74" s="102">
        <v>1</v>
      </c>
      <c r="CI74" s="102">
        <v>1</v>
      </c>
      <c r="CJ74" s="102">
        <v>1</v>
      </c>
      <c r="CK74" s="102">
        <v>0</v>
      </c>
      <c r="CL74" s="102">
        <v>0</v>
      </c>
      <c r="CM74" s="102">
        <v>0</v>
      </c>
      <c r="CN74" s="102">
        <v>2</v>
      </c>
      <c r="CO74" s="102">
        <v>0</v>
      </c>
      <c r="CP74" s="102">
        <v>0</v>
      </c>
      <c r="CQ74" s="102">
        <v>1</v>
      </c>
      <c r="CR74" s="102" t="s">
        <v>937</v>
      </c>
      <c r="CS74" s="102">
        <v>1</v>
      </c>
      <c r="CT74" s="102" t="s">
        <v>1351</v>
      </c>
      <c r="CU74" s="102">
        <v>1</v>
      </c>
      <c r="CV74" s="102">
        <v>1</v>
      </c>
      <c r="CW74" s="102">
        <v>0</v>
      </c>
      <c r="CX74" s="102">
        <v>0</v>
      </c>
      <c r="CY74" s="102">
        <v>2</v>
      </c>
      <c r="CZ74" s="102">
        <v>1</v>
      </c>
      <c r="DA74" s="102" t="s">
        <v>1352</v>
      </c>
      <c r="DB74" s="102">
        <v>0</v>
      </c>
      <c r="DC74" s="102" t="s">
        <v>1353</v>
      </c>
      <c r="DD74" s="102">
        <v>0</v>
      </c>
      <c r="DE74" s="102">
        <v>0</v>
      </c>
      <c r="DF74" s="102">
        <v>0</v>
      </c>
      <c r="DG74" s="102">
        <v>0</v>
      </c>
      <c r="DH74" s="102">
        <v>0</v>
      </c>
      <c r="DI74" s="102">
        <v>0</v>
      </c>
      <c r="DJ74" s="102">
        <v>0</v>
      </c>
      <c r="DK74" s="102">
        <v>0</v>
      </c>
      <c r="DL74" s="102">
        <v>0</v>
      </c>
      <c r="DM74" s="102">
        <v>1</v>
      </c>
      <c r="DN74" s="102">
        <v>2</v>
      </c>
      <c r="DO74" s="102">
        <v>0</v>
      </c>
      <c r="DP74" s="102">
        <v>0</v>
      </c>
      <c r="DQ74" s="102">
        <v>1</v>
      </c>
      <c r="DR74" s="102">
        <v>1</v>
      </c>
      <c r="DS74" s="102">
        <v>2</v>
      </c>
      <c r="DT74" s="105" t="s">
        <v>1317</v>
      </c>
      <c r="DU74" s="102">
        <v>1</v>
      </c>
      <c r="DV74" s="102">
        <v>1</v>
      </c>
      <c r="DW74" s="102">
        <v>1</v>
      </c>
      <c r="DX74" s="102" t="s">
        <v>1347</v>
      </c>
      <c r="DY74" s="102">
        <v>1</v>
      </c>
      <c r="DZ74" s="102">
        <v>1</v>
      </c>
      <c r="EA74" s="102" t="s">
        <v>1348</v>
      </c>
      <c r="EB74" s="102">
        <v>1</v>
      </c>
      <c r="EC74" s="102">
        <v>1</v>
      </c>
      <c r="ED74" s="102">
        <v>1</v>
      </c>
      <c r="EE74" s="102">
        <v>2</v>
      </c>
      <c r="EF74" s="102">
        <v>4</v>
      </c>
      <c r="EG74" s="102">
        <v>1</v>
      </c>
      <c r="EH74" s="102" t="s">
        <v>1349</v>
      </c>
      <c r="EI74" s="102">
        <v>0</v>
      </c>
      <c r="EJ74" s="102">
        <v>0</v>
      </c>
      <c r="EK74" s="102">
        <v>2</v>
      </c>
      <c r="EL74" s="102">
        <v>0</v>
      </c>
      <c r="EM74" s="102"/>
    </row>
    <row r="75" spans="1:143" ht="15.75" customHeight="1" x14ac:dyDescent="0.55000000000000004">
      <c r="A75" s="99">
        <v>73</v>
      </c>
      <c r="B75" s="102" t="s">
        <v>1354</v>
      </c>
      <c r="C75" s="102" t="s">
        <v>1355</v>
      </c>
      <c r="D75" s="103">
        <v>36314</v>
      </c>
      <c r="E75" s="102" t="s">
        <v>995</v>
      </c>
      <c r="F75" s="102">
        <v>3</v>
      </c>
      <c r="G75" s="102">
        <v>6</v>
      </c>
      <c r="H75" s="102">
        <v>1999</v>
      </c>
      <c r="I75" s="102" t="s">
        <v>1356</v>
      </c>
      <c r="J75" s="102" t="s">
        <v>1357</v>
      </c>
      <c r="K75" s="102" t="s">
        <v>1358</v>
      </c>
      <c r="L75" s="102">
        <v>28</v>
      </c>
      <c r="M75" s="102">
        <v>3</v>
      </c>
      <c r="N75" s="102">
        <v>0</v>
      </c>
      <c r="O75" s="102">
        <v>4</v>
      </c>
      <c r="P75" s="102">
        <v>0</v>
      </c>
      <c r="Q75" s="104">
        <v>0</v>
      </c>
      <c r="R75" s="102">
        <v>0</v>
      </c>
      <c r="S75" s="102" t="s">
        <v>853</v>
      </c>
      <c r="T75" s="102">
        <v>0</v>
      </c>
      <c r="U75" s="102">
        <v>0</v>
      </c>
      <c r="V75" s="102">
        <v>4</v>
      </c>
      <c r="W75" s="102">
        <v>1</v>
      </c>
      <c r="X75" s="102">
        <v>0</v>
      </c>
      <c r="Y75" s="102">
        <v>0</v>
      </c>
      <c r="Z75" s="102">
        <v>1</v>
      </c>
      <c r="AA75" s="102">
        <v>23</v>
      </c>
      <c r="AB75" s="102">
        <v>0</v>
      </c>
      <c r="AC75" s="102">
        <v>0</v>
      </c>
      <c r="AD75" s="102">
        <v>0</v>
      </c>
      <c r="AE75" s="102">
        <v>0</v>
      </c>
      <c r="AF75" s="102"/>
      <c r="AG75" s="102">
        <v>2</v>
      </c>
      <c r="AH75" s="102">
        <v>0</v>
      </c>
      <c r="AI75" s="102" t="s">
        <v>1359</v>
      </c>
      <c r="AJ75" s="102">
        <v>0</v>
      </c>
      <c r="AK75" s="102">
        <v>0</v>
      </c>
      <c r="AL75" s="102">
        <v>0</v>
      </c>
      <c r="AM75" s="102">
        <v>0</v>
      </c>
      <c r="AN75" s="102">
        <v>1</v>
      </c>
      <c r="AO75" s="102">
        <v>0</v>
      </c>
      <c r="AP75" s="102">
        <v>1</v>
      </c>
      <c r="AQ75" s="102">
        <v>0</v>
      </c>
      <c r="AR75" s="102">
        <v>1</v>
      </c>
      <c r="AS75" s="102">
        <v>3</v>
      </c>
      <c r="AT75" s="102">
        <v>1</v>
      </c>
      <c r="AU75" s="102" t="s">
        <v>1360</v>
      </c>
      <c r="AV75" s="102">
        <v>0</v>
      </c>
      <c r="AW75" s="102">
        <v>1</v>
      </c>
      <c r="AX75" s="102" t="s">
        <v>1361</v>
      </c>
      <c r="AY75" s="102">
        <v>0</v>
      </c>
      <c r="AZ75" s="102">
        <v>1</v>
      </c>
      <c r="BA75" s="102">
        <v>1</v>
      </c>
      <c r="BB75" s="102">
        <v>0</v>
      </c>
      <c r="BC75" s="102">
        <v>0</v>
      </c>
      <c r="BD75" s="102">
        <v>0</v>
      </c>
      <c r="BE75" s="102">
        <v>1</v>
      </c>
      <c r="BF75" s="102">
        <v>0</v>
      </c>
      <c r="BG75" s="102">
        <v>0</v>
      </c>
      <c r="BH75" s="102">
        <v>0</v>
      </c>
      <c r="BI75" s="102">
        <v>2</v>
      </c>
      <c r="BJ75" s="102">
        <v>0</v>
      </c>
      <c r="BK75" s="102">
        <v>0</v>
      </c>
      <c r="BL75" s="102">
        <v>0</v>
      </c>
      <c r="BM75" s="102">
        <v>1</v>
      </c>
      <c r="BN75" s="102">
        <v>0</v>
      </c>
      <c r="BO75" s="102">
        <v>0</v>
      </c>
      <c r="BP75" s="102">
        <v>1</v>
      </c>
      <c r="BQ75" s="102">
        <v>1</v>
      </c>
      <c r="BR75" s="102">
        <v>0</v>
      </c>
      <c r="BS75" s="102">
        <v>0</v>
      </c>
      <c r="BT75" s="102">
        <v>0</v>
      </c>
      <c r="BU75" s="102">
        <v>1</v>
      </c>
      <c r="BV75" s="102">
        <v>1</v>
      </c>
      <c r="BW75" s="102">
        <v>1</v>
      </c>
      <c r="BX75" s="102">
        <v>0</v>
      </c>
      <c r="BY75" s="102">
        <v>0</v>
      </c>
      <c r="BZ75" s="102">
        <v>3</v>
      </c>
      <c r="CA75" s="102" t="s">
        <v>937</v>
      </c>
      <c r="CB75" s="102">
        <v>1</v>
      </c>
      <c r="CC75" s="102">
        <v>1</v>
      </c>
      <c r="CD75" s="102" t="s">
        <v>1362</v>
      </c>
      <c r="CE75" s="102">
        <v>1</v>
      </c>
      <c r="CF75" s="102">
        <v>0</v>
      </c>
      <c r="CG75" s="102">
        <v>0</v>
      </c>
      <c r="CH75" s="102">
        <v>0</v>
      </c>
      <c r="CI75" s="102">
        <v>1</v>
      </c>
      <c r="CJ75" s="102">
        <v>0</v>
      </c>
      <c r="CK75" s="102">
        <v>0</v>
      </c>
      <c r="CL75" s="102">
        <v>0</v>
      </c>
      <c r="CM75" s="102">
        <v>0</v>
      </c>
      <c r="CN75" s="102">
        <v>2</v>
      </c>
      <c r="CO75" s="102">
        <v>0</v>
      </c>
      <c r="CP75" s="102">
        <v>0</v>
      </c>
      <c r="CQ75" s="102">
        <v>0</v>
      </c>
      <c r="CR75" s="102">
        <v>0</v>
      </c>
      <c r="CS75" s="102">
        <v>1</v>
      </c>
      <c r="CT75" s="102" t="s">
        <v>1363</v>
      </c>
      <c r="CU75" s="102">
        <v>0</v>
      </c>
      <c r="CV75" s="102">
        <v>3</v>
      </c>
      <c r="CW75" s="102">
        <v>0</v>
      </c>
      <c r="CX75" s="102">
        <v>0</v>
      </c>
      <c r="CY75" s="102" t="s">
        <v>1123</v>
      </c>
      <c r="CZ75" s="102">
        <v>0</v>
      </c>
      <c r="DA75" s="102" t="s">
        <v>853</v>
      </c>
      <c r="DB75" s="102">
        <v>1</v>
      </c>
      <c r="DC75" s="102">
        <v>0</v>
      </c>
      <c r="DD75" s="102">
        <v>0</v>
      </c>
      <c r="DE75" s="102">
        <v>0</v>
      </c>
      <c r="DF75" s="102">
        <v>0</v>
      </c>
      <c r="DG75" s="102">
        <v>0</v>
      </c>
      <c r="DH75" s="102">
        <v>0</v>
      </c>
      <c r="DI75" s="102">
        <v>0</v>
      </c>
      <c r="DJ75" s="102">
        <v>0</v>
      </c>
      <c r="DK75" s="102">
        <v>0</v>
      </c>
      <c r="DL75" s="102">
        <v>0</v>
      </c>
      <c r="DM75" s="102">
        <v>0</v>
      </c>
      <c r="DN75" s="102">
        <v>0</v>
      </c>
      <c r="DO75" s="102">
        <v>1</v>
      </c>
      <c r="DP75" s="102">
        <v>0</v>
      </c>
      <c r="DQ75" s="102">
        <v>0</v>
      </c>
      <c r="DR75" s="102">
        <v>0</v>
      </c>
      <c r="DS75" s="102" t="s">
        <v>853</v>
      </c>
      <c r="DT75" s="105" t="s">
        <v>853</v>
      </c>
      <c r="DU75" s="102" t="s">
        <v>853</v>
      </c>
      <c r="DV75" s="102">
        <v>0</v>
      </c>
      <c r="DW75" s="102">
        <v>0</v>
      </c>
      <c r="DX75" s="102" t="s">
        <v>853</v>
      </c>
      <c r="DY75" s="102">
        <v>0</v>
      </c>
      <c r="DZ75" s="102">
        <v>0</v>
      </c>
      <c r="EA75" s="102" t="s">
        <v>853</v>
      </c>
      <c r="EB75" s="102">
        <v>0</v>
      </c>
      <c r="EC75" s="102">
        <v>0</v>
      </c>
      <c r="ED75" s="102">
        <v>0</v>
      </c>
      <c r="EE75" s="102">
        <v>3</v>
      </c>
      <c r="EF75" s="102">
        <v>1</v>
      </c>
      <c r="EG75" s="102">
        <v>0</v>
      </c>
      <c r="EH75" s="102" t="s">
        <v>853</v>
      </c>
      <c r="EI75" s="102">
        <v>2</v>
      </c>
      <c r="EJ75" s="102">
        <v>0</v>
      </c>
      <c r="EK75" s="102">
        <v>0</v>
      </c>
      <c r="EL75" s="102">
        <v>1</v>
      </c>
      <c r="EM75" s="102"/>
    </row>
    <row r="76" spans="1:143" ht="15.75" customHeight="1" x14ac:dyDescent="0.55000000000000004">
      <c r="A76" s="99">
        <v>74</v>
      </c>
      <c r="B76" s="102" t="s">
        <v>1364</v>
      </c>
      <c r="C76" s="102" t="s">
        <v>913</v>
      </c>
      <c r="D76" s="103">
        <v>36370</v>
      </c>
      <c r="E76" s="102" t="s">
        <v>995</v>
      </c>
      <c r="F76" s="102">
        <v>29</v>
      </c>
      <c r="G76" s="102">
        <v>7</v>
      </c>
      <c r="H76" s="102">
        <v>1999</v>
      </c>
      <c r="I76" s="102" t="s">
        <v>1365</v>
      </c>
      <c r="J76" s="102" t="s">
        <v>1366</v>
      </c>
      <c r="K76" s="102" t="s">
        <v>1367</v>
      </c>
      <c r="L76" s="102">
        <v>10</v>
      </c>
      <c r="M76" s="102">
        <v>0</v>
      </c>
      <c r="N76" s="102">
        <v>0</v>
      </c>
      <c r="O76" s="107">
        <v>6</v>
      </c>
      <c r="P76" s="102">
        <v>1</v>
      </c>
      <c r="Q76" s="104">
        <v>1</v>
      </c>
      <c r="R76" s="102">
        <v>1</v>
      </c>
      <c r="S76" s="102">
        <v>7</v>
      </c>
      <c r="T76" s="102">
        <v>0</v>
      </c>
      <c r="U76" s="102">
        <v>0</v>
      </c>
      <c r="V76" s="102">
        <v>12</v>
      </c>
      <c r="W76" s="102">
        <v>13</v>
      </c>
      <c r="X76" s="102">
        <v>1</v>
      </c>
      <c r="Y76" s="102">
        <v>1</v>
      </c>
      <c r="Z76" s="102">
        <v>0</v>
      </c>
      <c r="AA76" s="102">
        <v>44</v>
      </c>
      <c r="AB76" s="102">
        <v>0</v>
      </c>
      <c r="AC76" s="102">
        <v>0</v>
      </c>
      <c r="AD76" s="102">
        <v>0</v>
      </c>
      <c r="AE76" s="102">
        <v>0</v>
      </c>
      <c r="AF76" s="102">
        <v>1</v>
      </c>
      <c r="AG76" s="102">
        <v>3</v>
      </c>
      <c r="AH76" s="102">
        <v>2</v>
      </c>
      <c r="AI76" s="102" t="s">
        <v>1368</v>
      </c>
      <c r="AJ76" s="102">
        <v>0</v>
      </c>
      <c r="AK76" s="102">
        <v>0</v>
      </c>
      <c r="AL76" s="102">
        <v>0</v>
      </c>
      <c r="AM76" s="102">
        <v>0</v>
      </c>
      <c r="AN76" s="102">
        <v>3</v>
      </c>
      <c r="AO76" s="102">
        <v>1</v>
      </c>
      <c r="AP76" s="102">
        <v>0</v>
      </c>
      <c r="AQ76" s="102">
        <v>1</v>
      </c>
      <c r="AR76" s="102">
        <v>0</v>
      </c>
      <c r="AS76" s="102" t="s">
        <v>853</v>
      </c>
      <c r="AT76" s="102">
        <v>1</v>
      </c>
      <c r="AU76" s="102" t="s">
        <v>1369</v>
      </c>
      <c r="AV76" s="102">
        <v>0</v>
      </c>
      <c r="AW76" s="102">
        <v>1</v>
      </c>
      <c r="AX76" s="102" t="s">
        <v>1049</v>
      </c>
      <c r="AY76" s="102">
        <v>6</v>
      </c>
      <c r="AZ76" s="102">
        <v>3</v>
      </c>
      <c r="BA76" s="102">
        <v>1</v>
      </c>
      <c r="BB76" s="102">
        <v>1</v>
      </c>
      <c r="BC76" s="102">
        <v>3</v>
      </c>
      <c r="BD76" s="102" t="s">
        <v>1123</v>
      </c>
      <c r="BE76" s="102">
        <v>1</v>
      </c>
      <c r="BF76" s="102">
        <v>0</v>
      </c>
      <c r="BG76" s="102">
        <v>0</v>
      </c>
      <c r="BH76" s="102">
        <v>0</v>
      </c>
      <c r="BI76" s="102">
        <v>0</v>
      </c>
      <c r="BJ76" s="102">
        <v>1</v>
      </c>
      <c r="BK76" s="102">
        <v>0</v>
      </c>
      <c r="BL76" s="102">
        <v>0</v>
      </c>
      <c r="BM76" s="102">
        <v>0</v>
      </c>
      <c r="BN76" s="102">
        <v>0</v>
      </c>
      <c r="BO76" s="102">
        <v>0</v>
      </c>
      <c r="BP76" s="102">
        <v>0</v>
      </c>
      <c r="BQ76" s="102">
        <v>0</v>
      </c>
      <c r="BR76" s="102">
        <v>0</v>
      </c>
      <c r="BS76" s="102">
        <v>0</v>
      </c>
      <c r="BT76" s="102">
        <v>0</v>
      </c>
      <c r="BU76" s="102">
        <v>1</v>
      </c>
      <c r="BV76" s="102">
        <v>0</v>
      </c>
      <c r="BW76" s="102">
        <v>0</v>
      </c>
      <c r="BX76" s="102">
        <v>0</v>
      </c>
      <c r="BY76" s="102">
        <v>0</v>
      </c>
      <c r="BZ76" s="102">
        <v>0</v>
      </c>
      <c r="CA76" s="102" t="s">
        <v>954</v>
      </c>
      <c r="CB76" s="102">
        <v>1</v>
      </c>
      <c r="CC76" s="102">
        <v>3</v>
      </c>
      <c r="CD76" s="102" t="s">
        <v>1370</v>
      </c>
      <c r="CE76" s="102">
        <v>0</v>
      </c>
      <c r="CF76" s="102">
        <v>1</v>
      </c>
      <c r="CG76" s="102">
        <v>0</v>
      </c>
      <c r="CH76" s="102">
        <v>1</v>
      </c>
      <c r="CI76" s="102">
        <v>1</v>
      </c>
      <c r="CJ76" s="102">
        <v>1</v>
      </c>
      <c r="CK76" s="102">
        <v>1</v>
      </c>
      <c r="CL76" s="102">
        <v>0</v>
      </c>
      <c r="CM76" s="102">
        <v>1</v>
      </c>
      <c r="CN76" s="102">
        <v>1</v>
      </c>
      <c r="CO76" s="102">
        <v>0</v>
      </c>
      <c r="CP76" s="102">
        <v>0</v>
      </c>
      <c r="CQ76" s="102">
        <v>0</v>
      </c>
      <c r="CR76" s="102">
        <v>0</v>
      </c>
      <c r="CS76" s="102">
        <v>0</v>
      </c>
      <c r="CT76" s="102" t="s">
        <v>853</v>
      </c>
      <c r="CU76" s="102">
        <v>0</v>
      </c>
      <c r="CV76" s="102">
        <v>4</v>
      </c>
      <c r="CW76" s="102">
        <v>0</v>
      </c>
      <c r="CX76" s="102">
        <v>0</v>
      </c>
      <c r="CY76" s="102">
        <v>3</v>
      </c>
      <c r="CZ76" s="102">
        <v>0</v>
      </c>
      <c r="DA76" s="102" t="s">
        <v>853</v>
      </c>
      <c r="DB76" s="102">
        <v>0</v>
      </c>
      <c r="DC76" s="102">
        <v>0</v>
      </c>
      <c r="DD76" s="102">
        <v>0</v>
      </c>
      <c r="DE76" s="102">
        <v>0</v>
      </c>
      <c r="DF76" s="102">
        <v>0</v>
      </c>
      <c r="DG76" s="102">
        <v>0</v>
      </c>
      <c r="DH76" s="102">
        <v>1</v>
      </c>
      <c r="DI76" s="102">
        <v>1</v>
      </c>
      <c r="DJ76" s="102">
        <v>0</v>
      </c>
      <c r="DK76" s="102">
        <v>1</v>
      </c>
      <c r="DL76" s="102">
        <v>0</v>
      </c>
      <c r="DM76" s="102">
        <v>0</v>
      </c>
      <c r="DN76" s="102">
        <v>0</v>
      </c>
      <c r="DO76" s="102">
        <v>0</v>
      </c>
      <c r="DP76" s="102">
        <v>1</v>
      </c>
      <c r="DQ76" s="102">
        <v>0</v>
      </c>
      <c r="DR76" s="102">
        <v>1</v>
      </c>
      <c r="DS76" s="102">
        <v>0</v>
      </c>
      <c r="DT76" s="105" t="s">
        <v>1067</v>
      </c>
      <c r="DU76" s="102">
        <v>0</v>
      </c>
      <c r="DV76" s="102">
        <v>0</v>
      </c>
      <c r="DW76" s="102">
        <v>0</v>
      </c>
      <c r="DX76" s="102" t="s">
        <v>853</v>
      </c>
      <c r="DY76" s="102">
        <v>1</v>
      </c>
      <c r="DZ76" s="102">
        <v>0</v>
      </c>
      <c r="EA76" s="102" t="s">
        <v>853</v>
      </c>
      <c r="EB76" s="102">
        <v>1</v>
      </c>
      <c r="EC76" s="102">
        <v>0</v>
      </c>
      <c r="ED76" s="102">
        <v>0</v>
      </c>
      <c r="EE76" s="102">
        <v>1</v>
      </c>
      <c r="EF76" s="102">
        <v>4</v>
      </c>
      <c r="EG76" s="102">
        <v>0</v>
      </c>
      <c r="EH76" s="102" t="s">
        <v>853</v>
      </c>
      <c r="EI76" s="102">
        <v>0</v>
      </c>
      <c r="EJ76" s="102">
        <v>1</v>
      </c>
      <c r="EK76" s="102">
        <v>2</v>
      </c>
      <c r="EL76" s="102">
        <v>0</v>
      </c>
      <c r="EM76" s="102"/>
    </row>
    <row r="77" spans="1:143" ht="15.75" customHeight="1" x14ac:dyDescent="0.55000000000000004">
      <c r="A77" s="99">
        <v>75</v>
      </c>
      <c r="B77" s="102" t="s">
        <v>1371</v>
      </c>
      <c r="C77" s="102" t="s">
        <v>1372</v>
      </c>
      <c r="D77" s="103">
        <v>36418</v>
      </c>
      <c r="E77" s="102" t="s">
        <v>891</v>
      </c>
      <c r="F77" s="102">
        <v>15</v>
      </c>
      <c r="G77" s="102">
        <v>9</v>
      </c>
      <c r="H77" s="102">
        <v>1999</v>
      </c>
      <c r="I77" s="102" t="s">
        <v>1373</v>
      </c>
      <c r="J77" s="102" t="s">
        <v>1374</v>
      </c>
      <c r="K77" s="102" t="s">
        <v>849</v>
      </c>
      <c r="L77" s="102">
        <v>43</v>
      </c>
      <c r="M77" s="102">
        <v>0</v>
      </c>
      <c r="N77" s="102">
        <v>0</v>
      </c>
      <c r="O77" s="102">
        <v>3</v>
      </c>
      <c r="P77" s="102">
        <v>0</v>
      </c>
      <c r="Q77" s="104">
        <v>0</v>
      </c>
      <c r="R77" s="102">
        <v>0</v>
      </c>
      <c r="S77" s="102" t="s">
        <v>853</v>
      </c>
      <c r="T77" s="102">
        <v>0</v>
      </c>
      <c r="U77" s="102">
        <v>0</v>
      </c>
      <c r="V77" s="102">
        <v>7</v>
      </c>
      <c r="W77" s="102">
        <v>7</v>
      </c>
      <c r="X77" s="102">
        <v>0</v>
      </c>
      <c r="Y77" s="102">
        <v>0</v>
      </c>
      <c r="Z77" s="102">
        <v>0</v>
      </c>
      <c r="AA77" s="102">
        <v>47</v>
      </c>
      <c r="AB77" s="102">
        <v>0</v>
      </c>
      <c r="AC77" s="102">
        <v>0</v>
      </c>
      <c r="AD77" s="102">
        <v>0</v>
      </c>
      <c r="AE77" s="102">
        <v>0</v>
      </c>
      <c r="AF77" s="102">
        <v>0</v>
      </c>
      <c r="AG77" s="102">
        <v>2</v>
      </c>
      <c r="AH77" s="102">
        <v>0</v>
      </c>
      <c r="AI77" s="102" t="s">
        <v>1375</v>
      </c>
      <c r="AJ77" s="102">
        <v>3</v>
      </c>
      <c r="AK77" s="102">
        <v>3</v>
      </c>
      <c r="AL77" s="102">
        <v>3</v>
      </c>
      <c r="AM77" s="102">
        <v>0</v>
      </c>
      <c r="AN77" s="102">
        <v>0</v>
      </c>
      <c r="AO77" s="102">
        <v>0</v>
      </c>
      <c r="AP77" s="102">
        <v>0</v>
      </c>
      <c r="AQ77" s="102">
        <v>2</v>
      </c>
      <c r="AR77" s="102">
        <v>1</v>
      </c>
      <c r="AS77" s="102">
        <v>1</v>
      </c>
      <c r="AT77" s="102">
        <v>0</v>
      </c>
      <c r="AU77" s="102"/>
      <c r="AV77" s="102">
        <v>0</v>
      </c>
      <c r="AW77" s="102">
        <v>1</v>
      </c>
      <c r="AX77" s="102">
        <v>0</v>
      </c>
      <c r="AY77" s="102">
        <v>7</v>
      </c>
      <c r="AZ77" s="102">
        <v>4</v>
      </c>
      <c r="BA77" s="102">
        <v>2</v>
      </c>
      <c r="BB77" s="102">
        <v>0</v>
      </c>
      <c r="BC77" s="102">
        <v>2</v>
      </c>
      <c r="BD77" s="102" t="s">
        <v>954</v>
      </c>
      <c r="BE77" s="102">
        <v>1</v>
      </c>
      <c r="BF77" s="102">
        <v>0</v>
      </c>
      <c r="BG77" s="102">
        <v>0</v>
      </c>
      <c r="BH77" s="102">
        <v>0</v>
      </c>
      <c r="BI77" s="102">
        <v>0</v>
      </c>
      <c r="BJ77" s="102">
        <v>1</v>
      </c>
      <c r="BK77" s="102">
        <v>0</v>
      </c>
      <c r="BL77" s="102">
        <v>0</v>
      </c>
      <c r="BM77" s="102">
        <v>0</v>
      </c>
      <c r="BN77" s="102">
        <v>0</v>
      </c>
      <c r="BO77" s="102">
        <v>0</v>
      </c>
      <c r="BP77" s="102">
        <v>0</v>
      </c>
      <c r="BQ77" s="102">
        <v>0</v>
      </c>
      <c r="BR77" s="102">
        <v>0</v>
      </c>
      <c r="BS77" s="102">
        <v>0</v>
      </c>
      <c r="BT77" s="102">
        <v>0</v>
      </c>
      <c r="BU77" s="102">
        <v>1</v>
      </c>
      <c r="BV77" s="102">
        <v>0</v>
      </c>
      <c r="BW77" s="102">
        <v>0</v>
      </c>
      <c r="BX77" s="102">
        <v>0</v>
      </c>
      <c r="BY77" s="102">
        <v>0</v>
      </c>
      <c r="BZ77" s="102">
        <v>1</v>
      </c>
      <c r="CA77" s="102" t="s">
        <v>1056</v>
      </c>
      <c r="CB77" s="102">
        <v>1</v>
      </c>
      <c r="CC77" s="102">
        <v>2</v>
      </c>
      <c r="CD77" s="102" t="s">
        <v>1376</v>
      </c>
      <c r="CE77" s="102">
        <v>1</v>
      </c>
      <c r="CF77" s="102">
        <v>0</v>
      </c>
      <c r="CG77" s="102">
        <v>0</v>
      </c>
      <c r="CH77" s="102">
        <v>0</v>
      </c>
      <c r="CI77" s="102">
        <v>1</v>
      </c>
      <c r="CJ77" s="102">
        <v>1</v>
      </c>
      <c r="CK77" s="102">
        <v>1</v>
      </c>
      <c r="CL77" s="102">
        <v>1</v>
      </c>
      <c r="CM77" s="102">
        <v>1</v>
      </c>
      <c r="CN77" s="102">
        <v>1</v>
      </c>
      <c r="CO77" s="102">
        <v>0</v>
      </c>
      <c r="CP77" s="102">
        <v>0</v>
      </c>
      <c r="CQ77" s="102">
        <v>0</v>
      </c>
      <c r="CR77" s="102">
        <v>0</v>
      </c>
      <c r="CS77" s="102">
        <v>0</v>
      </c>
      <c r="CT77" s="102" t="s">
        <v>853</v>
      </c>
      <c r="CU77" s="102">
        <v>0</v>
      </c>
      <c r="CV77" s="102">
        <v>2</v>
      </c>
      <c r="CW77" s="102">
        <v>0</v>
      </c>
      <c r="CX77" s="102">
        <v>0</v>
      </c>
      <c r="CY77" s="102" t="s">
        <v>984</v>
      </c>
      <c r="CZ77" s="102">
        <v>0</v>
      </c>
      <c r="DA77" s="102" t="s">
        <v>853</v>
      </c>
      <c r="DB77" s="102">
        <v>0</v>
      </c>
      <c r="DC77" s="102">
        <v>4</v>
      </c>
      <c r="DD77" s="102">
        <v>0</v>
      </c>
      <c r="DE77" s="102">
        <v>3</v>
      </c>
      <c r="DF77" s="102">
        <v>0</v>
      </c>
      <c r="DG77" s="102">
        <v>0</v>
      </c>
      <c r="DH77" s="102">
        <v>0</v>
      </c>
      <c r="DI77" s="102">
        <v>0</v>
      </c>
      <c r="DJ77" s="102">
        <v>0</v>
      </c>
      <c r="DK77" s="102">
        <v>0</v>
      </c>
      <c r="DL77" s="102">
        <v>0</v>
      </c>
      <c r="DM77" s="102">
        <v>0</v>
      </c>
      <c r="DN77" s="102">
        <v>1</v>
      </c>
      <c r="DO77" s="102">
        <v>0</v>
      </c>
      <c r="DP77" s="102">
        <v>3</v>
      </c>
      <c r="DQ77" s="102">
        <v>0</v>
      </c>
      <c r="DR77" s="102">
        <v>0</v>
      </c>
      <c r="DS77" s="102" t="s">
        <v>853</v>
      </c>
      <c r="DT77" s="105" t="s">
        <v>853</v>
      </c>
      <c r="DU77" s="102" t="s">
        <v>853</v>
      </c>
      <c r="DV77" s="102">
        <v>1</v>
      </c>
      <c r="DW77" s="102">
        <v>0</v>
      </c>
      <c r="DX77" s="102" t="s">
        <v>853</v>
      </c>
      <c r="DY77" s="102">
        <v>0</v>
      </c>
      <c r="DZ77" s="102">
        <v>0</v>
      </c>
      <c r="EA77" s="102" t="s">
        <v>853</v>
      </c>
      <c r="EB77" s="102">
        <v>0</v>
      </c>
      <c r="EC77" s="102">
        <v>0</v>
      </c>
      <c r="ED77" s="102">
        <v>0</v>
      </c>
      <c r="EE77" s="102">
        <v>3</v>
      </c>
      <c r="EF77" s="102">
        <v>2</v>
      </c>
      <c r="EG77" s="102">
        <v>0</v>
      </c>
      <c r="EH77" s="102" t="s">
        <v>1377</v>
      </c>
      <c r="EI77" s="102">
        <v>0</v>
      </c>
      <c r="EJ77" s="102">
        <v>0</v>
      </c>
      <c r="EK77" s="102">
        <v>2</v>
      </c>
      <c r="EL77" s="102">
        <v>0</v>
      </c>
      <c r="EM77" s="102"/>
    </row>
    <row r="78" spans="1:143" ht="15.75" customHeight="1" x14ac:dyDescent="0.55000000000000004">
      <c r="A78" s="99">
        <v>76</v>
      </c>
      <c r="B78" s="102" t="s">
        <v>1378</v>
      </c>
      <c r="C78" s="102" t="s">
        <v>1379</v>
      </c>
      <c r="D78" s="103">
        <v>36466</v>
      </c>
      <c r="E78" s="102" t="s">
        <v>1032</v>
      </c>
      <c r="F78" s="102">
        <v>2</v>
      </c>
      <c r="G78" s="102">
        <v>11</v>
      </c>
      <c r="H78" s="102">
        <v>1999</v>
      </c>
      <c r="I78" s="102" t="s">
        <v>1380</v>
      </c>
      <c r="J78" s="102" t="s">
        <v>1381</v>
      </c>
      <c r="K78" s="102" t="s">
        <v>1382</v>
      </c>
      <c r="L78" s="102">
        <v>11</v>
      </c>
      <c r="M78" s="102">
        <v>3</v>
      </c>
      <c r="N78" s="102">
        <v>0</v>
      </c>
      <c r="O78" s="107">
        <v>6</v>
      </c>
      <c r="P78" s="102">
        <v>1</v>
      </c>
      <c r="Q78" s="104">
        <v>1</v>
      </c>
      <c r="R78" s="102">
        <v>0</v>
      </c>
      <c r="S78" s="102" t="s">
        <v>853</v>
      </c>
      <c r="T78" s="102">
        <v>0</v>
      </c>
      <c r="U78" s="102">
        <v>0</v>
      </c>
      <c r="V78" s="102">
        <v>7</v>
      </c>
      <c r="W78" s="102">
        <v>0</v>
      </c>
      <c r="X78" s="102">
        <v>0</v>
      </c>
      <c r="Y78" s="102">
        <v>0</v>
      </c>
      <c r="Z78" s="102">
        <v>0</v>
      </c>
      <c r="AA78" s="102">
        <v>40</v>
      </c>
      <c r="AB78" s="102">
        <v>0</v>
      </c>
      <c r="AC78" s="102">
        <v>3</v>
      </c>
      <c r="AD78" s="102">
        <v>0</v>
      </c>
      <c r="AE78" s="102">
        <v>0</v>
      </c>
      <c r="AF78" s="102">
        <v>3</v>
      </c>
      <c r="AG78" s="102">
        <v>2</v>
      </c>
      <c r="AH78" s="102"/>
      <c r="AI78" s="102"/>
      <c r="AJ78" s="102">
        <v>3</v>
      </c>
      <c r="AK78" s="102">
        <v>1</v>
      </c>
      <c r="AL78" s="102">
        <v>1</v>
      </c>
      <c r="AM78" s="102">
        <v>0</v>
      </c>
      <c r="AN78" s="102">
        <v>0</v>
      </c>
      <c r="AO78" s="102">
        <v>0</v>
      </c>
      <c r="AP78" s="102">
        <v>1</v>
      </c>
      <c r="AQ78" s="102">
        <v>2</v>
      </c>
      <c r="AR78" s="102">
        <v>0</v>
      </c>
      <c r="AS78" s="102" t="s">
        <v>853</v>
      </c>
      <c r="AT78" s="102">
        <v>0</v>
      </c>
      <c r="AU78" s="102"/>
      <c r="AV78" s="102">
        <v>0</v>
      </c>
      <c r="AW78" s="102">
        <v>1</v>
      </c>
      <c r="AX78" s="102">
        <v>0</v>
      </c>
      <c r="AY78" s="102" t="s">
        <v>1383</v>
      </c>
      <c r="AZ78" s="102">
        <v>4</v>
      </c>
      <c r="BA78" s="102">
        <v>2</v>
      </c>
      <c r="BB78" s="102">
        <v>0</v>
      </c>
      <c r="BC78" s="102">
        <v>0</v>
      </c>
      <c r="BD78" s="102">
        <v>0</v>
      </c>
      <c r="BE78" s="102">
        <v>0</v>
      </c>
      <c r="BF78" s="102">
        <v>0</v>
      </c>
      <c r="BG78" s="102">
        <v>0</v>
      </c>
      <c r="BH78" s="102">
        <v>0</v>
      </c>
      <c r="BI78" s="102">
        <v>0</v>
      </c>
      <c r="BJ78" s="102">
        <v>1</v>
      </c>
      <c r="BK78" s="102">
        <v>0</v>
      </c>
      <c r="BL78" s="102">
        <v>0</v>
      </c>
      <c r="BM78" s="102">
        <v>0</v>
      </c>
      <c r="BN78" s="102">
        <v>0</v>
      </c>
      <c r="BO78" s="102">
        <v>0</v>
      </c>
      <c r="BP78" s="102">
        <v>0</v>
      </c>
      <c r="BQ78" s="102">
        <v>0</v>
      </c>
      <c r="BR78" s="102">
        <v>0</v>
      </c>
      <c r="BS78" s="102">
        <v>0</v>
      </c>
      <c r="BT78" s="102">
        <v>0</v>
      </c>
      <c r="BU78" s="102">
        <v>1</v>
      </c>
      <c r="BV78" s="102">
        <v>0</v>
      </c>
      <c r="BW78" s="102">
        <v>0</v>
      </c>
      <c r="BX78" s="102">
        <v>0</v>
      </c>
      <c r="BY78" s="102">
        <v>0</v>
      </c>
      <c r="BZ78" s="102">
        <v>1</v>
      </c>
      <c r="CA78" s="102">
        <v>2</v>
      </c>
      <c r="CB78" s="102">
        <v>1</v>
      </c>
      <c r="CC78" s="102">
        <v>3</v>
      </c>
      <c r="CD78" s="102" t="s">
        <v>1384</v>
      </c>
      <c r="CE78" s="102">
        <v>1</v>
      </c>
      <c r="CF78" s="102">
        <v>0</v>
      </c>
      <c r="CG78" s="102">
        <v>0</v>
      </c>
      <c r="CH78" s="102">
        <v>0</v>
      </c>
      <c r="CI78" s="102">
        <v>1</v>
      </c>
      <c r="CJ78" s="102">
        <v>1</v>
      </c>
      <c r="CK78" s="102">
        <v>1</v>
      </c>
      <c r="CL78" s="102">
        <v>1</v>
      </c>
      <c r="CM78" s="102">
        <v>1</v>
      </c>
      <c r="CN78" s="102">
        <v>0</v>
      </c>
      <c r="CO78" s="102">
        <v>1</v>
      </c>
      <c r="CP78" s="102">
        <v>2</v>
      </c>
      <c r="CQ78" s="102">
        <v>1</v>
      </c>
      <c r="CR78" s="102">
        <v>2</v>
      </c>
      <c r="CS78" s="102">
        <v>0</v>
      </c>
      <c r="CT78" s="102" t="s">
        <v>853</v>
      </c>
      <c r="CU78" s="102">
        <v>0</v>
      </c>
      <c r="CV78" s="102">
        <v>2</v>
      </c>
      <c r="CW78" s="102">
        <v>0</v>
      </c>
      <c r="CX78" s="102">
        <v>0</v>
      </c>
      <c r="CY78" s="102">
        <v>0</v>
      </c>
      <c r="CZ78" s="102">
        <v>1</v>
      </c>
      <c r="DA78" s="102" t="s">
        <v>1385</v>
      </c>
      <c r="DB78" s="102">
        <v>1</v>
      </c>
      <c r="DC78" s="102">
        <v>0</v>
      </c>
      <c r="DD78" s="102">
        <v>0</v>
      </c>
      <c r="DE78" s="102">
        <v>0</v>
      </c>
      <c r="DF78" s="102">
        <v>0</v>
      </c>
      <c r="DG78" s="102">
        <v>0</v>
      </c>
      <c r="DH78" s="102">
        <v>1</v>
      </c>
      <c r="DI78" s="102">
        <v>0</v>
      </c>
      <c r="DJ78" s="102">
        <v>0</v>
      </c>
      <c r="DK78" s="102">
        <v>0</v>
      </c>
      <c r="DL78" s="102">
        <v>0</v>
      </c>
      <c r="DM78" s="102">
        <v>0</v>
      </c>
      <c r="DN78" s="102">
        <v>0</v>
      </c>
      <c r="DO78" s="102">
        <v>0</v>
      </c>
      <c r="DP78" s="102">
        <v>2</v>
      </c>
      <c r="DQ78" s="102">
        <v>0</v>
      </c>
      <c r="DR78" s="102">
        <v>1</v>
      </c>
      <c r="DS78" s="102">
        <v>0</v>
      </c>
      <c r="DT78" s="105" t="s">
        <v>945</v>
      </c>
      <c r="DU78" s="102">
        <v>0</v>
      </c>
      <c r="DV78" s="102">
        <v>0</v>
      </c>
      <c r="DW78" s="102">
        <v>0</v>
      </c>
      <c r="DX78" s="102" t="s">
        <v>853</v>
      </c>
      <c r="DY78" s="102">
        <v>0</v>
      </c>
      <c r="DZ78" s="102">
        <v>0</v>
      </c>
      <c r="EA78" s="102" t="s">
        <v>853</v>
      </c>
      <c r="EB78" s="102">
        <v>0</v>
      </c>
      <c r="EC78" s="102">
        <v>0</v>
      </c>
      <c r="ED78" s="102">
        <v>1</v>
      </c>
      <c r="EE78" s="102">
        <v>1</v>
      </c>
      <c r="EF78" s="102">
        <v>1</v>
      </c>
      <c r="EG78" s="102">
        <v>0</v>
      </c>
      <c r="EH78" s="102" t="s">
        <v>853</v>
      </c>
      <c r="EI78" s="102">
        <v>2</v>
      </c>
      <c r="EJ78" s="102">
        <v>0</v>
      </c>
      <c r="EK78" s="102">
        <v>1</v>
      </c>
      <c r="EL78" s="102">
        <v>2</v>
      </c>
      <c r="EM78" s="102"/>
    </row>
    <row r="79" spans="1:143" ht="15.75" customHeight="1" x14ac:dyDescent="0.55000000000000004">
      <c r="A79" s="99">
        <v>77</v>
      </c>
      <c r="B79" s="102" t="s">
        <v>1386</v>
      </c>
      <c r="C79" s="102" t="s">
        <v>1387</v>
      </c>
      <c r="D79" s="103">
        <v>36524</v>
      </c>
      <c r="E79" s="102" t="s">
        <v>995</v>
      </c>
      <c r="F79" s="102">
        <v>30</v>
      </c>
      <c r="G79" s="102">
        <v>12</v>
      </c>
      <c r="H79" s="102">
        <v>1999</v>
      </c>
      <c r="I79" s="102" t="s">
        <v>1388</v>
      </c>
      <c r="J79" s="102" t="s">
        <v>1389</v>
      </c>
      <c r="K79" s="102" t="s">
        <v>1022</v>
      </c>
      <c r="L79" s="102">
        <v>9</v>
      </c>
      <c r="M79" s="102">
        <v>0</v>
      </c>
      <c r="N79" s="102">
        <v>0</v>
      </c>
      <c r="O79" s="106">
        <v>4</v>
      </c>
      <c r="P79" s="102">
        <v>1</v>
      </c>
      <c r="Q79" s="104">
        <v>1</v>
      </c>
      <c r="R79" s="102">
        <v>1</v>
      </c>
      <c r="S79" s="102">
        <v>5</v>
      </c>
      <c r="T79" s="102">
        <v>0</v>
      </c>
      <c r="U79" s="102">
        <v>0</v>
      </c>
      <c r="V79" s="102">
        <v>5</v>
      </c>
      <c r="W79" s="102">
        <v>3</v>
      </c>
      <c r="X79" s="102">
        <v>0</v>
      </c>
      <c r="Y79" s="102">
        <v>0</v>
      </c>
      <c r="Z79" s="102">
        <v>0</v>
      </c>
      <c r="AA79" s="102">
        <v>36</v>
      </c>
      <c r="AB79" s="102">
        <v>0</v>
      </c>
      <c r="AC79" s="102">
        <v>2</v>
      </c>
      <c r="AD79" s="102">
        <v>1</v>
      </c>
      <c r="AE79" s="102">
        <v>0</v>
      </c>
      <c r="AF79" s="102">
        <v>4</v>
      </c>
      <c r="AG79" s="102"/>
      <c r="AH79" s="102"/>
      <c r="AI79" s="102"/>
      <c r="AJ79" s="102"/>
      <c r="AK79" s="102"/>
      <c r="AL79" s="102"/>
      <c r="AM79" s="102"/>
      <c r="AN79" s="102">
        <v>0</v>
      </c>
      <c r="AO79" s="102">
        <v>1</v>
      </c>
      <c r="AP79" s="102">
        <v>1</v>
      </c>
      <c r="AQ79" s="102">
        <v>0</v>
      </c>
      <c r="AR79" s="102">
        <v>0</v>
      </c>
      <c r="AS79" s="102" t="s">
        <v>853</v>
      </c>
      <c r="AT79" s="102"/>
      <c r="AU79" s="102"/>
      <c r="AV79" s="102">
        <v>0</v>
      </c>
      <c r="AW79" s="102">
        <v>1</v>
      </c>
      <c r="AX79" s="102">
        <v>4</v>
      </c>
      <c r="AY79" s="102">
        <v>0</v>
      </c>
      <c r="AZ79" s="102">
        <v>2</v>
      </c>
      <c r="BA79" s="102">
        <v>0</v>
      </c>
      <c r="BB79" s="102">
        <v>0</v>
      </c>
      <c r="BC79" s="102">
        <v>0</v>
      </c>
      <c r="BD79" s="102">
        <v>0</v>
      </c>
      <c r="BE79" s="102">
        <v>0</v>
      </c>
      <c r="BF79" s="102">
        <v>0</v>
      </c>
      <c r="BG79" s="102">
        <v>0</v>
      </c>
      <c r="BH79" s="102">
        <v>0</v>
      </c>
      <c r="BI79" s="102">
        <v>0</v>
      </c>
      <c r="BJ79" s="102">
        <v>0</v>
      </c>
      <c r="BK79" s="102">
        <v>0</v>
      </c>
      <c r="BL79" s="102">
        <v>0</v>
      </c>
      <c r="BM79" s="102">
        <v>0</v>
      </c>
      <c r="BN79" s="102">
        <v>0</v>
      </c>
      <c r="BO79" s="102">
        <v>0</v>
      </c>
      <c r="BP79" s="102">
        <v>0</v>
      </c>
      <c r="BQ79" s="102">
        <v>0</v>
      </c>
      <c r="BR79" s="102">
        <v>0</v>
      </c>
      <c r="BS79" s="102">
        <v>0</v>
      </c>
      <c r="BT79" s="102">
        <v>0</v>
      </c>
      <c r="BU79" s="102"/>
      <c r="BV79" s="102">
        <v>0</v>
      </c>
      <c r="BW79" s="102">
        <v>0</v>
      </c>
      <c r="BX79" s="102">
        <v>0</v>
      </c>
      <c r="BY79" s="102">
        <v>0</v>
      </c>
      <c r="BZ79" s="102">
        <v>0</v>
      </c>
      <c r="CA79" s="102">
        <v>0</v>
      </c>
      <c r="CB79" s="102">
        <v>0</v>
      </c>
      <c r="CC79" s="102" t="s">
        <v>853</v>
      </c>
      <c r="CD79" s="102"/>
      <c r="CE79" s="102">
        <v>0</v>
      </c>
      <c r="CF79" s="102">
        <v>0</v>
      </c>
      <c r="CG79" s="102">
        <v>0</v>
      </c>
      <c r="CH79" s="102">
        <v>0</v>
      </c>
      <c r="CI79" s="102">
        <v>0</v>
      </c>
      <c r="CJ79" s="102">
        <v>0</v>
      </c>
      <c r="CK79" s="102">
        <v>0</v>
      </c>
      <c r="CL79" s="102">
        <v>0</v>
      </c>
      <c r="CM79" s="102">
        <v>0</v>
      </c>
      <c r="CN79" s="102">
        <v>0</v>
      </c>
      <c r="CO79" s="102">
        <v>0</v>
      </c>
      <c r="CP79" s="102">
        <v>0</v>
      </c>
      <c r="CQ79" s="102">
        <v>0</v>
      </c>
      <c r="CR79" s="102">
        <v>0</v>
      </c>
      <c r="CS79" s="102">
        <v>0</v>
      </c>
      <c r="CT79" s="102" t="s">
        <v>853</v>
      </c>
      <c r="CU79" s="102">
        <v>0</v>
      </c>
      <c r="CV79" s="102">
        <v>1</v>
      </c>
      <c r="CW79" s="102">
        <v>0</v>
      </c>
      <c r="CX79" s="102">
        <v>0</v>
      </c>
      <c r="CY79" s="102" t="s">
        <v>954</v>
      </c>
      <c r="CZ79" s="102">
        <v>0</v>
      </c>
      <c r="DA79" s="102" t="s">
        <v>853</v>
      </c>
      <c r="DB79" s="102">
        <v>0</v>
      </c>
      <c r="DC79" s="102">
        <v>0</v>
      </c>
      <c r="DD79" s="102">
        <v>0</v>
      </c>
      <c r="DE79" s="102">
        <v>0</v>
      </c>
      <c r="DF79" s="102">
        <v>0</v>
      </c>
      <c r="DG79" s="102">
        <v>0</v>
      </c>
      <c r="DH79" s="102">
        <v>0</v>
      </c>
      <c r="DI79" s="102">
        <v>0</v>
      </c>
      <c r="DJ79" s="102">
        <v>0</v>
      </c>
      <c r="DK79" s="102">
        <v>0</v>
      </c>
      <c r="DL79" s="102">
        <v>0</v>
      </c>
      <c r="DM79" s="102">
        <v>0</v>
      </c>
      <c r="DN79" s="102">
        <v>0</v>
      </c>
      <c r="DO79" s="102">
        <v>1</v>
      </c>
      <c r="DP79" s="102">
        <v>0</v>
      </c>
      <c r="DQ79" s="102">
        <v>0</v>
      </c>
      <c r="DR79" s="102">
        <v>0</v>
      </c>
      <c r="DS79" s="102" t="s">
        <v>853</v>
      </c>
      <c r="DT79" s="105" t="s">
        <v>853</v>
      </c>
      <c r="DU79" s="102" t="s">
        <v>853</v>
      </c>
      <c r="DV79" s="102">
        <v>0</v>
      </c>
      <c r="DW79" s="102">
        <v>0</v>
      </c>
      <c r="DX79" s="102" t="s">
        <v>853</v>
      </c>
      <c r="DY79" s="102">
        <v>0</v>
      </c>
      <c r="DZ79" s="102">
        <v>0</v>
      </c>
      <c r="EA79" s="102" t="s">
        <v>853</v>
      </c>
      <c r="EB79" s="102">
        <v>0</v>
      </c>
      <c r="EC79" s="102">
        <v>0</v>
      </c>
      <c r="ED79" s="102">
        <v>0</v>
      </c>
      <c r="EE79" s="102">
        <v>1</v>
      </c>
      <c r="EF79" s="102">
        <v>2</v>
      </c>
      <c r="EG79" s="102">
        <v>0</v>
      </c>
      <c r="EH79" s="102" t="s">
        <v>853</v>
      </c>
      <c r="EI79" s="102">
        <v>2</v>
      </c>
      <c r="EJ79" s="102">
        <v>1</v>
      </c>
      <c r="EK79" s="102">
        <v>1</v>
      </c>
      <c r="EL79" s="102">
        <v>2</v>
      </c>
      <c r="EM79" s="102"/>
    </row>
    <row r="80" spans="1:143" ht="15.75" customHeight="1" x14ac:dyDescent="0.55000000000000004">
      <c r="A80" s="99">
        <v>78</v>
      </c>
      <c r="B80" s="102" t="s">
        <v>1139</v>
      </c>
      <c r="C80" s="102" t="s">
        <v>859</v>
      </c>
      <c r="D80" s="103">
        <v>36605</v>
      </c>
      <c r="E80" s="102" t="s">
        <v>846</v>
      </c>
      <c r="F80" s="102">
        <v>20</v>
      </c>
      <c r="G80" s="102">
        <v>3</v>
      </c>
      <c r="H80" s="102">
        <v>2000</v>
      </c>
      <c r="I80" s="102" t="s">
        <v>1390</v>
      </c>
      <c r="J80" s="102" t="s">
        <v>1391</v>
      </c>
      <c r="K80" s="102" t="s">
        <v>849</v>
      </c>
      <c r="L80" s="102">
        <v>43</v>
      </c>
      <c r="M80" s="102">
        <v>0</v>
      </c>
      <c r="N80" s="102">
        <v>0</v>
      </c>
      <c r="O80" s="106">
        <v>4</v>
      </c>
      <c r="P80" s="102">
        <v>1</v>
      </c>
      <c r="Q80" s="104">
        <v>1</v>
      </c>
      <c r="R80" s="102">
        <v>0</v>
      </c>
      <c r="S80" s="102" t="s">
        <v>853</v>
      </c>
      <c r="T80" s="102">
        <v>0</v>
      </c>
      <c r="U80" s="102">
        <v>0</v>
      </c>
      <c r="V80" s="102">
        <v>5</v>
      </c>
      <c r="W80" s="102">
        <v>1</v>
      </c>
      <c r="X80" s="102">
        <v>0</v>
      </c>
      <c r="Y80" s="102">
        <v>0</v>
      </c>
      <c r="Z80" s="102">
        <v>0</v>
      </c>
      <c r="AA80" s="102">
        <v>28</v>
      </c>
      <c r="AB80" s="102">
        <v>0</v>
      </c>
      <c r="AC80" s="102">
        <v>1</v>
      </c>
      <c r="AD80" s="102">
        <v>0</v>
      </c>
      <c r="AE80" s="102">
        <v>0</v>
      </c>
      <c r="AF80" s="102">
        <v>1</v>
      </c>
      <c r="AG80" s="102">
        <v>0</v>
      </c>
      <c r="AH80" s="102">
        <v>1</v>
      </c>
      <c r="AI80" s="102" t="s">
        <v>1392</v>
      </c>
      <c r="AJ80" s="102">
        <v>3</v>
      </c>
      <c r="AK80" s="102">
        <v>1</v>
      </c>
      <c r="AL80" s="102">
        <v>1</v>
      </c>
      <c r="AM80" s="102">
        <v>0</v>
      </c>
      <c r="AN80" s="102">
        <v>0</v>
      </c>
      <c r="AO80" s="102">
        <v>0</v>
      </c>
      <c r="AP80" s="102">
        <v>0</v>
      </c>
      <c r="AQ80" s="102">
        <v>0</v>
      </c>
      <c r="AR80" s="102">
        <v>0</v>
      </c>
      <c r="AS80" s="102" t="s">
        <v>853</v>
      </c>
      <c r="AT80" s="102">
        <v>0</v>
      </c>
      <c r="AU80" s="102"/>
      <c r="AV80" s="102">
        <v>0</v>
      </c>
      <c r="AW80" s="102">
        <v>1</v>
      </c>
      <c r="AX80" s="102" t="s">
        <v>1049</v>
      </c>
      <c r="AY80" s="102" t="s">
        <v>1393</v>
      </c>
      <c r="AZ80" s="102">
        <v>1</v>
      </c>
      <c r="BA80" s="102">
        <v>1</v>
      </c>
      <c r="BB80" s="102">
        <v>0</v>
      </c>
      <c r="BC80" s="102">
        <v>0</v>
      </c>
      <c r="BD80" s="102">
        <v>0</v>
      </c>
      <c r="BE80" s="102">
        <v>1</v>
      </c>
      <c r="BF80" s="102">
        <v>0</v>
      </c>
      <c r="BG80" s="102">
        <v>0</v>
      </c>
      <c r="BH80" s="102">
        <v>0</v>
      </c>
      <c r="BI80" s="102">
        <v>0</v>
      </c>
      <c r="BJ80" s="102">
        <v>0</v>
      </c>
      <c r="BK80" s="102">
        <v>0</v>
      </c>
      <c r="BL80" s="102">
        <v>1</v>
      </c>
      <c r="BM80" s="102">
        <v>0</v>
      </c>
      <c r="BN80" s="102">
        <v>1</v>
      </c>
      <c r="BO80" s="102">
        <v>0</v>
      </c>
      <c r="BP80" s="102">
        <v>1</v>
      </c>
      <c r="BQ80" s="102">
        <v>0</v>
      </c>
      <c r="BR80" s="102">
        <v>0</v>
      </c>
      <c r="BS80" s="102">
        <v>1</v>
      </c>
      <c r="BT80" s="102">
        <v>0</v>
      </c>
      <c r="BU80" s="102"/>
      <c r="BV80" s="102">
        <v>1</v>
      </c>
      <c r="BW80" s="102">
        <v>0</v>
      </c>
      <c r="BX80" s="102">
        <v>1</v>
      </c>
      <c r="BY80" s="102">
        <v>1</v>
      </c>
      <c r="BZ80" s="102">
        <v>0</v>
      </c>
      <c r="CA80" s="102">
        <v>2</v>
      </c>
      <c r="CB80" s="102">
        <v>0</v>
      </c>
      <c r="CC80" s="102" t="s">
        <v>853</v>
      </c>
      <c r="CD80" s="102"/>
      <c r="CE80" s="102">
        <v>0</v>
      </c>
      <c r="CF80" s="102">
        <v>0</v>
      </c>
      <c r="CG80" s="102">
        <v>0</v>
      </c>
      <c r="CH80" s="102">
        <v>0</v>
      </c>
      <c r="CI80" s="102">
        <v>0</v>
      </c>
      <c r="CJ80" s="102">
        <v>0</v>
      </c>
      <c r="CK80" s="102">
        <v>0</v>
      </c>
      <c r="CL80" s="102">
        <v>0</v>
      </c>
      <c r="CM80" s="102">
        <v>0</v>
      </c>
      <c r="CN80" s="102">
        <v>0</v>
      </c>
      <c r="CO80" s="102">
        <v>0</v>
      </c>
      <c r="CP80" s="102">
        <v>0</v>
      </c>
      <c r="CQ80" s="102">
        <v>0</v>
      </c>
      <c r="CR80" s="102">
        <v>0</v>
      </c>
      <c r="CS80" s="102">
        <v>0</v>
      </c>
      <c r="CT80" s="102" t="s">
        <v>853</v>
      </c>
      <c r="CU80" s="102">
        <v>0</v>
      </c>
      <c r="CV80" s="102">
        <v>1</v>
      </c>
      <c r="CW80" s="102">
        <v>0</v>
      </c>
      <c r="CX80" s="102">
        <v>0</v>
      </c>
      <c r="CY80" s="102">
        <v>0</v>
      </c>
      <c r="CZ80" s="102">
        <v>0</v>
      </c>
      <c r="DA80" s="102" t="s">
        <v>853</v>
      </c>
      <c r="DB80" s="102">
        <v>0</v>
      </c>
      <c r="DC80" s="102">
        <v>0</v>
      </c>
      <c r="DD80" s="102">
        <v>0</v>
      </c>
      <c r="DE80" s="102">
        <v>0</v>
      </c>
      <c r="DF80" s="102">
        <v>0</v>
      </c>
      <c r="DG80" s="102">
        <v>0</v>
      </c>
      <c r="DH80" s="102">
        <v>1</v>
      </c>
      <c r="DI80" s="102">
        <v>0</v>
      </c>
      <c r="DJ80" s="102">
        <v>0</v>
      </c>
      <c r="DK80" s="102">
        <v>0</v>
      </c>
      <c r="DL80" s="102">
        <v>0</v>
      </c>
      <c r="DM80" s="102">
        <v>0</v>
      </c>
      <c r="DN80" s="102">
        <v>0</v>
      </c>
      <c r="DO80" s="102">
        <v>0</v>
      </c>
      <c r="DP80" s="102">
        <v>0</v>
      </c>
      <c r="DQ80" s="102">
        <v>0</v>
      </c>
      <c r="DR80" s="102">
        <v>0</v>
      </c>
      <c r="DS80" s="102" t="s">
        <v>853</v>
      </c>
      <c r="DT80" s="105" t="s">
        <v>853</v>
      </c>
      <c r="DU80" s="102" t="s">
        <v>853</v>
      </c>
      <c r="DV80" s="102">
        <v>0</v>
      </c>
      <c r="DW80" s="102">
        <v>0</v>
      </c>
      <c r="DX80" s="102" t="s">
        <v>853</v>
      </c>
      <c r="DY80" s="102">
        <v>0</v>
      </c>
      <c r="DZ80" s="102">
        <v>0</v>
      </c>
      <c r="EA80" s="102" t="s">
        <v>853</v>
      </c>
      <c r="EB80" s="102">
        <v>0</v>
      </c>
      <c r="EC80" s="102">
        <v>0</v>
      </c>
      <c r="ED80" s="102">
        <v>0</v>
      </c>
      <c r="EE80" s="102">
        <v>0</v>
      </c>
      <c r="EF80" s="102">
        <v>1</v>
      </c>
      <c r="EG80" s="102">
        <v>1</v>
      </c>
      <c r="EH80" s="102" t="s">
        <v>1310</v>
      </c>
      <c r="EI80" s="102">
        <v>2</v>
      </c>
      <c r="EJ80" s="102">
        <v>1</v>
      </c>
      <c r="EK80" s="102">
        <v>0</v>
      </c>
      <c r="EL80" s="102">
        <v>1</v>
      </c>
      <c r="EM80" s="102"/>
    </row>
    <row r="81" spans="1:143" ht="15.75" customHeight="1" x14ac:dyDescent="0.55000000000000004">
      <c r="A81" s="99">
        <v>79</v>
      </c>
      <c r="B81" s="102" t="s">
        <v>1394</v>
      </c>
      <c r="C81" s="102" t="s">
        <v>1095</v>
      </c>
      <c r="D81" s="103">
        <v>36644</v>
      </c>
      <c r="E81" s="102" t="s">
        <v>959</v>
      </c>
      <c r="F81" s="102">
        <v>28</v>
      </c>
      <c r="G81" s="102">
        <v>4</v>
      </c>
      <c r="H81" s="102">
        <v>2000</v>
      </c>
      <c r="I81" s="102" t="s">
        <v>1395</v>
      </c>
      <c r="J81" s="102" t="s">
        <v>1396</v>
      </c>
      <c r="K81" s="102" t="s">
        <v>873</v>
      </c>
      <c r="L81" s="102">
        <v>38</v>
      </c>
      <c r="M81" s="102">
        <v>2</v>
      </c>
      <c r="N81" s="102">
        <v>1</v>
      </c>
      <c r="O81" s="102">
        <v>7</v>
      </c>
      <c r="P81" s="102">
        <v>0</v>
      </c>
      <c r="Q81" s="104">
        <v>0</v>
      </c>
      <c r="R81" s="102">
        <v>1</v>
      </c>
      <c r="S81" s="102">
        <v>4</v>
      </c>
      <c r="T81" s="102">
        <v>0</v>
      </c>
      <c r="U81" s="102">
        <v>0</v>
      </c>
      <c r="V81" s="102">
        <v>5</v>
      </c>
      <c r="W81" s="102">
        <v>1</v>
      </c>
      <c r="X81" s="102">
        <v>0</v>
      </c>
      <c r="Y81" s="102">
        <v>0</v>
      </c>
      <c r="Z81" s="102">
        <v>0</v>
      </c>
      <c r="AA81" s="102">
        <v>34</v>
      </c>
      <c r="AB81" s="102">
        <v>0</v>
      </c>
      <c r="AC81" s="102">
        <v>0</v>
      </c>
      <c r="AD81" s="102">
        <v>0</v>
      </c>
      <c r="AE81" s="102">
        <v>0</v>
      </c>
      <c r="AF81" s="102"/>
      <c r="AG81" s="102">
        <v>4</v>
      </c>
      <c r="AH81" s="102">
        <v>2</v>
      </c>
      <c r="AI81" s="102" t="s">
        <v>1397</v>
      </c>
      <c r="AJ81" s="102">
        <v>3</v>
      </c>
      <c r="AK81" s="102">
        <v>1</v>
      </c>
      <c r="AL81" s="102">
        <v>1</v>
      </c>
      <c r="AM81" s="102">
        <v>0</v>
      </c>
      <c r="AN81" s="102">
        <v>0</v>
      </c>
      <c r="AO81" s="102">
        <v>0</v>
      </c>
      <c r="AP81" s="102">
        <v>0</v>
      </c>
      <c r="AQ81" s="102">
        <v>1</v>
      </c>
      <c r="AR81" s="102">
        <v>0</v>
      </c>
      <c r="AS81" s="102" t="s">
        <v>853</v>
      </c>
      <c r="AT81" s="102">
        <v>0</v>
      </c>
      <c r="AU81" s="102"/>
      <c r="AV81" s="102">
        <v>0</v>
      </c>
      <c r="AW81" s="102">
        <v>1</v>
      </c>
      <c r="AX81" s="102">
        <v>0</v>
      </c>
      <c r="AY81" s="102">
        <v>1</v>
      </c>
      <c r="AZ81" s="102">
        <v>2</v>
      </c>
      <c r="BA81" s="102">
        <v>0</v>
      </c>
      <c r="BB81" s="102">
        <v>0</v>
      </c>
      <c r="BC81" s="102">
        <v>0</v>
      </c>
      <c r="BD81" s="102">
        <v>0</v>
      </c>
      <c r="BE81" s="102">
        <v>0</v>
      </c>
      <c r="BF81" s="102">
        <v>0</v>
      </c>
      <c r="BG81" s="102">
        <v>0</v>
      </c>
      <c r="BH81" s="102">
        <v>1</v>
      </c>
      <c r="BI81" s="102">
        <v>0</v>
      </c>
      <c r="BJ81" s="102">
        <v>0</v>
      </c>
      <c r="BK81" s="102">
        <v>0</v>
      </c>
      <c r="BL81" s="102">
        <v>0</v>
      </c>
      <c r="BM81" s="102">
        <v>0</v>
      </c>
      <c r="BN81" s="102">
        <v>0</v>
      </c>
      <c r="BO81" s="102">
        <v>0</v>
      </c>
      <c r="BP81" s="102">
        <v>0</v>
      </c>
      <c r="BQ81" s="102">
        <v>0</v>
      </c>
      <c r="BR81" s="102">
        <v>0</v>
      </c>
      <c r="BS81" s="102">
        <v>0</v>
      </c>
      <c r="BT81" s="102">
        <v>0</v>
      </c>
      <c r="BU81" s="102">
        <v>2</v>
      </c>
      <c r="BV81" s="102">
        <v>0</v>
      </c>
      <c r="BW81" s="102">
        <v>0</v>
      </c>
      <c r="BX81" s="102">
        <v>0</v>
      </c>
      <c r="BY81" s="102">
        <v>0</v>
      </c>
      <c r="BZ81" s="102">
        <v>0</v>
      </c>
      <c r="CA81" s="102">
        <v>0</v>
      </c>
      <c r="CB81" s="102">
        <v>1</v>
      </c>
      <c r="CC81" s="102">
        <v>3</v>
      </c>
      <c r="CD81" s="102" t="s">
        <v>1398</v>
      </c>
      <c r="CE81" s="102">
        <v>1</v>
      </c>
      <c r="CF81" s="102">
        <v>0</v>
      </c>
      <c r="CG81" s="102">
        <v>0</v>
      </c>
      <c r="CH81" s="102">
        <v>0</v>
      </c>
      <c r="CI81" s="102">
        <v>1</v>
      </c>
      <c r="CJ81" s="102">
        <v>1</v>
      </c>
      <c r="CK81" s="102">
        <v>1</v>
      </c>
      <c r="CL81" s="102">
        <v>1</v>
      </c>
      <c r="CM81" s="102">
        <v>1</v>
      </c>
      <c r="CN81" s="102">
        <v>1</v>
      </c>
      <c r="CO81" s="102">
        <v>1</v>
      </c>
      <c r="CP81" s="102">
        <v>1</v>
      </c>
      <c r="CQ81" s="102">
        <v>1</v>
      </c>
      <c r="CR81" s="102">
        <v>1</v>
      </c>
      <c r="CS81" s="102">
        <v>1</v>
      </c>
      <c r="CT81" s="102" t="s">
        <v>1399</v>
      </c>
      <c r="CU81" s="102">
        <v>1</v>
      </c>
      <c r="CV81" s="102">
        <v>2</v>
      </c>
      <c r="CW81" s="102">
        <v>0</v>
      </c>
      <c r="CX81" s="102">
        <v>0</v>
      </c>
      <c r="CY81" s="102">
        <v>0</v>
      </c>
      <c r="CZ81" s="102">
        <v>0</v>
      </c>
      <c r="DA81" s="102" t="s">
        <v>853</v>
      </c>
      <c r="DB81" s="102">
        <v>0</v>
      </c>
      <c r="DC81" s="102" t="s">
        <v>922</v>
      </c>
      <c r="DD81" s="102">
        <v>1</v>
      </c>
      <c r="DE81" s="102">
        <v>1</v>
      </c>
      <c r="DF81" s="102">
        <v>0</v>
      </c>
      <c r="DG81" s="102">
        <v>0</v>
      </c>
      <c r="DH81" s="102">
        <v>0</v>
      </c>
      <c r="DI81" s="102">
        <v>0</v>
      </c>
      <c r="DJ81" s="102">
        <v>0</v>
      </c>
      <c r="DK81" s="102">
        <v>0</v>
      </c>
      <c r="DL81" s="102">
        <v>0</v>
      </c>
      <c r="DM81" s="102">
        <v>0</v>
      </c>
      <c r="DN81" s="102">
        <v>0</v>
      </c>
      <c r="DO81" s="102">
        <v>0</v>
      </c>
      <c r="DP81" s="102">
        <v>2</v>
      </c>
      <c r="DQ81" s="102">
        <v>1</v>
      </c>
      <c r="DR81" s="102">
        <v>0</v>
      </c>
      <c r="DS81" s="102" t="s">
        <v>853</v>
      </c>
      <c r="DT81" s="105" t="s">
        <v>853</v>
      </c>
      <c r="DU81" s="102" t="s">
        <v>853</v>
      </c>
      <c r="DV81" s="102">
        <v>1</v>
      </c>
      <c r="DW81" s="102">
        <v>0</v>
      </c>
      <c r="DX81" s="102" t="s">
        <v>853</v>
      </c>
      <c r="DY81" s="102">
        <v>0</v>
      </c>
      <c r="DZ81" s="102">
        <v>0</v>
      </c>
      <c r="EA81" s="102" t="s">
        <v>853</v>
      </c>
      <c r="EB81" s="102">
        <v>0</v>
      </c>
      <c r="EC81" s="102">
        <v>0</v>
      </c>
      <c r="ED81" s="102">
        <v>0</v>
      </c>
      <c r="EE81" s="102">
        <v>2</v>
      </c>
      <c r="EF81" s="102">
        <v>1</v>
      </c>
      <c r="EG81" s="102">
        <v>1</v>
      </c>
      <c r="EH81" s="102" t="s">
        <v>1400</v>
      </c>
      <c r="EI81" s="102">
        <v>2</v>
      </c>
      <c r="EJ81" s="102">
        <v>0</v>
      </c>
      <c r="EK81" s="102">
        <v>1</v>
      </c>
      <c r="EL81" s="102">
        <v>1</v>
      </c>
      <c r="EM81" s="102"/>
    </row>
    <row r="82" spans="1:143" ht="15.75" customHeight="1" x14ac:dyDescent="0.55000000000000004">
      <c r="A82" s="99">
        <v>80</v>
      </c>
      <c r="B82" s="102" t="s">
        <v>1401</v>
      </c>
      <c r="C82" s="102" t="s">
        <v>1046</v>
      </c>
      <c r="D82" s="103">
        <v>36886</v>
      </c>
      <c r="E82" s="102" t="s">
        <v>1032</v>
      </c>
      <c r="F82" s="102">
        <v>26</v>
      </c>
      <c r="G82" s="102">
        <v>12</v>
      </c>
      <c r="H82" s="102">
        <v>2000</v>
      </c>
      <c r="I82" s="102" t="s">
        <v>1402</v>
      </c>
      <c r="J82" s="102" t="s">
        <v>1403</v>
      </c>
      <c r="K82" s="102" t="s">
        <v>1404</v>
      </c>
      <c r="L82" s="102">
        <v>21</v>
      </c>
      <c r="M82" s="102">
        <v>2</v>
      </c>
      <c r="N82" s="102">
        <v>1</v>
      </c>
      <c r="O82" s="107">
        <v>6</v>
      </c>
      <c r="P82" s="102">
        <v>1</v>
      </c>
      <c r="Q82" s="104">
        <v>1</v>
      </c>
      <c r="R82" s="102">
        <v>0</v>
      </c>
      <c r="S82" s="102" t="s">
        <v>853</v>
      </c>
      <c r="T82" s="102">
        <v>0</v>
      </c>
      <c r="U82" s="102">
        <v>0</v>
      </c>
      <c r="V82" s="102">
        <v>7</v>
      </c>
      <c r="W82" s="102">
        <v>0</v>
      </c>
      <c r="X82" s="102">
        <v>0</v>
      </c>
      <c r="Y82" s="102">
        <v>0</v>
      </c>
      <c r="Z82" s="102">
        <v>0</v>
      </c>
      <c r="AA82" s="102">
        <v>42</v>
      </c>
      <c r="AB82" s="102">
        <v>0</v>
      </c>
      <c r="AC82" s="102">
        <v>2</v>
      </c>
      <c r="AD82" s="102">
        <v>0</v>
      </c>
      <c r="AE82" s="102">
        <v>0</v>
      </c>
      <c r="AF82" s="102">
        <v>0</v>
      </c>
      <c r="AG82" s="102">
        <v>2</v>
      </c>
      <c r="AH82" s="102">
        <v>0</v>
      </c>
      <c r="AI82" s="102" t="s">
        <v>1405</v>
      </c>
      <c r="AJ82" s="102">
        <v>2</v>
      </c>
      <c r="AK82" s="102">
        <v>3</v>
      </c>
      <c r="AL82" s="102">
        <v>1</v>
      </c>
      <c r="AM82" s="102">
        <v>2</v>
      </c>
      <c r="AN82" s="102">
        <v>1</v>
      </c>
      <c r="AO82" s="102">
        <v>0</v>
      </c>
      <c r="AP82" s="102">
        <v>1</v>
      </c>
      <c r="AQ82" s="102">
        <v>2</v>
      </c>
      <c r="AR82" s="102">
        <v>1</v>
      </c>
      <c r="AS82" s="102">
        <v>1</v>
      </c>
      <c r="AT82" s="102">
        <v>0</v>
      </c>
      <c r="AU82" s="102"/>
      <c r="AV82" s="102">
        <v>0</v>
      </c>
      <c r="AW82" s="102">
        <v>1</v>
      </c>
      <c r="AX82" s="102">
        <v>5</v>
      </c>
      <c r="AY82" s="102">
        <v>0</v>
      </c>
      <c r="AZ82" s="102">
        <v>0</v>
      </c>
      <c r="BA82" s="102">
        <v>0</v>
      </c>
      <c r="BB82" s="102">
        <v>0</v>
      </c>
      <c r="BC82" s="102">
        <v>0</v>
      </c>
      <c r="BD82" s="102">
        <v>0</v>
      </c>
      <c r="BE82" s="102">
        <v>0</v>
      </c>
      <c r="BF82" s="102">
        <v>0</v>
      </c>
      <c r="BG82" s="102">
        <v>0</v>
      </c>
      <c r="BH82" s="102">
        <v>0</v>
      </c>
      <c r="BI82" s="102">
        <v>2</v>
      </c>
      <c r="BJ82" s="102">
        <v>0</v>
      </c>
      <c r="BK82" s="102">
        <v>0</v>
      </c>
      <c r="BL82" s="102">
        <v>0</v>
      </c>
      <c r="BM82" s="102">
        <v>0</v>
      </c>
      <c r="BN82" s="102">
        <v>0</v>
      </c>
      <c r="BO82" s="102">
        <v>0</v>
      </c>
      <c r="BP82" s="102">
        <v>1</v>
      </c>
      <c r="BQ82" s="102">
        <v>0</v>
      </c>
      <c r="BR82" s="102">
        <v>1</v>
      </c>
      <c r="BS82" s="102">
        <v>0</v>
      </c>
      <c r="BT82" s="102">
        <v>0</v>
      </c>
      <c r="BU82" s="102">
        <v>1</v>
      </c>
      <c r="BV82" s="102">
        <v>0</v>
      </c>
      <c r="BW82" s="102">
        <v>0</v>
      </c>
      <c r="BX82" s="102">
        <v>0</v>
      </c>
      <c r="BY82" s="102">
        <v>0</v>
      </c>
      <c r="BZ82" s="102">
        <v>0</v>
      </c>
      <c r="CA82" s="102" t="s">
        <v>984</v>
      </c>
      <c r="CB82" s="102">
        <v>1</v>
      </c>
      <c r="CC82" s="102">
        <v>1</v>
      </c>
      <c r="CD82" s="102" t="s">
        <v>1406</v>
      </c>
      <c r="CE82" s="102">
        <v>0</v>
      </c>
      <c r="CF82" s="102">
        <v>0</v>
      </c>
      <c r="CG82" s="102">
        <v>0</v>
      </c>
      <c r="CH82" s="102">
        <v>0</v>
      </c>
      <c r="CI82" s="102">
        <v>1</v>
      </c>
      <c r="CJ82" s="102">
        <v>0</v>
      </c>
      <c r="CK82" s="102">
        <v>0</v>
      </c>
      <c r="CL82" s="102">
        <v>1</v>
      </c>
      <c r="CM82" s="102">
        <v>0</v>
      </c>
      <c r="CN82" s="102">
        <v>1</v>
      </c>
      <c r="CO82" s="102">
        <v>1</v>
      </c>
      <c r="CP82" s="102">
        <v>2</v>
      </c>
      <c r="CQ82" s="102">
        <v>1</v>
      </c>
      <c r="CR82" s="102">
        <v>1</v>
      </c>
      <c r="CS82" s="102">
        <v>1</v>
      </c>
      <c r="CT82" s="102" t="s">
        <v>1407</v>
      </c>
      <c r="CU82" s="102">
        <v>1</v>
      </c>
      <c r="CV82" s="102" t="s">
        <v>937</v>
      </c>
      <c r="CW82" s="102">
        <v>2</v>
      </c>
      <c r="CX82" s="102">
        <v>0</v>
      </c>
      <c r="CY82" s="102">
        <v>3</v>
      </c>
      <c r="CZ82" s="102">
        <v>1</v>
      </c>
      <c r="DA82" s="102" t="s">
        <v>1408</v>
      </c>
      <c r="DB82" s="102">
        <v>0</v>
      </c>
      <c r="DC82" s="102">
        <v>0</v>
      </c>
      <c r="DD82" s="102">
        <v>0</v>
      </c>
      <c r="DE82" s="102">
        <v>0</v>
      </c>
      <c r="DF82" s="102">
        <v>0</v>
      </c>
      <c r="DG82" s="102">
        <v>0</v>
      </c>
      <c r="DH82" s="102">
        <v>1</v>
      </c>
      <c r="DI82" s="102">
        <v>1</v>
      </c>
      <c r="DJ82" s="102">
        <v>0</v>
      </c>
      <c r="DK82" s="102">
        <v>0</v>
      </c>
      <c r="DL82" s="102">
        <v>0</v>
      </c>
      <c r="DM82" s="102">
        <v>0</v>
      </c>
      <c r="DN82" s="102">
        <v>0</v>
      </c>
      <c r="DO82" s="102">
        <v>0</v>
      </c>
      <c r="DP82" s="102">
        <v>1</v>
      </c>
      <c r="DQ82" s="102">
        <v>1</v>
      </c>
      <c r="DR82" s="102">
        <v>0</v>
      </c>
      <c r="DS82" s="102" t="s">
        <v>853</v>
      </c>
      <c r="DT82" s="105" t="s">
        <v>853</v>
      </c>
      <c r="DU82" s="102" t="s">
        <v>853</v>
      </c>
      <c r="DV82" s="102">
        <v>0</v>
      </c>
      <c r="DW82" s="102">
        <v>0</v>
      </c>
      <c r="DX82" s="102" t="s">
        <v>853</v>
      </c>
      <c r="DY82" s="102">
        <v>0</v>
      </c>
      <c r="DZ82" s="102">
        <v>0</v>
      </c>
      <c r="EA82" s="102" t="s">
        <v>853</v>
      </c>
      <c r="EB82" s="102">
        <v>1</v>
      </c>
      <c r="EC82" s="102">
        <v>0</v>
      </c>
      <c r="ED82" s="102">
        <v>1</v>
      </c>
      <c r="EE82" s="102">
        <v>3</v>
      </c>
      <c r="EF82" s="102">
        <v>4</v>
      </c>
      <c r="EG82" s="102">
        <v>1</v>
      </c>
      <c r="EH82" s="102" t="s">
        <v>1409</v>
      </c>
      <c r="EI82" s="102">
        <v>2</v>
      </c>
      <c r="EJ82" s="102">
        <v>0</v>
      </c>
      <c r="EK82" s="102">
        <v>1</v>
      </c>
      <c r="EL82" s="102">
        <v>2</v>
      </c>
      <c r="EM82" s="102"/>
    </row>
    <row r="83" spans="1:143" ht="15.75" customHeight="1" x14ac:dyDescent="0.55000000000000004">
      <c r="A83" s="99">
        <v>81</v>
      </c>
      <c r="B83" s="102" t="s">
        <v>1410</v>
      </c>
      <c r="C83" s="102" t="s">
        <v>1411</v>
      </c>
      <c r="D83" s="103">
        <v>36900</v>
      </c>
      <c r="E83" s="102" t="s">
        <v>1032</v>
      </c>
      <c r="F83" s="102">
        <v>9</v>
      </c>
      <c r="G83" s="102">
        <v>1</v>
      </c>
      <c r="H83" s="102">
        <v>2001</v>
      </c>
      <c r="I83" s="102" t="s">
        <v>1412</v>
      </c>
      <c r="J83" s="102" t="s">
        <v>1180</v>
      </c>
      <c r="K83" s="102" t="s">
        <v>849</v>
      </c>
      <c r="L83" s="102">
        <v>43</v>
      </c>
      <c r="M83" s="102">
        <v>0</v>
      </c>
      <c r="N83" s="102">
        <v>0</v>
      </c>
      <c r="O83" s="102">
        <v>4</v>
      </c>
      <c r="P83" s="102">
        <v>0</v>
      </c>
      <c r="Q83" s="104">
        <v>1</v>
      </c>
      <c r="R83" s="102">
        <v>1</v>
      </c>
      <c r="S83" s="106">
        <v>4</v>
      </c>
      <c r="T83" s="102">
        <v>0</v>
      </c>
      <c r="U83" s="102">
        <v>0</v>
      </c>
      <c r="V83" s="102">
        <v>4</v>
      </c>
      <c r="W83" s="102">
        <v>0</v>
      </c>
      <c r="X83" s="102">
        <v>0</v>
      </c>
      <c r="Y83" s="102">
        <v>1</v>
      </c>
      <c r="Z83" s="102">
        <v>0</v>
      </c>
      <c r="AA83" s="102">
        <v>54</v>
      </c>
      <c r="AB83" s="102">
        <v>0</v>
      </c>
      <c r="AC83" s="102">
        <v>3</v>
      </c>
      <c r="AD83" s="102">
        <v>0</v>
      </c>
      <c r="AE83" s="102">
        <v>0</v>
      </c>
      <c r="AF83" s="102"/>
      <c r="AG83" s="102"/>
      <c r="AH83" s="102"/>
      <c r="AI83" s="102"/>
      <c r="AJ83" s="102"/>
      <c r="AK83" s="102"/>
      <c r="AL83" s="102"/>
      <c r="AM83" s="102"/>
      <c r="AN83" s="102">
        <v>2</v>
      </c>
      <c r="AO83" s="102">
        <v>1</v>
      </c>
      <c r="AP83" s="102">
        <v>1</v>
      </c>
      <c r="AQ83" s="102">
        <v>0</v>
      </c>
      <c r="AR83" s="102">
        <v>0</v>
      </c>
      <c r="AS83" s="102" t="s">
        <v>853</v>
      </c>
      <c r="AT83" s="102">
        <v>0</v>
      </c>
      <c r="AU83" s="102"/>
      <c r="AV83" s="102">
        <v>0</v>
      </c>
      <c r="AW83" s="102">
        <v>1</v>
      </c>
      <c r="AX83" s="102">
        <v>0</v>
      </c>
      <c r="AY83" s="102">
        <v>1</v>
      </c>
      <c r="AZ83" s="102">
        <v>2</v>
      </c>
      <c r="BA83" s="102">
        <v>0</v>
      </c>
      <c r="BB83" s="102">
        <v>0</v>
      </c>
      <c r="BC83" s="102">
        <v>1</v>
      </c>
      <c r="BD83" s="102">
        <v>1</v>
      </c>
      <c r="BE83" s="102">
        <v>0</v>
      </c>
      <c r="BF83" s="102">
        <v>0</v>
      </c>
      <c r="BG83" s="102">
        <v>0</v>
      </c>
      <c r="BH83" s="102">
        <v>0</v>
      </c>
      <c r="BI83" s="102">
        <v>0</v>
      </c>
      <c r="BJ83" s="102">
        <v>0</v>
      </c>
      <c r="BK83" s="102">
        <v>0</v>
      </c>
      <c r="BL83" s="102">
        <v>0</v>
      </c>
      <c r="BM83" s="102">
        <v>0</v>
      </c>
      <c r="BN83" s="102">
        <v>0</v>
      </c>
      <c r="BO83" s="102">
        <v>0</v>
      </c>
      <c r="BP83" s="102">
        <v>0</v>
      </c>
      <c r="BQ83" s="102">
        <v>0</v>
      </c>
      <c r="BR83" s="102">
        <v>0</v>
      </c>
      <c r="BS83" s="102">
        <v>0</v>
      </c>
      <c r="BT83" s="102">
        <v>0</v>
      </c>
      <c r="BU83" s="102"/>
      <c r="BV83" s="102">
        <v>0</v>
      </c>
      <c r="BW83" s="102">
        <v>0</v>
      </c>
      <c r="BX83" s="102">
        <v>0</v>
      </c>
      <c r="BY83" s="102">
        <v>0</v>
      </c>
      <c r="BZ83" s="102">
        <v>0</v>
      </c>
      <c r="CA83" s="102" t="s">
        <v>954</v>
      </c>
      <c r="CB83" s="102">
        <v>1</v>
      </c>
      <c r="CC83" s="102">
        <v>1</v>
      </c>
      <c r="CD83" s="102" t="s">
        <v>1413</v>
      </c>
      <c r="CE83" s="102">
        <v>0</v>
      </c>
      <c r="CF83" s="102">
        <v>0</v>
      </c>
      <c r="CG83" s="102">
        <v>0</v>
      </c>
      <c r="CH83" s="102">
        <v>1</v>
      </c>
      <c r="CI83" s="102">
        <v>1</v>
      </c>
      <c r="CJ83" s="102">
        <v>0</v>
      </c>
      <c r="CK83" s="102">
        <v>0</v>
      </c>
      <c r="CL83" s="102">
        <v>0</v>
      </c>
      <c r="CM83" s="102">
        <v>1</v>
      </c>
      <c r="CN83" s="102">
        <v>2</v>
      </c>
      <c r="CO83" s="102">
        <v>0</v>
      </c>
      <c r="CP83" s="102">
        <v>0</v>
      </c>
      <c r="CQ83" s="102">
        <v>0</v>
      </c>
      <c r="CR83" s="102">
        <v>0</v>
      </c>
      <c r="CS83" s="102">
        <v>0</v>
      </c>
      <c r="CT83" s="102" t="s">
        <v>853</v>
      </c>
      <c r="CU83" s="102">
        <v>0</v>
      </c>
      <c r="CV83" s="102">
        <v>2</v>
      </c>
      <c r="CW83" s="102">
        <v>0</v>
      </c>
      <c r="CX83" s="102">
        <v>0</v>
      </c>
      <c r="CY83" s="102">
        <v>0</v>
      </c>
      <c r="CZ83" s="102">
        <v>0</v>
      </c>
      <c r="DA83" s="102" t="s">
        <v>853</v>
      </c>
      <c r="DB83" s="102">
        <v>0</v>
      </c>
      <c r="DC83" s="102">
        <v>0</v>
      </c>
      <c r="DD83" s="102">
        <v>0</v>
      </c>
      <c r="DE83" s="102">
        <v>0</v>
      </c>
      <c r="DF83" s="102">
        <v>0</v>
      </c>
      <c r="DG83" s="102">
        <v>0</v>
      </c>
      <c r="DH83" s="102">
        <v>0</v>
      </c>
      <c r="DI83" s="102">
        <v>1</v>
      </c>
      <c r="DJ83" s="102">
        <v>0</v>
      </c>
      <c r="DK83" s="102">
        <v>1</v>
      </c>
      <c r="DL83" s="102">
        <v>1</v>
      </c>
      <c r="DM83" s="102">
        <v>0</v>
      </c>
      <c r="DN83" s="102">
        <v>0</v>
      </c>
      <c r="DO83" s="102">
        <v>0</v>
      </c>
      <c r="DP83" s="102">
        <v>2</v>
      </c>
      <c r="DQ83" s="102">
        <v>0</v>
      </c>
      <c r="DR83" s="102">
        <v>0</v>
      </c>
      <c r="DS83" s="102" t="s">
        <v>853</v>
      </c>
      <c r="DT83" s="105" t="s">
        <v>853</v>
      </c>
      <c r="DU83" s="102" t="s">
        <v>853</v>
      </c>
      <c r="DV83" s="102">
        <v>0</v>
      </c>
      <c r="DW83" s="102">
        <v>0</v>
      </c>
      <c r="DX83" s="102" t="s">
        <v>853</v>
      </c>
      <c r="DY83" s="102">
        <v>0</v>
      </c>
      <c r="DZ83" s="102">
        <v>0</v>
      </c>
      <c r="EA83" s="102" t="s">
        <v>853</v>
      </c>
      <c r="EB83" s="102">
        <v>0</v>
      </c>
      <c r="EC83" s="102">
        <v>0</v>
      </c>
      <c r="ED83" s="102">
        <v>0</v>
      </c>
      <c r="EE83" s="102">
        <v>0</v>
      </c>
      <c r="EF83" s="102">
        <v>2</v>
      </c>
      <c r="EG83" s="102">
        <v>0</v>
      </c>
      <c r="EH83" s="102" t="s">
        <v>853</v>
      </c>
      <c r="EI83" s="102">
        <v>0</v>
      </c>
      <c r="EJ83" s="102">
        <v>0</v>
      </c>
      <c r="EK83" s="102">
        <v>2</v>
      </c>
      <c r="EL83" s="102">
        <v>0</v>
      </c>
      <c r="EM83" s="102"/>
    </row>
    <row r="84" spans="1:143" ht="15.75" customHeight="1" x14ac:dyDescent="0.55000000000000004">
      <c r="A84" s="99">
        <v>82</v>
      </c>
      <c r="B84" s="102" t="s">
        <v>1414</v>
      </c>
      <c r="C84" s="102" t="s">
        <v>999</v>
      </c>
      <c r="D84" s="103">
        <v>36927</v>
      </c>
      <c r="E84" s="102" t="s">
        <v>846</v>
      </c>
      <c r="F84" s="102">
        <v>5</v>
      </c>
      <c r="G84" s="102">
        <v>2</v>
      </c>
      <c r="H84" s="102">
        <v>2001</v>
      </c>
      <c r="I84" s="102" t="s">
        <v>1415</v>
      </c>
      <c r="J84" s="102" t="s">
        <v>1416</v>
      </c>
      <c r="K84" s="102" t="s">
        <v>1111</v>
      </c>
      <c r="L84" s="102">
        <v>13</v>
      </c>
      <c r="M84" s="102">
        <v>1</v>
      </c>
      <c r="N84" s="102">
        <v>1</v>
      </c>
      <c r="O84" s="106">
        <v>9</v>
      </c>
      <c r="P84" s="102">
        <v>1</v>
      </c>
      <c r="Q84" s="104">
        <v>1</v>
      </c>
      <c r="R84" s="102">
        <v>0</v>
      </c>
      <c r="S84" s="102" t="s">
        <v>853</v>
      </c>
      <c r="T84" s="102">
        <v>0</v>
      </c>
      <c r="U84" s="102">
        <v>0</v>
      </c>
      <c r="V84" s="102">
        <v>4</v>
      </c>
      <c r="W84" s="102">
        <v>4</v>
      </c>
      <c r="X84" s="102">
        <v>0</v>
      </c>
      <c r="Y84" s="102">
        <v>0</v>
      </c>
      <c r="Z84" s="102">
        <v>0</v>
      </c>
      <c r="AA84" s="102">
        <v>66</v>
      </c>
      <c r="AB84" s="102">
        <v>0</v>
      </c>
      <c r="AC84" s="102">
        <v>1</v>
      </c>
      <c r="AD84" s="102">
        <v>0</v>
      </c>
      <c r="AE84" s="102">
        <v>0</v>
      </c>
      <c r="AF84" s="102"/>
      <c r="AG84" s="102">
        <v>1</v>
      </c>
      <c r="AH84" s="102"/>
      <c r="AI84" s="102"/>
      <c r="AJ84" s="102"/>
      <c r="AK84" s="102"/>
      <c r="AL84" s="102"/>
      <c r="AM84" s="102"/>
      <c r="AN84" s="102">
        <v>3</v>
      </c>
      <c r="AO84" s="102">
        <v>1</v>
      </c>
      <c r="AP84" s="102">
        <v>0</v>
      </c>
      <c r="AQ84" s="102">
        <v>0</v>
      </c>
      <c r="AR84" s="102">
        <v>0</v>
      </c>
      <c r="AS84" s="102" t="s">
        <v>853</v>
      </c>
      <c r="AT84" s="102">
        <v>0</v>
      </c>
      <c r="AU84" s="102"/>
      <c r="AV84" s="102">
        <v>0</v>
      </c>
      <c r="AW84" s="102">
        <v>1</v>
      </c>
      <c r="AX84" s="102">
        <v>6</v>
      </c>
      <c r="AY84" s="102" t="s">
        <v>1417</v>
      </c>
      <c r="AZ84" s="102">
        <v>4</v>
      </c>
      <c r="BA84" s="102">
        <v>1</v>
      </c>
      <c r="BB84" s="102">
        <v>0</v>
      </c>
      <c r="BC84" s="102">
        <v>2</v>
      </c>
      <c r="BD84" s="102">
        <v>2</v>
      </c>
      <c r="BE84" s="102">
        <v>1</v>
      </c>
      <c r="BF84" s="102">
        <v>0</v>
      </c>
      <c r="BG84" s="102">
        <v>0</v>
      </c>
      <c r="BH84" s="102">
        <v>0</v>
      </c>
      <c r="BI84" s="102">
        <v>0</v>
      </c>
      <c r="BJ84" s="102">
        <v>1</v>
      </c>
      <c r="BK84" s="102">
        <v>0</v>
      </c>
      <c r="BL84" s="102">
        <v>0</v>
      </c>
      <c r="BM84" s="102">
        <v>0</v>
      </c>
      <c r="BN84" s="102">
        <v>0</v>
      </c>
      <c r="BO84" s="102">
        <v>0</v>
      </c>
      <c r="BP84" s="102">
        <v>0</v>
      </c>
      <c r="BQ84" s="102">
        <v>0</v>
      </c>
      <c r="BR84" s="102">
        <v>0</v>
      </c>
      <c r="BS84" s="102">
        <v>0</v>
      </c>
      <c r="BT84" s="102">
        <v>0</v>
      </c>
      <c r="BU84" s="102"/>
      <c r="BV84" s="102">
        <v>0</v>
      </c>
      <c r="BW84" s="102">
        <v>0</v>
      </c>
      <c r="BX84" s="102">
        <v>0</v>
      </c>
      <c r="BY84" s="102">
        <v>0</v>
      </c>
      <c r="BZ84" s="102">
        <v>0</v>
      </c>
      <c r="CA84" s="102" t="s">
        <v>1049</v>
      </c>
      <c r="CB84" s="102">
        <v>0</v>
      </c>
      <c r="CC84" s="102" t="s">
        <v>853</v>
      </c>
      <c r="CD84" s="102"/>
      <c r="CE84" s="102">
        <v>0</v>
      </c>
      <c r="CF84" s="102">
        <v>0</v>
      </c>
      <c r="CG84" s="102">
        <v>0</v>
      </c>
      <c r="CH84" s="102">
        <v>0</v>
      </c>
      <c r="CI84" s="102">
        <v>0</v>
      </c>
      <c r="CJ84" s="102">
        <v>0</v>
      </c>
      <c r="CK84" s="102">
        <v>0</v>
      </c>
      <c r="CL84" s="102">
        <v>0</v>
      </c>
      <c r="CM84" s="102">
        <v>0</v>
      </c>
      <c r="CN84" s="102">
        <v>2</v>
      </c>
      <c r="CO84" s="102">
        <v>0</v>
      </c>
      <c r="CP84" s="102">
        <v>0</v>
      </c>
      <c r="CQ84" s="102">
        <v>1</v>
      </c>
      <c r="CR84" s="102">
        <v>2</v>
      </c>
      <c r="CS84" s="102">
        <v>0</v>
      </c>
      <c r="CT84" s="102" t="s">
        <v>853</v>
      </c>
      <c r="CU84" s="102">
        <v>0</v>
      </c>
      <c r="CV84" s="102">
        <v>0</v>
      </c>
      <c r="CW84" s="102">
        <v>0</v>
      </c>
      <c r="CX84" s="102">
        <v>0</v>
      </c>
      <c r="CY84" s="102">
        <v>0</v>
      </c>
      <c r="CZ84" s="102">
        <v>0</v>
      </c>
      <c r="DA84" s="102" t="s">
        <v>853</v>
      </c>
      <c r="DB84" s="102">
        <v>0</v>
      </c>
      <c r="DC84" s="102">
        <v>0</v>
      </c>
      <c r="DD84" s="102">
        <v>0</v>
      </c>
      <c r="DE84" s="102">
        <v>0</v>
      </c>
      <c r="DF84" s="102">
        <v>0</v>
      </c>
      <c r="DG84" s="102">
        <v>0</v>
      </c>
      <c r="DH84" s="102">
        <v>1</v>
      </c>
      <c r="DI84" s="102">
        <v>0</v>
      </c>
      <c r="DJ84" s="102">
        <v>1</v>
      </c>
      <c r="DK84" s="102">
        <v>0</v>
      </c>
      <c r="DL84" s="102">
        <v>0</v>
      </c>
      <c r="DM84" s="102">
        <v>0</v>
      </c>
      <c r="DN84" s="102">
        <v>0</v>
      </c>
      <c r="DO84" s="102">
        <v>0</v>
      </c>
      <c r="DP84" s="102">
        <v>0</v>
      </c>
      <c r="DQ84" s="102">
        <v>0</v>
      </c>
      <c r="DR84" s="102">
        <v>0</v>
      </c>
      <c r="DS84" s="102" t="s">
        <v>853</v>
      </c>
      <c r="DT84" s="105" t="s">
        <v>853</v>
      </c>
      <c r="DU84" s="102" t="s">
        <v>853</v>
      </c>
      <c r="DV84" s="102">
        <v>0</v>
      </c>
      <c r="DW84" s="102">
        <v>0</v>
      </c>
      <c r="DX84" s="102" t="s">
        <v>853</v>
      </c>
      <c r="DY84" s="102">
        <v>0</v>
      </c>
      <c r="DZ84" s="102">
        <v>0</v>
      </c>
      <c r="EA84" s="102" t="s">
        <v>853</v>
      </c>
      <c r="EB84" s="102">
        <v>0</v>
      </c>
      <c r="EC84" s="102">
        <v>0</v>
      </c>
      <c r="ED84" s="102">
        <v>0</v>
      </c>
      <c r="EE84" s="102">
        <v>2</v>
      </c>
      <c r="EF84" s="102">
        <v>4</v>
      </c>
      <c r="EG84" s="102">
        <v>0</v>
      </c>
      <c r="EH84" s="102" t="s">
        <v>853</v>
      </c>
      <c r="EI84" s="102">
        <v>0</v>
      </c>
      <c r="EJ84" s="102">
        <v>0</v>
      </c>
      <c r="EK84" s="102">
        <v>2</v>
      </c>
      <c r="EL84" s="102">
        <v>0</v>
      </c>
      <c r="EM84" s="102"/>
    </row>
    <row r="85" spans="1:143" ht="15.75" customHeight="1" x14ac:dyDescent="0.55000000000000004">
      <c r="A85" s="99">
        <v>83</v>
      </c>
      <c r="B85" s="102" t="s">
        <v>1418</v>
      </c>
      <c r="C85" s="102" t="s">
        <v>1419</v>
      </c>
      <c r="D85" s="103">
        <v>37075</v>
      </c>
      <c r="E85" s="102" t="s">
        <v>1032</v>
      </c>
      <c r="F85" s="102">
        <v>3</v>
      </c>
      <c r="G85" s="102">
        <v>7</v>
      </c>
      <c r="H85" s="102">
        <v>2001</v>
      </c>
      <c r="I85" s="102" t="s">
        <v>1420</v>
      </c>
      <c r="J85" s="102" t="s">
        <v>1421</v>
      </c>
      <c r="K85" s="102" t="s">
        <v>1237</v>
      </c>
      <c r="L85" s="102">
        <v>6</v>
      </c>
      <c r="M85" s="102">
        <v>3</v>
      </c>
      <c r="N85" s="102">
        <v>2</v>
      </c>
      <c r="O85" s="102">
        <v>4</v>
      </c>
      <c r="P85" s="102">
        <v>0</v>
      </c>
      <c r="Q85" s="104">
        <v>0</v>
      </c>
      <c r="R85" s="102">
        <v>0</v>
      </c>
      <c r="S85" s="102" t="s">
        <v>853</v>
      </c>
      <c r="T85" s="102">
        <v>0</v>
      </c>
      <c r="U85" s="102">
        <v>0</v>
      </c>
      <c r="V85" s="102">
        <v>4</v>
      </c>
      <c r="W85" s="102">
        <v>3</v>
      </c>
      <c r="X85" s="102">
        <v>0</v>
      </c>
      <c r="Y85" s="102">
        <v>0</v>
      </c>
      <c r="Z85" s="102">
        <v>0</v>
      </c>
      <c r="AA85" s="102">
        <v>42</v>
      </c>
      <c r="AB85" s="102">
        <v>0</v>
      </c>
      <c r="AC85" s="102">
        <v>0</v>
      </c>
      <c r="AD85" s="102">
        <v>0</v>
      </c>
      <c r="AE85" s="102">
        <v>0</v>
      </c>
      <c r="AF85" s="102">
        <v>1</v>
      </c>
      <c r="AG85" s="102">
        <v>1</v>
      </c>
      <c r="AH85" s="102"/>
      <c r="AI85" s="102"/>
      <c r="AJ85" s="102"/>
      <c r="AK85" s="102"/>
      <c r="AL85" s="102"/>
      <c r="AM85" s="102"/>
      <c r="AN85" s="102">
        <v>0</v>
      </c>
      <c r="AO85" s="102">
        <v>0</v>
      </c>
      <c r="AP85" s="102">
        <v>0</v>
      </c>
      <c r="AQ85" s="102"/>
      <c r="AR85" s="102">
        <v>1</v>
      </c>
      <c r="AS85" s="102">
        <v>0</v>
      </c>
      <c r="AT85" s="102">
        <v>0</v>
      </c>
      <c r="AU85" s="102"/>
      <c r="AV85" s="102">
        <v>0</v>
      </c>
      <c r="AW85" s="102">
        <v>1</v>
      </c>
      <c r="AX85" s="102" t="s">
        <v>1422</v>
      </c>
      <c r="AY85" s="102" t="s">
        <v>1423</v>
      </c>
      <c r="AZ85" s="102">
        <v>4</v>
      </c>
      <c r="BA85" s="102">
        <v>0</v>
      </c>
      <c r="BB85" s="102">
        <v>0</v>
      </c>
      <c r="BC85" s="102">
        <v>0</v>
      </c>
      <c r="BD85" s="102">
        <v>0</v>
      </c>
      <c r="BE85" s="102">
        <v>0</v>
      </c>
      <c r="BF85" s="102">
        <v>0</v>
      </c>
      <c r="BG85" s="102">
        <v>0</v>
      </c>
      <c r="BH85" s="102">
        <v>0</v>
      </c>
      <c r="BI85" s="102">
        <v>0</v>
      </c>
      <c r="BJ85" s="102">
        <v>0</v>
      </c>
      <c r="BK85" s="102">
        <v>0</v>
      </c>
      <c r="BL85" s="102">
        <v>0</v>
      </c>
      <c r="BM85" s="102">
        <v>0</v>
      </c>
      <c r="BN85" s="102">
        <v>0</v>
      </c>
      <c r="BO85" s="102">
        <v>0</v>
      </c>
      <c r="BP85" s="102">
        <v>0</v>
      </c>
      <c r="BQ85" s="102">
        <v>0</v>
      </c>
      <c r="BR85" s="102">
        <v>0</v>
      </c>
      <c r="BS85" s="102">
        <v>0</v>
      </c>
      <c r="BT85" s="102">
        <v>0</v>
      </c>
      <c r="BU85" s="102"/>
      <c r="BV85" s="102">
        <v>0</v>
      </c>
      <c r="BW85" s="102">
        <v>0</v>
      </c>
      <c r="BX85" s="102">
        <v>0</v>
      </c>
      <c r="BY85" s="102">
        <v>0</v>
      </c>
      <c r="BZ85" s="102">
        <v>0</v>
      </c>
      <c r="CA85" s="102">
        <v>0</v>
      </c>
      <c r="CB85" s="102">
        <v>1</v>
      </c>
      <c r="CC85" s="102">
        <v>3</v>
      </c>
      <c r="CD85" s="102" t="s">
        <v>1424</v>
      </c>
      <c r="CE85" s="102">
        <v>1</v>
      </c>
      <c r="CF85" s="102">
        <v>0</v>
      </c>
      <c r="CG85" s="102">
        <v>0</v>
      </c>
      <c r="CH85" s="102">
        <v>0</v>
      </c>
      <c r="CI85" s="102">
        <v>0</v>
      </c>
      <c r="CJ85" s="102">
        <v>0</v>
      </c>
      <c r="CK85" s="102">
        <v>0</v>
      </c>
      <c r="CL85" s="102">
        <v>1</v>
      </c>
      <c r="CM85" s="102">
        <v>1</v>
      </c>
      <c r="CN85" s="102">
        <v>0</v>
      </c>
      <c r="CO85" s="102">
        <v>1</v>
      </c>
      <c r="CP85" s="102">
        <v>2</v>
      </c>
      <c r="CQ85" s="102">
        <v>1</v>
      </c>
      <c r="CR85" s="102">
        <v>1</v>
      </c>
      <c r="CS85" s="102">
        <v>1</v>
      </c>
      <c r="CT85" s="102" t="s">
        <v>955</v>
      </c>
      <c r="CU85" s="102">
        <v>1</v>
      </c>
      <c r="CV85" s="102" t="s">
        <v>937</v>
      </c>
      <c r="CW85" s="102">
        <v>0</v>
      </c>
      <c r="CX85" s="102">
        <v>0</v>
      </c>
      <c r="CY85" s="102" t="s">
        <v>954</v>
      </c>
      <c r="CZ85" s="102">
        <v>0</v>
      </c>
      <c r="DA85" s="102" t="s">
        <v>853</v>
      </c>
      <c r="DB85" s="102">
        <v>0</v>
      </c>
      <c r="DC85" s="102">
        <v>1</v>
      </c>
      <c r="DD85" s="102">
        <v>0</v>
      </c>
      <c r="DE85" s="102">
        <v>0</v>
      </c>
      <c r="DF85" s="102">
        <v>0</v>
      </c>
      <c r="DG85" s="102">
        <v>0</v>
      </c>
      <c r="DH85" s="102">
        <v>0</v>
      </c>
      <c r="DI85" s="102">
        <v>0</v>
      </c>
      <c r="DJ85" s="102">
        <v>0</v>
      </c>
      <c r="DK85" s="102">
        <v>0</v>
      </c>
      <c r="DL85" s="102">
        <v>0</v>
      </c>
      <c r="DM85" s="102">
        <v>0</v>
      </c>
      <c r="DN85" s="102">
        <v>1</v>
      </c>
      <c r="DO85" s="102">
        <v>0</v>
      </c>
      <c r="DP85" s="102">
        <v>3</v>
      </c>
      <c r="DQ85" s="102">
        <v>0</v>
      </c>
      <c r="DR85" s="102">
        <v>1</v>
      </c>
      <c r="DS85" s="102">
        <v>0</v>
      </c>
      <c r="DT85" s="105" t="s">
        <v>956</v>
      </c>
      <c r="DU85" s="102">
        <v>0</v>
      </c>
      <c r="DV85" s="102">
        <v>0</v>
      </c>
      <c r="DW85" s="102">
        <v>0</v>
      </c>
      <c r="DX85" s="102" t="s">
        <v>853</v>
      </c>
      <c r="DY85" s="102">
        <v>0</v>
      </c>
      <c r="DZ85" s="102">
        <v>0</v>
      </c>
      <c r="EA85" s="102" t="s">
        <v>853</v>
      </c>
      <c r="EB85" s="102">
        <v>0</v>
      </c>
      <c r="EC85" s="102">
        <v>0</v>
      </c>
      <c r="ED85" s="102">
        <v>0</v>
      </c>
      <c r="EE85" s="102">
        <v>3</v>
      </c>
      <c r="EF85" s="102">
        <v>1</v>
      </c>
      <c r="EG85" s="102">
        <v>0</v>
      </c>
      <c r="EH85" s="102" t="s">
        <v>853</v>
      </c>
      <c r="EI85" s="102">
        <v>2</v>
      </c>
      <c r="EJ85" s="102">
        <v>0</v>
      </c>
      <c r="EK85" s="102">
        <v>1</v>
      </c>
      <c r="EL85" s="102">
        <v>4</v>
      </c>
      <c r="EM85" s="102"/>
    </row>
    <row r="86" spans="1:143" ht="15.75" customHeight="1" x14ac:dyDescent="0.55000000000000004">
      <c r="A86" s="99">
        <v>84</v>
      </c>
      <c r="B86" s="102" t="s">
        <v>1226</v>
      </c>
      <c r="C86" s="102" t="s">
        <v>890</v>
      </c>
      <c r="D86" s="103">
        <v>37142</v>
      </c>
      <c r="E86" s="102" t="s">
        <v>860</v>
      </c>
      <c r="F86" s="102">
        <v>8</v>
      </c>
      <c r="G86" s="102">
        <v>9</v>
      </c>
      <c r="H86" s="102">
        <v>2001</v>
      </c>
      <c r="I86" s="102" t="s">
        <v>1425</v>
      </c>
      <c r="J86" s="102" t="s">
        <v>1426</v>
      </c>
      <c r="K86" s="102" t="s">
        <v>930</v>
      </c>
      <c r="L86" s="102">
        <v>5</v>
      </c>
      <c r="M86" s="102">
        <v>3</v>
      </c>
      <c r="N86" s="102">
        <v>0</v>
      </c>
      <c r="O86" s="106">
        <v>8</v>
      </c>
      <c r="P86" s="102">
        <v>1</v>
      </c>
      <c r="Q86" s="104">
        <v>1</v>
      </c>
      <c r="R86" s="102">
        <v>1</v>
      </c>
      <c r="S86" s="106">
        <v>8</v>
      </c>
      <c r="T86" s="102">
        <v>0</v>
      </c>
      <c r="U86" s="102">
        <v>0</v>
      </c>
      <c r="V86" s="102">
        <v>5</v>
      </c>
      <c r="W86" s="102">
        <v>2</v>
      </c>
      <c r="X86" s="102">
        <v>0</v>
      </c>
      <c r="Y86" s="102">
        <v>1</v>
      </c>
      <c r="Z86" s="102">
        <v>2</v>
      </c>
      <c r="AA86" s="102">
        <v>20</v>
      </c>
      <c r="AB86" s="102">
        <v>0</v>
      </c>
      <c r="AC86" s="102">
        <v>0</v>
      </c>
      <c r="AD86" s="102">
        <v>0</v>
      </c>
      <c r="AE86" s="102">
        <v>0</v>
      </c>
      <c r="AF86" s="102"/>
      <c r="AG86" s="102">
        <v>1</v>
      </c>
      <c r="AH86" s="102">
        <v>2</v>
      </c>
      <c r="AI86" s="102" t="s">
        <v>1427</v>
      </c>
      <c r="AJ86" s="102">
        <v>1</v>
      </c>
      <c r="AK86" s="102">
        <v>2</v>
      </c>
      <c r="AL86" s="102">
        <v>0</v>
      </c>
      <c r="AM86" s="102">
        <v>2</v>
      </c>
      <c r="AN86" s="102">
        <v>0</v>
      </c>
      <c r="AO86" s="102">
        <v>0</v>
      </c>
      <c r="AP86" s="102">
        <v>1</v>
      </c>
      <c r="AQ86" s="102">
        <v>0</v>
      </c>
      <c r="AR86" s="102">
        <v>0</v>
      </c>
      <c r="AS86" s="102" t="s">
        <v>853</v>
      </c>
      <c r="AT86" s="102">
        <v>0</v>
      </c>
      <c r="AU86" s="102"/>
      <c r="AV86" s="102">
        <v>0</v>
      </c>
      <c r="AW86" s="102">
        <v>0</v>
      </c>
      <c r="AX86" s="102">
        <v>0</v>
      </c>
      <c r="AY86" s="102">
        <v>4</v>
      </c>
      <c r="AZ86" s="102">
        <v>1</v>
      </c>
      <c r="BA86" s="102">
        <v>0</v>
      </c>
      <c r="BB86" s="102">
        <v>0</v>
      </c>
      <c r="BC86" s="102">
        <v>1</v>
      </c>
      <c r="BD86" s="102" t="s">
        <v>1056</v>
      </c>
      <c r="BE86" s="102">
        <v>0</v>
      </c>
      <c r="BF86" s="102">
        <v>0</v>
      </c>
      <c r="BG86" s="102">
        <v>0</v>
      </c>
      <c r="BH86" s="102">
        <v>3</v>
      </c>
      <c r="BI86" s="102">
        <v>0</v>
      </c>
      <c r="BJ86" s="102">
        <v>0</v>
      </c>
      <c r="BK86" s="102">
        <v>0</v>
      </c>
      <c r="BL86" s="102">
        <v>0</v>
      </c>
      <c r="BM86" s="102">
        <v>1</v>
      </c>
      <c r="BN86" s="102">
        <v>0</v>
      </c>
      <c r="BO86" s="102">
        <v>0</v>
      </c>
      <c r="BP86" s="102">
        <v>1</v>
      </c>
      <c r="BQ86" s="102">
        <v>1</v>
      </c>
      <c r="BR86" s="102">
        <v>1</v>
      </c>
      <c r="BS86" s="102">
        <v>1</v>
      </c>
      <c r="BT86" s="102">
        <v>0</v>
      </c>
      <c r="BU86" s="102">
        <v>1</v>
      </c>
      <c r="BV86" s="102">
        <v>1</v>
      </c>
      <c r="BW86" s="102">
        <v>0</v>
      </c>
      <c r="BX86" s="102">
        <v>1</v>
      </c>
      <c r="BY86" s="102">
        <v>1</v>
      </c>
      <c r="BZ86" s="102">
        <v>0</v>
      </c>
      <c r="CA86" s="102" t="s">
        <v>937</v>
      </c>
      <c r="CB86" s="102">
        <v>1</v>
      </c>
      <c r="CC86" s="102">
        <v>0</v>
      </c>
      <c r="CD86" s="102" t="s">
        <v>1428</v>
      </c>
      <c r="CE86" s="102">
        <v>0</v>
      </c>
      <c r="CF86" s="102">
        <v>0</v>
      </c>
      <c r="CG86" s="102">
        <v>0</v>
      </c>
      <c r="CH86" s="102">
        <v>1</v>
      </c>
      <c r="CI86" s="102">
        <v>1</v>
      </c>
      <c r="CJ86" s="102">
        <v>1</v>
      </c>
      <c r="CK86" s="102">
        <v>0</v>
      </c>
      <c r="CL86" s="102">
        <v>0</v>
      </c>
      <c r="CM86" s="102">
        <v>0</v>
      </c>
      <c r="CN86" s="102">
        <v>2</v>
      </c>
      <c r="CO86" s="102">
        <v>0</v>
      </c>
      <c r="CP86" s="102">
        <v>0</v>
      </c>
      <c r="CQ86" s="102">
        <v>1</v>
      </c>
      <c r="CR86" s="102">
        <v>1</v>
      </c>
      <c r="CS86" s="102">
        <v>0</v>
      </c>
      <c r="CT86" s="102" t="s">
        <v>853</v>
      </c>
      <c r="CU86" s="102">
        <v>0</v>
      </c>
      <c r="CV86" s="102">
        <v>0</v>
      </c>
      <c r="CW86" s="102">
        <v>0</v>
      </c>
      <c r="CX86" s="102">
        <v>0</v>
      </c>
      <c r="CY86" s="102">
        <v>0</v>
      </c>
      <c r="CZ86" s="102">
        <v>0</v>
      </c>
      <c r="DA86" s="102" t="s">
        <v>853</v>
      </c>
      <c r="DB86" s="102">
        <v>0</v>
      </c>
      <c r="DC86" s="102">
        <v>1</v>
      </c>
      <c r="DD86" s="102">
        <v>0</v>
      </c>
      <c r="DE86" s="102">
        <v>0</v>
      </c>
      <c r="DF86" s="102">
        <v>0</v>
      </c>
      <c r="DG86" s="102">
        <v>0</v>
      </c>
      <c r="DH86" s="102">
        <v>1</v>
      </c>
      <c r="DI86" s="102">
        <v>0</v>
      </c>
      <c r="DJ86" s="102">
        <v>0</v>
      </c>
      <c r="DK86" s="102">
        <v>1</v>
      </c>
      <c r="DL86" s="102">
        <v>0</v>
      </c>
      <c r="DM86" s="102">
        <v>0</v>
      </c>
      <c r="DN86" s="102">
        <v>0</v>
      </c>
      <c r="DO86" s="102">
        <v>0</v>
      </c>
      <c r="DP86" s="102">
        <v>0</v>
      </c>
      <c r="DQ86" s="102">
        <v>0</v>
      </c>
      <c r="DR86" s="102">
        <v>1</v>
      </c>
      <c r="DS86" s="102">
        <v>5</v>
      </c>
      <c r="DT86" s="105" t="s">
        <v>945</v>
      </c>
      <c r="DU86" s="102">
        <v>0</v>
      </c>
      <c r="DV86" s="102">
        <v>1</v>
      </c>
      <c r="DW86" s="102">
        <v>1</v>
      </c>
      <c r="DX86" s="102" t="s">
        <v>1429</v>
      </c>
      <c r="DY86" s="102">
        <v>1</v>
      </c>
      <c r="DZ86" s="102">
        <v>0</v>
      </c>
      <c r="EA86" s="102" t="s">
        <v>853</v>
      </c>
      <c r="EB86" s="102">
        <v>0</v>
      </c>
      <c r="EC86" s="102">
        <v>1</v>
      </c>
      <c r="ED86" s="102">
        <v>0</v>
      </c>
      <c r="EE86" s="102">
        <v>2</v>
      </c>
      <c r="EF86" s="102">
        <v>5</v>
      </c>
      <c r="EG86" s="102">
        <v>1</v>
      </c>
      <c r="EH86" s="102" t="s">
        <v>1349</v>
      </c>
      <c r="EI86" s="102">
        <v>0</v>
      </c>
      <c r="EJ86" s="102">
        <v>0</v>
      </c>
      <c r="EK86" s="102">
        <v>2</v>
      </c>
      <c r="EL86" s="102">
        <v>0</v>
      </c>
      <c r="EM86" s="102"/>
    </row>
    <row r="87" spans="1:143" ht="15.75" customHeight="1" x14ac:dyDescent="0.55000000000000004">
      <c r="A87" s="99">
        <v>85</v>
      </c>
      <c r="B87" s="102" t="s">
        <v>1430</v>
      </c>
      <c r="C87" s="102" t="s">
        <v>999</v>
      </c>
      <c r="D87" s="103">
        <v>37337</v>
      </c>
      <c r="E87" s="102" t="s">
        <v>959</v>
      </c>
      <c r="F87" s="102">
        <v>22</v>
      </c>
      <c r="G87" s="102">
        <v>3</v>
      </c>
      <c r="H87" s="102">
        <v>2002</v>
      </c>
      <c r="I87" s="102" t="s">
        <v>1431</v>
      </c>
      <c r="J87" s="102" t="s">
        <v>1432</v>
      </c>
      <c r="K87" s="102" t="s">
        <v>1433</v>
      </c>
      <c r="L87" s="102">
        <v>14</v>
      </c>
      <c r="M87" s="102">
        <v>1</v>
      </c>
      <c r="N87" s="102">
        <v>0</v>
      </c>
      <c r="O87" s="106">
        <v>9</v>
      </c>
      <c r="P87" s="102">
        <v>1</v>
      </c>
      <c r="Q87" s="104">
        <v>1</v>
      </c>
      <c r="R87" s="102">
        <v>1</v>
      </c>
      <c r="S87" s="102">
        <v>8</v>
      </c>
      <c r="T87" s="102">
        <v>0</v>
      </c>
      <c r="U87" s="102">
        <v>0</v>
      </c>
      <c r="V87" s="102">
        <v>4</v>
      </c>
      <c r="W87" s="102">
        <v>5</v>
      </c>
      <c r="X87" s="102">
        <v>0</v>
      </c>
      <c r="Y87" s="102">
        <v>0</v>
      </c>
      <c r="Z87" s="102">
        <v>0</v>
      </c>
      <c r="AA87" s="102">
        <v>54</v>
      </c>
      <c r="AB87" s="102">
        <v>0</v>
      </c>
      <c r="AC87" s="102"/>
      <c r="AD87" s="102">
        <v>0</v>
      </c>
      <c r="AE87" s="102">
        <v>0</v>
      </c>
      <c r="AF87" s="102">
        <v>1</v>
      </c>
      <c r="AG87" s="102"/>
      <c r="AH87" s="102"/>
      <c r="AI87" s="102"/>
      <c r="AJ87" s="102"/>
      <c r="AK87" s="102"/>
      <c r="AL87" s="102"/>
      <c r="AM87" s="102"/>
      <c r="AN87" s="102">
        <v>2</v>
      </c>
      <c r="AO87" s="102">
        <v>1</v>
      </c>
      <c r="AP87" s="102">
        <v>1</v>
      </c>
      <c r="AQ87" s="102">
        <v>0</v>
      </c>
      <c r="AR87" s="102">
        <v>0</v>
      </c>
      <c r="AS87" s="102" t="s">
        <v>853</v>
      </c>
      <c r="AT87" s="102">
        <v>0</v>
      </c>
      <c r="AU87" s="102"/>
      <c r="AV87" s="102">
        <v>0</v>
      </c>
      <c r="AW87" s="102">
        <v>1</v>
      </c>
      <c r="AX87" s="102">
        <v>5</v>
      </c>
      <c r="AY87" s="102">
        <v>9</v>
      </c>
      <c r="AZ87" s="102">
        <v>2</v>
      </c>
      <c r="BA87" s="102">
        <v>0</v>
      </c>
      <c r="BB87" s="102">
        <v>0</v>
      </c>
      <c r="BC87" s="102">
        <v>3</v>
      </c>
      <c r="BD87" s="102" t="s">
        <v>1056</v>
      </c>
      <c r="BE87" s="102">
        <v>0</v>
      </c>
      <c r="BF87" s="102">
        <v>0</v>
      </c>
      <c r="BG87" s="102">
        <v>0</v>
      </c>
      <c r="BH87" s="102">
        <v>0</v>
      </c>
      <c r="BI87" s="102">
        <v>0</v>
      </c>
      <c r="BJ87" s="102">
        <v>0</v>
      </c>
      <c r="BK87" s="102">
        <v>0</v>
      </c>
      <c r="BL87" s="102">
        <v>0</v>
      </c>
      <c r="BM87" s="102">
        <v>0</v>
      </c>
      <c r="BN87" s="102">
        <v>0</v>
      </c>
      <c r="BO87" s="102">
        <v>0</v>
      </c>
      <c r="BP87" s="102">
        <v>0</v>
      </c>
      <c r="BQ87" s="102">
        <v>0</v>
      </c>
      <c r="BR87" s="102">
        <v>0</v>
      </c>
      <c r="BS87" s="102">
        <v>0</v>
      </c>
      <c r="BT87" s="102">
        <v>0</v>
      </c>
      <c r="BU87" s="102"/>
      <c r="BV87" s="102">
        <v>0</v>
      </c>
      <c r="BW87" s="102">
        <v>0</v>
      </c>
      <c r="BX87" s="102">
        <v>0</v>
      </c>
      <c r="BY87" s="102">
        <v>0</v>
      </c>
      <c r="BZ87" s="102">
        <v>0</v>
      </c>
      <c r="CA87" s="102">
        <v>2</v>
      </c>
      <c r="CB87" s="102">
        <v>1</v>
      </c>
      <c r="CC87" s="102">
        <v>3</v>
      </c>
      <c r="CD87" s="102" t="s">
        <v>1434</v>
      </c>
      <c r="CE87" s="102">
        <v>0</v>
      </c>
      <c r="CF87" s="102">
        <v>0</v>
      </c>
      <c r="CG87" s="102">
        <v>0</v>
      </c>
      <c r="CH87" s="102">
        <v>1</v>
      </c>
      <c r="CI87" s="102">
        <v>1</v>
      </c>
      <c r="CJ87" s="102">
        <v>1</v>
      </c>
      <c r="CK87" s="102">
        <v>0</v>
      </c>
      <c r="CL87" s="102">
        <v>0</v>
      </c>
      <c r="CM87" s="102">
        <v>0</v>
      </c>
      <c r="CN87" s="102">
        <v>2</v>
      </c>
      <c r="CO87" s="102">
        <v>1</v>
      </c>
      <c r="CP87" s="102">
        <v>2</v>
      </c>
      <c r="CQ87" s="102">
        <v>0</v>
      </c>
      <c r="CR87" s="102">
        <v>0</v>
      </c>
      <c r="CS87" s="102">
        <v>0</v>
      </c>
      <c r="CT87" s="102" t="s">
        <v>853</v>
      </c>
      <c r="CU87" s="102">
        <v>0</v>
      </c>
      <c r="CV87" s="102">
        <v>4</v>
      </c>
      <c r="CW87" s="102">
        <v>0</v>
      </c>
      <c r="CX87" s="102">
        <v>0</v>
      </c>
      <c r="CY87" s="102">
        <v>0</v>
      </c>
      <c r="CZ87" s="102">
        <v>0</v>
      </c>
      <c r="DA87" s="102" t="s">
        <v>853</v>
      </c>
      <c r="DB87" s="102">
        <v>0</v>
      </c>
      <c r="DC87" s="102">
        <v>0</v>
      </c>
      <c r="DD87" s="102">
        <v>0</v>
      </c>
      <c r="DE87" s="102">
        <v>0</v>
      </c>
      <c r="DF87" s="102">
        <v>0</v>
      </c>
      <c r="DG87" s="102">
        <v>0</v>
      </c>
      <c r="DH87" s="102">
        <v>1</v>
      </c>
      <c r="DI87" s="102">
        <v>0</v>
      </c>
      <c r="DJ87" s="102">
        <v>0</v>
      </c>
      <c r="DK87" s="102">
        <v>0</v>
      </c>
      <c r="DL87" s="102">
        <v>1</v>
      </c>
      <c r="DM87" s="102">
        <v>0</v>
      </c>
      <c r="DN87" s="102">
        <v>0</v>
      </c>
      <c r="DO87" s="102">
        <v>0</v>
      </c>
      <c r="DP87" s="102">
        <v>0</v>
      </c>
      <c r="DQ87" s="102">
        <v>0</v>
      </c>
      <c r="DR87" s="102">
        <v>0</v>
      </c>
      <c r="DS87" s="102" t="s">
        <v>853</v>
      </c>
      <c r="DT87" s="105" t="s">
        <v>853</v>
      </c>
      <c r="DU87" s="102" t="s">
        <v>853</v>
      </c>
      <c r="DV87" s="102">
        <v>1</v>
      </c>
      <c r="DW87" s="102">
        <v>0</v>
      </c>
      <c r="DX87" s="102" t="s">
        <v>853</v>
      </c>
      <c r="DY87" s="102">
        <v>0</v>
      </c>
      <c r="DZ87" s="102">
        <v>0</v>
      </c>
      <c r="EA87" s="102" t="s">
        <v>853</v>
      </c>
      <c r="EB87" s="102">
        <v>0</v>
      </c>
      <c r="EC87" s="102">
        <v>0</v>
      </c>
      <c r="ED87" s="102">
        <v>0</v>
      </c>
      <c r="EE87" s="102">
        <v>1</v>
      </c>
      <c r="EF87" s="102">
        <v>2</v>
      </c>
      <c r="EG87" s="102">
        <v>0</v>
      </c>
      <c r="EH87" s="102" t="s">
        <v>853</v>
      </c>
      <c r="EI87" s="102">
        <v>0</v>
      </c>
      <c r="EJ87" s="102">
        <v>0</v>
      </c>
      <c r="EK87" s="102">
        <v>2</v>
      </c>
      <c r="EL87" s="102">
        <v>0</v>
      </c>
      <c r="EM87" s="102"/>
    </row>
    <row r="88" spans="1:143" ht="15.75" customHeight="1" x14ac:dyDescent="0.55000000000000004">
      <c r="A88" s="99">
        <v>86</v>
      </c>
      <c r="B88" s="102" t="s">
        <v>1435</v>
      </c>
      <c r="C88" s="102" t="s">
        <v>1436</v>
      </c>
      <c r="D88" s="103">
        <v>37677</v>
      </c>
      <c r="E88" s="102" t="s">
        <v>1032</v>
      </c>
      <c r="F88" s="102">
        <v>25</v>
      </c>
      <c r="G88" s="102">
        <v>2</v>
      </c>
      <c r="H88" s="102">
        <v>2003</v>
      </c>
      <c r="I88" s="102" t="s">
        <v>1437</v>
      </c>
      <c r="J88" s="102" t="s">
        <v>1438</v>
      </c>
      <c r="K88" s="102" t="s">
        <v>1439</v>
      </c>
      <c r="L88" s="102">
        <v>1</v>
      </c>
      <c r="M88" s="102">
        <v>0</v>
      </c>
      <c r="N88" s="102">
        <v>0</v>
      </c>
      <c r="O88" s="107">
        <v>6</v>
      </c>
      <c r="P88" s="102">
        <v>0</v>
      </c>
      <c r="Q88" s="104">
        <v>1</v>
      </c>
      <c r="R88" s="102">
        <v>1</v>
      </c>
      <c r="S88" s="102">
        <v>7</v>
      </c>
      <c r="T88" s="102">
        <v>0</v>
      </c>
      <c r="U88" s="102">
        <v>0</v>
      </c>
      <c r="V88" s="102">
        <v>4</v>
      </c>
      <c r="W88" s="102">
        <v>1</v>
      </c>
      <c r="X88" s="102">
        <v>0</v>
      </c>
      <c r="Y88" s="102">
        <v>0</v>
      </c>
      <c r="Z88" s="102">
        <v>0</v>
      </c>
      <c r="AA88" s="102">
        <v>23</v>
      </c>
      <c r="AB88" s="102">
        <v>0</v>
      </c>
      <c r="AC88" s="102">
        <v>1</v>
      </c>
      <c r="AD88" s="102">
        <v>0</v>
      </c>
      <c r="AE88" s="102">
        <v>0</v>
      </c>
      <c r="AF88" s="102"/>
      <c r="AG88" s="102"/>
      <c r="AH88" s="102"/>
      <c r="AI88" s="102"/>
      <c r="AJ88" s="102"/>
      <c r="AK88" s="102"/>
      <c r="AL88" s="102"/>
      <c r="AM88" s="102"/>
      <c r="AN88" s="102"/>
      <c r="AO88" s="102">
        <v>0</v>
      </c>
      <c r="AP88" s="102">
        <v>0</v>
      </c>
      <c r="AQ88" s="102">
        <v>0</v>
      </c>
      <c r="AR88" s="102">
        <v>0</v>
      </c>
      <c r="AS88" s="102" t="s">
        <v>853</v>
      </c>
      <c r="AT88" s="102"/>
      <c r="AU88" s="102"/>
      <c r="AV88" s="102">
        <v>0</v>
      </c>
      <c r="AW88" s="102">
        <v>1</v>
      </c>
      <c r="AX88" s="102">
        <v>0</v>
      </c>
      <c r="AY88" s="102">
        <v>0</v>
      </c>
      <c r="AZ88" s="102">
        <v>0</v>
      </c>
      <c r="BA88" s="102">
        <v>0</v>
      </c>
      <c r="BB88" s="102">
        <v>0</v>
      </c>
      <c r="BC88" s="102">
        <v>0</v>
      </c>
      <c r="BD88" s="102">
        <v>0</v>
      </c>
      <c r="BE88" s="102">
        <v>0</v>
      </c>
      <c r="BF88" s="102">
        <v>0</v>
      </c>
      <c r="BG88" s="102">
        <v>0</v>
      </c>
      <c r="BH88" s="102">
        <v>0</v>
      </c>
      <c r="BI88" s="102">
        <v>0</v>
      </c>
      <c r="BJ88" s="102">
        <v>0</v>
      </c>
      <c r="BK88" s="102">
        <v>0</v>
      </c>
      <c r="BL88" s="102">
        <v>0</v>
      </c>
      <c r="BM88" s="102">
        <v>0</v>
      </c>
      <c r="BN88" s="102">
        <v>0</v>
      </c>
      <c r="BO88" s="102">
        <v>0</v>
      </c>
      <c r="BP88" s="102">
        <v>0</v>
      </c>
      <c r="BQ88" s="102">
        <v>0</v>
      </c>
      <c r="BR88" s="102">
        <v>0</v>
      </c>
      <c r="BS88" s="102">
        <v>0</v>
      </c>
      <c r="BT88" s="102">
        <v>0</v>
      </c>
      <c r="BU88" s="102"/>
      <c r="BV88" s="102">
        <v>0</v>
      </c>
      <c r="BW88" s="102">
        <v>0</v>
      </c>
      <c r="BX88" s="102">
        <v>0</v>
      </c>
      <c r="BY88" s="102">
        <v>0</v>
      </c>
      <c r="BZ88" s="102">
        <v>0</v>
      </c>
      <c r="CA88" s="102">
        <v>2</v>
      </c>
      <c r="CB88" s="102">
        <v>1</v>
      </c>
      <c r="CC88" s="102">
        <v>3</v>
      </c>
      <c r="CD88" s="102" t="s">
        <v>1440</v>
      </c>
      <c r="CE88" s="102">
        <v>0</v>
      </c>
      <c r="CF88" s="102">
        <v>0</v>
      </c>
      <c r="CG88" s="102">
        <v>0</v>
      </c>
      <c r="CH88" s="102">
        <v>1</v>
      </c>
      <c r="CI88" s="102">
        <v>1</v>
      </c>
      <c r="CJ88" s="102">
        <v>1</v>
      </c>
      <c r="CK88" s="102">
        <v>0</v>
      </c>
      <c r="CL88" s="102">
        <v>0</v>
      </c>
      <c r="CM88" s="102">
        <v>0</v>
      </c>
      <c r="CN88" s="102">
        <v>0</v>
      </c>
      <c r="CO88" s="102">
        <v>1</v>
      </c>
      <c r="CP88" s="102">
        <v>2</v>
      </c>
      <c r="CQ88" s="102">
        <v>0</v>
      </c>
      <c r="CR88" s="102">
        <v>0</v>
      </c>
      <c r="CS88" s="102">
        <v>0</v>
      </c>
      <c r="CT88" s="102" t="s">
        <v>853</v>
      </c>
      <c r="CU88" s="102">
        <v>0</v>
      </c>
      <c r="CV88" s="102">
        <v>4</v>
      </c>
      <c r="CW88" s="102">
        <v>0</v>
      </c>
      <c r="CX88" s="102">
        <v>0</v>
      </c>
      <c r="CY88" s="102">
        <v>0</v>
      </c>
      <c r="CZ88" s="102">
        <v>0</v>
      </c>
      <c r="DA88" s="102" t="s">
        <v>853</v>
      </c>
      <c r="DB88" s="102">
        <v>0</v>
      </c>
      <c r="DC88" s="102">
        <v>0</v>
      </c>
      <c r="DD88" s="102">
        <v>0</v>
      </c>
      <c r="DE88" s="102">
        <v>0</v>
      </c>
      <c r="DF88" s="102">
        <v>0</v>
      </c>
      <c r="DG88" s="102">
        <v>0</v>
      </c>
      <c r="DH88" s="102">
        <v>0</v>
      </c>
      <c r="DI88" s="102">
        <v>0</v>
      </c>
      <c r="DJ88" s="102">
        <v>0</v>
      </c>
      <c r="DK88" s="102">
        <v>0</v>
      </c>
      <c r="DL88" s="102">
        <v>1</v>
      </c>
      <c r="DM88" s="102">
        <v>0</v>
      </c>
      <c r="DN88" s="102">
        <v>0</v>
      </c>
      <c r="DO88" s="102">
        <v>0</v>
      </c>
      <c r="DP88" s="102">
        <v>0</v>
      </c>
      <c r="DQ88" s="102">
        <v>0</v>
      </c>
      <c r="DR88" s="102">
        <v>0</v>
      </c>
      <c r="DS88" s="102" t="s">
        <v>853</v>
      </c>
      <c r="DT88" s="105" t="s">
        <v>853</v>
      </c>
      <c r="DU88" s="102" t="s">
        <v>853</v>
      </c>
      <c r="DV88" s="102">
        <v>0</v>
      </c>
      <c r="DW88" s="102">
        <v>0</v>
      </c>
      <c r="DX88" s="102" t="s">
        <v>853</v>
      </c>
      <c r="DY88" s="102">
        <v>0</v>
      </c>
      <c r="DZ88" s="102">
        <v>0</v>
      </c>
      <c r="EA88" s="102" t="s">
        <v>853</v>
      </c>
      <c r="EB88" s="102">
        <v>0</v>
      </c>
      <c r="EC88" s="102">
        <v>0</v>
      </c>
      <c r="ED88" s="102">
        <v>0</v>
      </c>
      <c r="EE88" s="102">
        <v>1</v>
      </c>
      <c r="EF88" s="102">
        <v>1</v>
      </c>
      <c r="EG88" s="102">
        <v>0</v>
      </c>
      <c r="EH88" s="102" t="s">
        <v>853</v>
      </c>
      <c r="EI88" s="102">
        <v>2</v>
      </c>
      <c r="EJ88" s="102">
        <v>1</v>
      </c>
      <c r="EK88" s="102">
        <v>0</v>
      </c>
      <c r="EL88" s="102">
        <v>1</v>
      </c>
      <c r="EM88" s="102"/>
    </row>
    <row r="89" spans="1:143" ht="15.75" customHeight="1" x14ac:dyDescent="0.55000000000000004">
      <c r="A89" s="99">
        <v>87</v>
      </c>
      <c r="B89" s="102" t="s">
        <v>1441</v>
      </c>
      <c r="C89" s="102" t="s">
        <v>1442</v>
      </c>
      <c r="D89" s="103">
        <v>37810</v>
      </c>
      <c r="E89" s="102" t="s">
        <v>1032</v>
      </c>
      <c r="F89" s="102">
        <v>8</v>
      </c>
      <c r="G89" s="102">
        <v>7</v>
      </c>
      <c r="H89" s="102">
        <v>2003</v>
      </c>
      <c r="I89" s="102" t="s">
        <v>1443</v>
      </c>
      <c r="J89" s="102" t="s">
        <v>1444</v>
      </c>
      <c r="K89" s="102" t="s">
        <v>1276</v>
      </c>
      <c r="L89" s="102">
        <v>24</v>
      </c>
      <c r="M89" s="102">
        <v>0</v>
      </c>
      <c r="N89" s="102">
        <v>0</v>
      </c>
      <c r="O89" s="106">
        <v>9</v>
      </c>
      <c r="P89" s="102">
        <v>1</v>
      </c>
      <c r="Q89" s="104">
        <v>1</v>
      </c>
      <c r="R89" s="102">
        <v>0</v>
      </c>
      <c r="S89" s="102" t="s">
        <v>853</v>
      </c>
      <c r="T89" s="102">
        <v>0</v>
      </c>
      <c r="U89" s="102">
        <v>0</v>
      </c>
      <c r="V89" s="102">
        <v>6</v>
      </c>
      <c r="W89" s="102">
        <v>8</v>
      </c>
      <c r="X89" s="102">
        <v>0</v>
      </c>
      <c r="Y89" s="102">
        <v>0</v>
      </c>
      <c r="Z89" s="102">
        <v>0</v>
      </c>
      <c r="AA89" s="102">
        <v>48</v>
      </c>
      <c r="AB89" s="102">
        <v>0</v>
      </c>
      <c r="AC89" s="102">
        <v>0</v>
      </c>
      <c r="AD89" s="102">
        <v>0</v>
      </c>
      <c r="AE89" s="102">
        <v>0</v>
      </c>
      <c r="AF89" s="102">
        <v>1</v>
      </c>
      <c r="AG89" s="102"/>
      <c r="AH89" s="102"/>
      <c r="AI89" s="102"/>
      <c r="AJ89" s="102"/>
      <c r="AK89" s="102"/>
      <c r="AL89" s="102"/>
      <c r="AM89" s="102"/>
      <c r="AN89" s="102">
        <v>1</v>
      </c>
      <c r="AO89" s="102">
        <v>1</v>
      </c>
      <c r="AP89" s="102">
        <v>1</v>
      </c>
      <c r="AQ89" s="102">
        <v>0</v>
      </c>
      <c r="AR89" s="102">
        <v>0</v>
      </c>
      <c r="AS89" s="102" t="s">
        <v>853</v>
      </c>
      <c r="AT89" s="102"/>
      <c r="AU89" s="102"/>
      <c r="AV89" s="102">
        <v>0</v>
      </c>
      <c r="AW89" s="102">
        <v>0</v>
      </c>
      <c r="AX89" s="102">
        <v>0</v>
      </c>
      <c r="AY89" s="102">
        <v>0</v>
      </c>
      <c r="AZ89" s="102">
        <v>0</v>
      </c>
      <c r="BA89" s="102">
        <v>0</v>
      </c>
      <c r="BB89" s="102">
        <v>0</v>
      </c>
      <c r="BC89" s="102">
        <v>0</v>
      </c>
      <c r="BD89" s="102">
        <v>0</v>
      </c>
      <c r="BE89" s="102">
        <v>0</v>
      </c>
      <c r="BF89" s="102">
        <v>0</v>
      </c>
      <c r="BG89" s="102">
        <v>0</v>
      </c>
      <c r="BH89" s="102">
        <v>0</v>
      </c>
      <c r="BI89" s="102">
        <v>0</v>
      </c>
      <c r="BJ89" s="102">
        <v>1</v>
      </c>
      <c r="BK89" s="102">
        <v>0</v>
      </c>
      <c r="BL89" s="102">
        <v>0</v>
      </c>
      <c r="BM89" s="102">
        <v>0</v>
      </c>
      <c r="BN89" s="102">
        <v>0</v>
      </c>
      <c r="BO89" s="102">
        <v>0</v>
      </c>
      <c r="BP89" s="102">
        <v>0</v>
      </c>
      <c r="BQ89" s="102">
        <v>0</v>
      </c>
      <c r="BR89" s="102">
        <v>0</v>
      </c>
      <c r="BS89" s="102">
        <v>0</v>
      </c>
      <c r="BT89" s="102">
        <v>0</v>
      </c>
      <c r="BU89" s="102"/>
      <c r="BV89" s="102">
        <v>0</v>
      </c>
      <c r="BW89" s="102">
        <v>0</v>
      </c>
      <c r="BX89" s="102">
        <v>0</v>
      </c>
      <c r="BY89" s="102">
        <v>0</v>
      </c>
      <c r="BZ89" s="102">
        <v>0</v>
      </c>
      <c r="CA89" s="102">
        <v>0</v>
      </c>
      <c r="CB89" s="102">
        <v>1</v>
      </c>
      <c r="CC89" s="102">
        <v>3</v>
      </c>
      <c r="CD89" s="102" t="s">
        <v>1445</v>
      </c>
      <c r="CE89" s="102">
        <v>0</v>
      </c>
      <c r="CF89" s="102">
        <v>1</v>
      </c>
      <c r="CG89" s="102">
        <v>0</v>
      </c>
      <c r="CH89" s="102">
        <v>0</v>
      </c>
      <c r="CI89" s="102">
        <v>1</v>
      </c>
      <c r="CJ89" s="102">
        <v>1</v>
      </c>
      <c r="CK89" s="102">
        <v>0</v>
      </c>
      <c r="CL89" s="102">
        <v>0</v>
      </c>
      <c r="CM89" s="102">
        <v>1</v>
      </c>
      <c r="CN89" s="102">
        <v>1</v>
      </c>
      <c r="CO89" s="102">
        <v>0</v>
      </c>
      <c r="CP89" s="102">
        <v>0</v>
      </c>
      <c r="CQ89" s="102">
        <v>1</v>
      </c>
      <c r="CR89" s="102">
        <v>2</v>
      </c>
      <c r="CS89" s="102">
        <v>1</v>
      </c>
      <c r="CT89" s="102" t="s">
        <v>955</v>
      </c>
      <c r="CU89" s="102">
        <v>0</v>
      </c>
      <c r="CV89" s="102">
        <v>1</v>
      </c>
      <c r="CW89" s="102">
        <v>0</v>
      </c>
      <c r="CX89" s="102">
        <v>0</v>
      </c>
      <c r="CY89" s="102">
        <v>0</v>
      </c>
      <c r="CZ89" s="102">
        <v>1</v>
      </c>
      <c r="DA89" s="102" t="s">
        <v>1446</v>
      </c>
      <c r="DB89" s="102">
        <v>0</v>
      </c>
      <c r="DC89" s="102">
        <v>1</v>
      </c>
      <c r="DD89" s="102">
        <v>1</v>
      </c>
      <c r="DE89" s="102">
        <v>0</v>
      </c>
      <c r="DF89" s="102">
        <v>0</v>
      </c>
      <c r="DG89" s="102">
        <v>0</v>
      </c>
      <c r="DH89" s="102">
        <v>1</v>
      </c>
      <c r="DI89" s="102">
        <v>0</v>
      </c>
      <c r="DJ89" s="102">
        <v>0</v>
      </c>
      <c r="DK89" s="102">
        <v>0</v>
      </c>
      <c r="DL89" s="102">
        <v>0</v>
      </c>
      <c r="DM89" s="102">
        <v>0</v>
      </c>
      <c r="DN89" s="102">
        <v>0</v>
      </c>
      <c r="DO89" s="102">
        <v>0</v>
      </c>
      <c r="DP89" s="102">
        <v>0</v>
      </c>
      <c r="DQ89" s="102">
        <v>0</v>
      </c>
      <c r="DR89" s="102">
        <v>1</v>
      </c>
      <c r="DS89" s="102">
        <v>0</v>
      </c>
      <c r="DT89" s="105" t="s">
        <v>945</v>
      </c>
      <c r="DU89" s="102">
        <v>0</v>
      </c>
      <c r="DV89" s="102">
        <v>0</v>
      </c>
      <c r="DW89" s="102">
        <v>0</v>
      </c>
      <c r="DX89" s="102" t="s">
        <v>853</v>
      </c>
      <c r="DY89" s="102">
        <v>0</v>
      </c>
      <c r="DZ89" s="102">
        <v>0</v>
      </c>
      <c r="EA89" s="102" t="s">
        <v>853</v>
      </c>
      <c r="EB89" s="102">
        <v>0</v>
      </c>
      <c r="EC89" s="102">
        <v>0</v>
      </c>
      <c r="ED89" s="102">
        <v>0</v>
      </c>
      <c r="EE89" s="102">
        <v>1</v>
      </c>
      <c r="EF89" s="102">
        <v>5</v>
      </c>
      <c r="EG89" s="102">
        <v>1</v>
      </c>
      <c r="EH89" s="102" t="s">
        <v>1447</v>
      </c>
      <c r="EI89" s="102">
        <v>0</v>
      </c>
      <c r="EJ89" s="102">
        <v>0</v>
      </c>
      <c r="EK89" s="102">
        <v>2</v>
      </c>
      <c r="EL89" s="102">
        <v>0</v>
      </c>
      <c r="EM89" s="102"/>
    </row>
    <row r="90" spans="1:143" ht="15.75" customHeight="1" x14ac:dyDescent="0.55000000000000004">
      <c r="A90" s="99">
        <v>88</v>
      </c>
      <c r="B90" s="102" t="s">
        <v>1448</v>
      </c>
      <c r="C90" s="102" t="s">
        <v>1449</v>
      </c>
      <c r="D90" s="103">
        <v>37860</v>
      </c>
      <c r="E90" s="102" t="s">
        <v>891</v>
      </c>
      <c r="F90" s="102">
        <v>27</v>
      </c>
      <c r="G90" s="102">
        <v>8</v>
      </c>
      <c r="H90" s="102">
        <v>2003</v>
      </c>
      <c r="I90" s="102" t="s">
        <v>1450</v>
      </c>
      <c r="J90" s="102" t="s">
        <v>1451</v>
      </c>
      <c r="K90" s="102" t="s">
        <v>1111</v>
      </c>
      <c r="L90" s="102">
        <v>13</v>
      </c>
      <c r="M90" s="102">
        <v>1</v>
      </c>
      <c r="N90" s="102">
        <v>0</v>
      </c>
      <c r="O90" s="106">
        <v>9</v>
      </c>
      <c r="P90" s="102">
        <v>1</v>
      </c>
      <c r="Q90" s="104">
        <v>1</v>
      </c>
      <c r="R90" s="102">
        <v>0</v>
      </c>
      <c r="S90" s="102" t="s">
        <v>853</v>
      </c>
      <c r="T90" s="102">
        <v>0</v>
      </c>
      <c r="U90" s="102">
        <v>0</v>
      </c>
      <c r="V90" s="102">
        <v>6</v>
      </c>
      <c r="W90" s="102">
        <v>0</v>
      </c>
      <c r="X90" s="102">
        <v>0</v>
      </c>
      <c r="Y90" s="102">
        <v>0</v>
      </c>
      <c r="Z90" s="102">
        <v>0</v>
      </c>
      <c r="AA90" s="102">
        <v>36</v>
      </c>
      <c r="AB90" s="102">
        <v>0</v>
      </c>
      <c r="AC90" s="102">
        <v>2</v>
      </c>
      <c r="AD90" s="102">
        <v>1</v>
      </c>
      <c r="AE90" s="102">
        <v>0</v>
      </c>
      <c r="AF90" s="102"/>
      <c r="AG90" s="102"/>
      <c r="AH90" s="102"/>
      <c r="AI90" s="102"/>
      <c r="AJ90" s="102"/>
      <c r="AK90" s="102">
        <v>5</v>
      </c>
      <c r="AL90" s="102"/>
      <c r="AM90" s="102"/>
      <c r="AN90" s="102">
        <v>0</v>
      </c>
      <c r="AO90" s="102">
        <v>0</v>
      </c>
      <c r="AP90" s="102">
        <v>0</v>
      </c>
      <c r="AQ90" s="102">
        <v>0</v>
      </c>
      <c r="AR90" s="102">
        <v>0</v>
      </c>
      <c r="AS90" s="102" t="s">
        <v>853</v>
      </c>
      <c r="AT90" s="102"/>
      <c r="AU90" s="102"/>
      <c r="AV90" s="102">
        <v>0</v>
      </c>
      <c r="AW90" s="102">
        <v>1</v>
      </c>
      <c r="AX90" s="102">
        <v>4</v>
      </c>
      <c r="AY90" s="102" t="s">
        <v>1452</v>
      </c>
      <c r="AZ90" s="102">
        <v>4</v>
      </c>
      <c r="BA90" s="102">
        <v>1</v>
      </c>
      <c r="BB90" s="102">
        <v>0</v>
      </c>
      <c r="BC90" s="102">
        <v>3</v>
      </c>
      <c r="BD90" s="102" t="s">
        <v>1353</v>
      </c>
      <c r="BE90" s="102">
        <v>0</v>
      </c>
      <c r="BF90" s="102">
        <v>0</v>
      </c>
      <c r="BG90" s="102">
        <v>0</v>
      </c>
      <c r="BH90" s="102">
        <v>0</v>
      </c>
      <c r="BI90" s="102">
        <v>0</v>
      </c>
      <c r="BJ90" s="102">
        <v>1</v>
      </c>
      <c r="BK90" s="102">
        <v>0</v>
      </c>
      <c r="BL90" s="102">
        <v>0</v>
      </c>
      <c r="BM90" s="102">
        <v>0</v>
      </c>
      <c r="BN90" s="102">
        <v>0</v>
      </c>
      <c r="BO90" s="102">
        <v>0</v>
      </c>
      <c r="BP90" s="102">
        <v>0</v>
      </c>
      <c r="BQ90" s="102">
        <v>0</v>
      </c>
      <c r="BR90" s="102">
        <v>0</v>
      </c>
      <c r="BS90" s="102">
        <v>0</v>
      </c>
      <c r="BT90" s="102">
        <v>0</v>
      </c>
      <c r="BU90" s="102"/>
      <c r="BV90" s="102">
        <v>0</v>
      </c>
      <c r="BW90" s="102">
        <v>0</v>
      </c>
      <c r="BX90" s="102">
        <v>0</v>
      </c>
      <c r="BY90" s="102">
        <v>0</v>
      </c>
      <c r="BZ90" s="102">
        <v>0</v>
      </c>
      <c r="CA90" s="102">
        <v>2</v>
      </c>
      <c r="CB90" s="102">
        <v>1</v>
      </c>
      <c r="CC90" s="102">
        <v>3</v>
      </c>
      <c r="CD90" s="102" t="s">
        <v>1453</v>
      </c>
      <c r="CE90" s="102">
        <v>1</v>
      </c>
      <c r="CF90" s="102">
        <v>0</v>
      </c>
      <c r="CG90" s="102">
        <v>0</v>
      </c>
      <c r="CH90" s="102">
        <v>0</v>
      </c>
      <c r="CI90" s="102">
        <v>1</v>
      </c>
      <c r="CJ90" s="102">
        <v>1</v>
      </c>
      <c r="CK90" s="102">
        <v>0</v>
      </c>
      <c r="CL90" s="102">
        <v>0</v>
      </c>
      <c r="CM90" s="102">
        <v>0</v>
      </c>
      <c r="CN90" s="102">
        <v>2</v>
      </c>
      <c r="CO90" s="102">
        <v>0</v>
      </c>
      <c r="CP90" s="102">
        <v>0</v>
      </c>
      <c r="CQ90" s="102">
        <v>0</v>
      </c>
      <c r="CR90" s="102">
        <v>0</v>
      </c>
      <c r="CS90" s="102">
        <v>0</v>
      </c>
      <c r="CT90" s="102" t="s">
        <v>853</v>
      </c>
      <c r="CU90" s="102">
        <v>0</v>
      </c>
      <c r="CV90" s="102">
        <v>0</v>
      </c>
      <c r="CW90" s="102">
        <v>0</v>
      </c>
      <c r="CX90" s="102">
        <v>0</v>
      </c>
      <c r="CY90" s="102">
        <v>1</v>
      </c>
      <c r="CZ90" s="102">
        <v>0</v>
      </c>
      <c r="DA90" s="102" t="s">
        <v>853</v>
      </c>
      <c r="DB90" s="102">
        <v>0</v>
      </c>
      <c r="DC90" s="102">
        <v>0</v>
      </c>
      <c r="DD90" s="102">
        <v>0</v>
      </c>
      <c r="DE90" s="102">
        <v>0</v>
      </c>
      <c r="DF90" s="102">
        <v>0</v>
      </c>
      <c r="DG90" s="102">
        <v>0</v>
      </c>
      <c r="DH90" s="102">
        <v>1</v>
      </c>
      <c r="DI90" s="102">
        <v>0</v>
      </c>
      <c r="DJ90" s="102">
        <v>0</v>
      </c>
      <c r="DK90" s="102">
        <v>0</v>
      </c>
      <c r="DL90" s="102">
        <v>0</v>
      </c>
      <c r="DM90" s="102">
        <v>0</v>
      </c>
      <c r="DN90" s="102">
        <v>0</v>
      </c>
      <c r="DO90" s="102">
        <v>0</v>
      </c>
      <c r="DP90" s="102">
        <v>0</v>
      </c>
      <c r="DQ90" s="102">
        <v>0</v>
      </c>
      <c r="DR90" s="102">
        <v>1</v>
      </c>
      <c r="DS90" s="102">
        <v>3</v>
      </c>
      <c r="DT90" s="105" t="s">
        <v>945</v>
      </c>
      <c r="DU90" s="102">
        <v>0</v>
      </c>
      <c r="DV90" s="102">
        <v>0</v>
      </c>
      <c r="DW90" s="102">
        <v>0</v>
      </c>
      <c r="DX90" s="102" t="s">
        <v>853</v>
      </c>
      <c r="DY90" s="102">
        <v>1</v>
      </c>
      <c r="DZ90" s="102">
        <v>0</v>
      </c>
      <c r="EA90" s="102" t="s">
        <v>853</v>
      </c>
      <c r="EB90" s="102">
        <v>0</v>
      </c>
      <c r="EC90" s="102">
        <v>0</v>
      </c>
      <c r="ED90" s="102">
        <v>1</v>
      </c>
      <c r="EE90" s="102">
        <v>1</v>
      </c>
      <c r="EF90" s="102">
        <v>1</v>
      </c>
      <c r="EG90" s="102">
        <v>0</v>
      </c>
      <c r="EH90" s="102" t="s">
        <v>853</v>
      </c>
      <c r="EI90" s="102">
        <v>1</v>
      </c>
      <c r="EJ90" s="102">
        <v>0</v>
      </c>
      <c r="EK90" s="102">
        <v>2</v>
      </c>
      <c r="EL90" s="102">
        <v>0</v>
      </c>
      <c r="EM90" s="102"/>
    </row>
    <row r="91" spans="1:143" ht="15.75" customHeight="1" x14ac:dyDescent="0.55000000000000004">
      <c r="A91" s="99">
        <v>89</v>
      </c>
      <c r="B91" s="102" t="s">
        <v>1454</v>
      </c>
      <c r="C91" s="102" t="s">
        <v>1455</v>
      </c>
      <c r="D91" s="103">
        <v>37918</v>
      </c>
      <c r="E91" s="102" t="s">
        <v>1032</v>
      </c>
      <c r="F91" s="102">
        <v>24</v>
      </c>
      <c r="G91" s="102">
        <v>10</v>
      </c>
      <c r="H91" s="102">
        <v>2003</v>
      </c>
      <c r="I91" s="102" t="s">
        <v>1456</v>
      </c>
      <c r="J91" s="102" t="s">
        <v>1457</v>
      </c>
      <c r="K91" s="102" t="s">
        <v>1458</v>
      </c>
      <c r="L91" s="102">
        <v>12</v>
      </c>
      <c r="M91" s="102">
        <v>3</v>
      </c>
      <c r="N91" s="102">
        <v>2</v>
      </c>
      <c r="O91" s="102">
        <v>5</v>
      </c>
      <c r="P91" s="102">
        <v>0</v>
      </c>
      <c r="Q91" s="104">
        <v>0</v>
      </c>
      <c r="R91" s="102">
        <v>0</v>
      </c>
      <c r="S91" s="102" t="s">
        <v>853</v>
      </c>
      <c r="T91" s="102">
        <v>0</v>
      </c>
      <c r="U91" s="102">
        <v>0</v>
      </c>
      <c r="V91" s="102">
        <v>4</v>
      </c>
      <c r="W91" s="102">
        <v>0</v>
      </c>
      <c r="X91" s="102">
        <v>0</v>
      </c>
      <c r="Y91" s="102">
        <v>1</v>
      </c>
      <c r="Z91" s="102">
        <v>0</v>
      </c>
      <c r="AA91" s="102">
        <v>53</v>
      </c>
      <c r="AB91" s="102">
        <v>0</v>
      </c>
      <c r="AC91" s="102">
        <v>0</v>
      </c>
      <c r="AD91" s="102">
        <v>0</v>
      </c>
      <c r="AE91" s="102">
        <v>0</v>
      </c>
      <c r="AF91" s="102"/>
      <c r="AG91" s="102"/>
      <c r="AH91" s="102"/>
      <c r="AI91" s="102"/>
      <c r="AJ91" s="102"/>
      <c r="AK91" s="102"/>
      <c r="AL91" s="102"/>
      <c r="AM91" s="102"/>
      <c r="AN91" s="102">
        <v>3</v>
      </c>
      <c r="AO91" s="102">
        <v>1</v>
      </c>
      <c r="AP91" s="102">
        <v>0</v>
      </c>
      <c r="AQ91" s="102"/>
      <c r="AR91" s="102">
        <v>0</v>
      </c>
      <c r="AS91" s="102" t="s">
        <v>853</v>
      </c>
      <c r="AT91" s="102">
        <v>1</v>
      </c>
      <c r="AU91" s="102" t="s">
        <v>1459</v>
      </c>
      <c r="AV91" s="102">
        <v>0</v>
      </c>
      <c r="AW91" s="102">
        <v>0</v>
      </c>
      <c r="AX91" s="102">
        <v>0</v>
      </c>
      <c r="AY91" s="102">
        <v>0</v>
      </c>
      <c r="AZ91" s="102">
        <v>0</v>
      </c>
      <c r="BA91" s="102">
        <v>0</v>
      </c>
      <c r="BB91" s="102">
        <v>0</v>
      </c>
      <c r="BC91" s="102">
        <v>0</v>
      </c>
      <c r="BD91" s="102">
        <v>0</v>
      </c>
      <c r="BE91" s="102">
        <v>0</v>
      </c>
      <c r="BF91" s="102">
        <v>0</v>
      </c>
      <c r="BG91" s="102">
        <v>0</v>
      </c>
      <c r="BH91" s="102">
        <v>0</v>
      </c>
      <c r="BI91" s="102">
        <v>0</v>
      </c>
      <c r="BJ91" s="102">
        <v>0</v>
      </c>
      <c r="BK91" s="102">
        <v>0</v>
      </c>
      <c r="BL91" s="102">
        <v>0</v>
      </c>
      <c r="BM91" s="102">
        <v>0</v>
      </c>
      <c r="BN91" s="102">
        <v>0</v>
      </c>
      <c r="BO91" s="102">
        <v>0</v>
      </c>
      <c r="BP91" s="102">
        <v>0</v>
      </c>
      <c r="BQ91" s="102">
        <v>0</v>
      </c>
      <c r="BR91" s="102">
        <v>0</v>
      </c>
      <c r="BS91" s="102">
        <v>0</v>
      </c>
      <c r="BT91" s="102">
        <v>0</v>
      </c>
      <c r="BU91" s="102"/>
      <c r="BV91" s="102">
        <v>0</v>
      </c>
      <c r="BW91" s="102">
        <v>0</v>
      </c>
      <c r="BX91" s="102">
        <v>0</v>
      </c>
      <c r="BY91" s="102">
        <v>0</v>
      </c>
      <c r="BZ91" s="102">
        <v>0</v>
      </c>
      <c r="CA91" s="102" t="s">
        <v>937</v>
      </c>
      <c r="CB91" s="102">
        <v>1</v>
      </c>
      <c r="CC91" s="102">
        <v>1</v>
      </c>
      <c r="CD91" s="102" t="s">
        <v>1460</v>
      </c>
      <c r="CE91" s="102">
        <v>1</v>
      </c>
      <c r="CF91" s="102">
        <v>1</v>
      </c>
      <c r="CG91" s="102">
        <v>0</v>
      </c>
      <c r="CH91" s="102">
        <v>0</v>
      </c>
      <c r="CI91" s="102">
        <v>1</v>
      </c>
      <c r="CJ91" s="102">
        <v>0</v>
      </c>
      <c r="CK91" s="102">
        <v>1</v>
      </c>
      <c r="CL91" s="102">
        <v>0</v>
      </c>
      <c r="CM91" s="102">
        <v>0</v>
      </c>
      <c r="CN91" s="102">
        <v>1</v>
      </c>
      <c r="CO91" s="102">
        <v>0</v>
      </c>
      <c r="CP91" s="102">
        <v>0</v>
      </c>
      <c r="CQ91" s="102">
        <v>0</v>
      </c>
      <c r="CR91" s="102">
        <v>0</v>
      </c>
      <c r="CS91" s="102">
        <v>0</v>
      </c>
      <c r="CT91" s="102" t="s">
        <v>853</v>
      </c>
      <c r="CU91" s="102">
        <v>0</v>
      </c>
      <c r="CV91" s="102">
        <v>1</v>
      </c>
      <c r="CW91" s="102">
        <v>0</v>
      </c>
      <c r="CX91" s="102">
        <v>0</v>
      </c>
      <c r="CY91" s="102">
        <v>1</v>
      </c>
      <c r="CZ91" s="102">
        <v>0</v>
      </c>
      <c r="DA91" s="102" t="s">
        <v>853</v>
      </c>
      <c r="DB91" s="102">
        <v>0</v>
      </c>
      <c r="DC91" s="102">
        <v>0</v>
      </c>
      <c r="DD91" s="102">
        <v>0</v>
      </c>
      <c r="DE91" s="102">
        <v>0</v>
      </c>
      <c r="DF91" s="102">
        <v>0</v>
      </c>
      <c r="DG91" s="102">
        <v>0</v>
      </c>
      <c r="DH91" s="102">
        <v>0</v>
      </c>
      <c r="DI91" s="102">
        <v>0</v>
      </c>
      <c r="DJ91" s="102">
        <v>0</v>
      </c>
      <c r="DK91" s="102">
        <v>1</v>
      </c>
      <c r="DL91" s="102">
        <v>0</v>
      </c>
      <c r="DM91" s="102">
        <v>0</v>
      </c>
      <c r="DN91" s="102">
        <v>0</v>
      </c>
      <c r="DO91" s="102">
        <v>0</v>
      </c>
      <c r="DP91" s="102">
        <v>0</v>
      </c>
      <c r="DQ91" s="102">
        <v>0</v>
      </c>
      <c r="DR91" s="102">
        <v>0</v>
      </c>
      <c r="DS91" s="102" t="s">
        <v>853</v>
      </c>
      <c r="DT91" s="105" t="s">
        <v>853</v>
      </c>
      <c r="DU91" s="102" t="s">
        <v>853</v>
      </c>
      <c r="DV91" s="102">
        <v>0</v>
      </c>
      <c r="DW91" s="102">
        <v>0</v>
      </c>
      <c r="DX91" s="102" t="s">
        <v>853</v>
      </c>
      <c r="DY91" s="102">
        <v>0</v>
      </c>
      <c r="DZ91" s="102">
        <v>0</v>
      </c>
      <c r="EA91" s="102" t="s">
        <v>853</v>
      </c>
      <c r="EB91" s="102">
        <v>0</v>
      </c>
      <c r="EC91" s="102">
        <v>0</v>
      </c>
      <c r="ED91" s="102">
        <v>0</v>
      </c>
      <c r="EE91" s="102">
        <v>0</v>
      </c>
      <c r="EF91" s="102">
        <v>1</v>
      </c>
      <c r="EG91" s="102">
        <v>0</v>
      </c>
      <c r="EH91" s="102" t="s">
        <v>853</v>
      </c>
      <c r="EI91" s="102">
        <v>0</v>
      </c>
      <c r="EJ91" s="102">
        <v>0</v>
      </c>
      <c r="EK91" s="102">
        <v>2</v>
      </c>
      <c r="EL91" s="102">
        <v>0</v>
      </c>
      <c r="EM91" s="102"/>
    </row>
    <row r="92" spans="1:143" ht="15.75" customHeight="1" x14ac:dyDescent="0.55000000000000004">
      <c r="A92" s="99">
        <v>90</v>
      </c>
      <c r="B92" s="102" t="s">
        <v>1018</v>
      </c>
      <c r="C92" s="102" t="s">
        <v>1461</v>
      </c>
      <c r="D92" s="103">
        <v>38170</v>
      </c>
      <c r="E92" s="102" t="s">
        <v>959</v>
      </c>
      <c r="F92" s="102">
        <v>2</v>
      </c>
      <c r="G92" s="102">
        <v>7</v>
      </c>
      <c r="H92" s="102">
        <v>2004</v>
      </c>
      <c r="I92" s="102" t="s">
        <v>1462</v>
      </c>
      <c r="J92" s="102" t="s">
        <v>1463</v>
      </c>
      <c r="K92" s="102" t="s">
        <v>1464</v>
      </c>
      <c r="L92" s="102">
        <v>16</v>
      </c>
      <c r="M92" s="102">
        <v>1</v>
      </c>
      <c r="N92" s="102">
        <v>0</v>
      </c>
      <c r="O92" s="106">
        <v>9</v>
      </c>
      <c r="P92" s="102">
        <v>1</v>
      </c>
      <c r="Q92" s="104">
        <v>1</v>
      </c>
      <c r="R92" s="102">
        <v>0</v>
      </c>
      <c r="S92" s="102" t="s">
        <v>853</v>
      </c>
      <c r="T92" s="102">
        <v>0</v>
      </c>
      <c r="U92" s="102">
        <v>0</v>
      </c>
      <c r="V92" s="102">
        <v>5</v>
      </c>
      <c r="W92" s="102">
        <v>2</v>
      </c>
      <c r="X92" s="102">
        <v>0</v>
      </c>
      <c r="Y92" s="102">
        <v>0</v>
      </c>
      <c r="Z92" s="102">
        <v>0</v>
      </c>
      <c r="AA92" s="102">
        <v>21</v>
      </c>
      <c r="AB92" s="102">
        <v>0</v>
      </c>
      <c r="AC92" s="102"/>
      <c r="AD92" s="102">
        <v>0</v>
      </c>
      <c r="AE92" s="102">
        <v>0</v>
      </c>
      <c r="AF92" s="102"/>
      <c r="AG92" s="102">
        <v>2</v>
      </c>
      <c r="AH92" s="102">
        <v>2</v>
      </c>
      <c r="AI92" s="102" t="s">
        <v>1465</v>
      </c>
      <c r="AJ92" s="102"/>
      <c r="AK92" s="102"/>
      <c r="AL92" s="102"/>
      <c r="AM92" s="102"/>
      <c r="AN92" s="102">
        <v>0</v>
      </c>
      <c r="AO92" s="102">
        <v>0</v>
      </c>
      <c r="AP92" s="102">
        <v>1</v>
      </c>
      <c r="AQ92" s="102">
        <v>0</v>
      </c>
      <c r="AR92" s="102">
        <v>0</v>
      </c>
      <c r="AS92" s="102" t="s">
        <v>853</v>
      </c>
      <c r="AT92" s="102">
        <v>1</v>
      </c>
      <c r="AU92" s="102" t="s">
        <v>1466</v>
      </c>
      <c r="AV92" s="102">
        <v>0</v>
      </c>
      <c r="AW92" s="102">
        <v>0</v>
      </c>
      <c r="AX92" s="102">
        <v>0</v>
      </c>
      <c r="AY92" s="102">
        <v>0</v>
      </c>
      <c r="AZ92" s="102">
        <v>0</v>
      </c>
      <c r="BA92" s="102">
        <v>0</v>
      </c>
      <c r="BB92" s="102">
        <v>0</v>
      </c>
      <c r="BC92" s="102">
        <v>0</v>
      </c>
      <c r="BD92" s="102">
        <v>0</v>
      </c>
      <c r="BE92" s="102">
        <v>0</v>
      </c>
      <c r="BF92" s="102">
        <v>0</v>
      </c>
      <c r="BG92" s="102">
        <v>0</v>
      </c>
      <c r="BH92" s="102">
        <v>0</v>
      </c>
      <c r="BI92" s="102">
        <v>0</v>
      </c>
      <c r="BJ92" s="102">
        <v>0</v>
      </c>
      <c r="BK92" s="102">
        <v>0</v>
      </c>
      <c r="BL92" s="102">
        <v>0</v>
      </c>
      <c r="BM92" s="102">
        <v>0</v>
      </c>
      <c r="BN92" s="102">
        <v>0</v>
      </c>
      <c r="BO92" s="102">
        <v>0</v>
      </c>
      <c r="BP92" s="102">
        <v>0</v>
      </c>
      <c r="BQ92" s="102">
        <v>0</v>
      </c>
      <c r="BR92" s="102">
        <v>0</v>
      </c>
      <c r="BS92" s="102">
        <v>0</v>
      </c>
      <c r="BT92" s="102">
        <v>0</v>
      </c>
      <c r="BU92" s="102"/>
      <c r="BV92" s="102">
        <v>0</v>
      </c>
      <c r="BW92" s="102">
        <v>0</v>
      </c>
      <c r="BX92" s="102">
        <v>0</v>
      </c>
      <c r="BY92" s="102">
        <v>0</v>
      </c>
      <c r="BZ92" s="102">
        <v>0</v>
      </c>
      <c r="CA92" s="102">
        <v>0</v>
      </c>
      <c r="CB92" s="102">
        <v>0</v>
      </c>
      <c r="CC92" s="102" t="s">
        <v>853</v>
      </c>
      <c r="CD92" s="102"/>
      <c r="CE92" s="102">
        <v>0</v>
      </c>
      <c r="CF92" s="102">
        <v>0</v>
      </c>
      <c r="CG92" s="102">
        <v>0</v>
      </c>
      <c r="CH92" s="102">
        <v>0</v>
      </c>
      <c r="CI92" s="102">
        <v>0</v>
      </c>
      <c r="CJ92" s="102">
        <v>0</v>
      </c>
      <c r="CK92" s="102">
        <v>0</v>
      </c>
      <c r="CL92" s="102">
        <v>0</v>
      </c>
      <c r="CM92" s="102">
        <v>0</v>
      </c>
      <c r="CN92" s="102">
        <v>2</v>
      </c>
      <c r="CO92" s="102">
        <v>0</v>
      </c>
      <c r="CP92" s="102">
        <v>0</v>
      </c>
      <c r="CQ92" s="102">
        <v>0</v>
      </c>
      <c r="CR92" s="102">
        <v>0</v>
      </c>
      <c r="CS92" s="102">
        <v>0</v>
      </c>
      <c r="CT92" s="102" t="s">
        <v>853</v>
      </c>
      <c r="CU92" s="102">
        <v>0</v>
      </c>
      <c r="CV92" s="102">
        <v>0</v>
      </c>
      <c r="CW92" s="102">
        <v>0</v>
      </c>
      <c r="CX92" s="102">
        <v>0</v>
      </c>
      <c r="CY92" s="102">
        <v>0</v>
      </c>
      <c r="CZ92" s="102">
        <v>0</v>
      </c>
      <c r="DA92" s="102" t="s">
        <v>853</v>
      </c>
      <c r="DB92" s="102">
        <v>0</v>
      </c>
      <c r="DC92" s="102">
        <v>0</v>
      </c>
      <c r="DD92" s="102">
        <v>0</v>
      </c>
      <c r="DE92" s="102">
        <v>0</v>
      </c>
      <c r="DF92" s="102">
        <v>0</v>
      </c>
      <c r="DG92" s="102">
        <v>0</v>
      </c>
      <c r="DH92" s="102">
        <v>1</v>
      </c>
      <c r="DI92" s="102">
        <v>0</v>
      </c>
      <c r="DJ92" s="102">
        <v>0</v>
      </c>
      <c r="DK92" s="102">
        <v>0</v>
      </c>
      <c r="DL92" s="102">
        <v>1</v>
      </c>
      <c r="DM92" s="102">
        <v>0</v>
      </c>
      <c r="DN92" s="102">
        <v>0</v>
      </c>
      <c r="DO92" s="102">
        <v>0</v>
      </c>
      <c r="DP92" s="102">
        <v>0</v>
      </c>
      <c r="DQ92" s="102">
        <v>0</v>
      </c>
      <c r="DR92" s="102">
        <v>0</v>
      </c>
      <c r="DS92" s="102" t="s">
        <v>853</v>
      </c>
      <c r="DT92" s="105" t="s">
        <v>853</v>
      </c>
      <c r="DU92" s="102" t="s">
        <v>853</v>
      </c>
      <c r="DV92" s="102">
        <v>0</v>
      </c>
      <c r="DW92" s="102">
        <v>0</v>
      </c>
      <c r="DX92" s="102" t="s">
        <v>853</v>
      </c>
      <c r="DY92" s="102">
        <v>0</v>
      </c>
      <c r="DZ92" s="102">
        <v>0</v>
      </c>
      <c r="EA92" s="102" t="s">
        <v>853</v>
      </c>
      <c r="EB92" s="102">
        <v>0</v>
      </c>
      <c r="EC92" s="102">
        <v>0</v>
      </c>
      <c r="ED92" s="102">
        <v>0</v>
      </c>
      <c r="EE92" s="102">
        <v>0</v>
      </c>
      <c r="EF92" s="102">
        <v>2</v>
      </c>
      <c r="EG92" s="102">
        <v>0</v>
      </c>
      <c r="EH92" s="102" t="s">
        <v>853</v>
      </c>
      <c r="EI92" s="102">
        <v>0</v>
      </c>
      <c r="EJ92" s="102">
        <v>0</v>
      </c>
      <c r="EK92" s="102">
        <v>2</v>
      </c>
      <c r="EL92" s="102">
        <v>0</v>
      </c>
      <c r="EM92" s="102"/>
    </row>
    <row r="93" spans="1:143" ht="15.75" customHeight="1" x14ac:dyDescent="0.55000000000000004">
      <c r="A93" s="99">
        <v>91</v>
      </c>
      <c r="B93" s="102" t="s">
        <v>1467</v>
      </c>
      <c r="C93" s="102" t="s">
        <v>1468</v>
      </c>
      <c r="D93" s="103">
        <v>38312</v>
      </c>
      <c r="E93" s="102" t="s">
        <v>914</v>
      </c>
      <c r="F93" s="102">
        <v>21</v>
      </c>
      <c r="G93" s="102">
        <v>11</v>
      </c>
      <c r="H93" s="102">
        <v>2004</v>
      </c>
      <c r="I93" s="102" t="s">
        <v>1469</v>
      </c>
      <c r="J93" s="102" t="s">
        <v>1470</v>
      </c>
      <c r="K93" s="102" t="s">
        <v>1471</v>
      </c>
      <c r="L93" s="102">
        <v>49</v>
      </c>
      <c r="M93" s="102">
        <v>1</v>
      </c>
      <c r="N93" s="102">
        <v>2</v>
      </c>
      <c r="O93" s="102">
        <v>8</v>
      </c>
      <c r="P93" s="102">
        <v>0</v>
      </c>
      <c r="Q93" s="104">
        <v>0</v>
      </c>
      <c r="R93" s="102">
        <v>0</v>
      </c>
      <c r="S93" s="102" t="s">
        <v>853</v>
      </c>
      <c r="T93" s="102">
        <v>1</v>
      </c>
      <c r="U93" s="102">
        <v>2</v>
      </c>
      <c r="V93" s="102">
        <v>6</v>
      </c>
      <c r="W93" s="102">
        <v>2</v>
      </c>
      <c r="X93" s="102">
        <v>0</v>
      </c>
      <c r="Y93" s="102">
        <v>0</v>
      </c>
      <c r="Z93" s="102">
        <v>0</v>
      </c>
      <c r="AA93" s="102">
        <v>36</v>
      </c>
      <c r="AB93" s="102">
        <v>0</v>
      </c>
      <c r="AC93" s="102">
        <v>3</v>
      </c>
      <c r="AD93" s="102">
        <v>1</v>
      </c>
      <c r="AE93" s="102">
        <v>0</v>
      </c>
      <c r="AF93" s="102">
        <v>4</v>
      </c>
      <c r="AG93" s="102">
        <v>1</v>
      </c>
      <c r="AH93" s="102">
        <v>1</v>
      </c>
      <c r="AI93" s="102" t="s">
        <v>1472</v>
      </c>
      <c r="AJ93" s="102">
        <v>2</v>
      </c>
      <c r="AK93" s="102">
        <v>5</v>
      </c>
      <c r="AL93" s="102">
        <v>1</v>
      </c>
      <c r="AM93" s="102">
        <v>4</v>
      </c>
      <c r="AN93" s="102">
        <v>2</v>
      </c>
      <c r="AO93" s="102">
        <v>1</v>
      </c>
      <c r="AP93" s="102">
        <v>1</v>
      </c>
      <c r="AQ93" s="102">
        <v>0</v>
      </c>
      <c r="AR93" s="102">
        <v>1</v>
      </c>
      <c r="AS93" s="102">
        <v>5</v>
      </c>
      <c r="AT93" s="102">
        <v>2</v>
      </c>
      <c r="AU93" s="102" t="s">
        <v>1473</v>
      </c>
      <c r="AV93" s="102">
        <v>0</v>
      </c>
      <c r="AW93" s="102">
        <v>1</v>
      </c>
      <c r="AX93" s="102">
        <v>4</v>
      </c>
      <c r="AY93" s="102">
        <v>9</v>
      </c>
      <c r="AZ93" s="102">
        <v>2</v>
      </c>
      <c r="BA93" s="102">
        <v>1</v>
      </c>
      <c r="BB93" s="102">
        <v>0</v>
      </c>
      <c r="BC93" s="102">
        <v>1</v>
      </c>
      <c r="BD93" s="102" t="s">
        <v>1056</v>
      </c>
      <c r="BE93" s="102">
        <v>0</v>
      </c>
      <c r="BF93" s="102">
        <v>0</v>
      </c>
      <c r="BG93" s="102">
        <v>0</v>
      </c>
      <c r="BH93" s="102">
        <v>0</v>
      </c>
      <c r="BI93" s="102">
        <v>0</v>
      </c>
      <c r="BJ93" s="102">
        <v>0</v>
      </c>
      <c r="BK93" s="102">
        <v>1</v>
      </c>
      <c r="BL93" s="102">
        <v>0</v>
      </c>
      <c r="BM93" s="102">
        <v>0</v>
      </c>
      <c r="BN93" s="102">
        <v>0</v>
      </c>
      <c r="BO93" s="102">
        <v>0</v>
      </c>
      <c r="BP93" s="102">
        <v>1</v>
      </c>
      <c r="BQ93" s="102">
        <v>0</v>
      </c>
      <c r="BR93" s="102">
        <v>0</v>
      </c>
      <c r="BS93" s="102">
        <v>0</v>
      </c>
      <c r="BT93" s="102">
        <v>0</v>
      </c>
      <c r="BU93" s="102">
        <v>0</v>
      </c>
      <c r="BV93" s="102">
        <v>0</v>
      </c>
      <c r="BW93" s="102">
        <v>0</v>
      </c>
      <c r="BX93" s="102">
        <v>0</v>
      </c>
      <c r="BY93" s="102">
        <v>0</v>
      </c>
      <c r="BZ93" s="102">
        <v>0</v>
      </c>
      <c r="CA93" s="102">
        <v>3</v>
      </c>
      <c r="CB93" s="102">
        <v>1</v>
      </c>
      <c r="CC93" s="102">
        <v>2</v>
      </c>
      <c r="CD93" s="102" t="s">
        <v>1474</v>
      </c>
      <c r="CE93" s="102">
        <v>0</v>
      </c>
      <c r="CF93" s="102">
        <v>1</v>
      </c>
      <c r="CG93" s="102">
        <v>0</v>
      </c>
      <c r="CH93" s="102">
        <v>0</v>
      </c>
      <c r="CI93" s="102">
        <v>0</v>
      </c>
      <c r="CJ93" s="102">
        <v>0</v>
      </c>
      <c r="CK93" s="102">
        <v>0</v>
      </c>
      <c r="CL93" s="102">
        <v>0</v>
      </c>
      <c r="CM93" s="102">
        <v>0</v>
      </c>
      <c r="CN93" s="102">
        <v>0</v>
      </c>
      <c r="CO93" s="102">
        <v>0</v>
      </c>
      <c r="CP93" s="102">
        <v>0</v>
      </c>
      <c r="CQ93" s="102">
        <v>0</v>
      </c>
      <c r="CR93" s="102">
        <v>0</v>
      </c>
      <c r="CS93" s="102">
        <v>0</v>
      </c>
      <c r="CT93" s="102" t="s">
        <v>853</v>
      </c>
      <c r="CU93" s="102">
        <v>0</v>
      </c>
      <c r="CV93" s="102">
        <v>0</v>
      </c>
      <c r="CW93" s="102">
        <v>0</v>
      </c>
      <c r="CX93" s="102">
        <v>0</v>
      </c>
      <c r="CY93" s="102">
        <v>0</v>
      </c>
      <c r="CZ93" s="102">
        <v>0</v>
      </c>
      <c r="DA93" s="102" t="s">
        <v>853</v>
      </c>
      <c r="DB93" s="102">
        <v>0</v>
      </c>
      <c r="DC93" s="102">
        <v>0</v>
      </c>
      <c r="DD93" s="102">
        <v>0</v>
      </c>
      <c r="DE93" s="102">
        <v>0</v>
      </c>
      <c r="DF93" s="102">
        <v>0</v>
      </c>
      <c r="DG93" s="102">
        <v>0</v>
      </c>
      <c r="DH93" s="102">
        <v>0</v>
      </c>
      <c r="DI93" s="102">
        <v>0</v>
      </c>
      <c r="DJ93" s="102">
        <v>0</v>
      </c>
      <c r="DK93" s="102">
        <v>0</v>
      </c>
      <c r="DL93" s="102">
        <v>1</v>
      </c>
      <c r="DM93" s="102">
        <v>0</v>
      </c>
      <c r="DN93" s="102">
        <v>0</v>
      </c>
      <c r="DO93" s="102">
        <v>0</v>
      </c>
      <c r="DP93" s="102">
        <v>0</v>
      </c>
      <c r="DQ93" s="102">
        <v>0</v>
      </c>
      <c r="DR93" s="102">
        <v>0</v>
      </c>
      <c r="DS93" s="102" t="s">
        <v>853</v>
      </c>
      <c r="DT93" s="105" t="s">
        <v>853</v>
      </c>
      <c r="DU93" s="102" t="s">
        <v>853</v>
      </c>
      <c r="DV93" s="102">
        <v>0</v>
      </c>
      <c r="DW93" s="102">
        <v>0</v>
      </c>
      <c r="DX93" s="102" t="s">
        <v>853</v>
      </c>
      <c r="DY93" s="102">
        <v>0</v>
      </c>
      <c r="DZ93" s="102">
        <v>0</v>
      </c>
      <c r="EA93" s="102" t="s">
        <v>853</v>
      </c>
      <c r="EB93" s="102">
        <v>0</v>
      </c>
      <c r="EC93" s="102">
        <v>0</v>
      </c>
      <c r="ED93" s="102">
        <v>0</v>
      </c>
      <c r="EE93" s="102">
        <v>3</v>
      </c>
      <c r="EF93" s="102">
        <v>1</v>
      </c>
      <c r="EG93" s="102">
        <v>0</v>
      </c>
      <c r="EH93" s="102" t="s">
        <v>853</v>
      </c>
      <c r="EI93" s="102">
        <v>2</v>
      </c>
      <c r="EJ93" s="102">
        <v>1</v>
      </c>
      <c r="EK93" s="102">
        <v>0</v>
      </c>
      <c r="EL93" s="102">
        <v>2</v>
      </c>
      <c r="EM93" s="102"/>
    </row>
    <row r="94" spans="1:143" ht="15.75" customHeight="1" x14ac:dyDescent="0.55000000000000004">
      <c r="A94" s="99">
        <v>92</v>
      </c>
      <c r="B94" s="102" t="s">
        <v>1475</v>
      </c>
      <c r="C94" s="102" t="s">
        <v>1234</v>
      </c>
      <c r="D94" s="103">
        <v>38329</v>
      </c>
      <c r="E94" s="102" t="s">
        <v>891</v>
      </c>
      <c r="F94" s="102">
        <v>8</v>
      </c>
      <c r="G94" s="102">
        <v>12</v>
      </c>
      <c r="H94" s="102">
        <v>2004</v>
      </c>
      <c r="I94" s="102" t="s">
        <v>1476</v>
      </c>
      <c r="J94" s="102" t="s">
        <v>1477</v>
      </c>
      <c r="K94" s="102" t="s">
        <v>1478</v>
      </c>
      <c r="L94" s="102">
        <v>35</v>
      </c>
      <c r="M94" s="102">
        <v>1</v>
      </c>
      <c r="N94" s="102">
        <v>0</v>
      </c>
      <c r="O94" s="102">
        <v>5</v>
      </c>
      <c r="P94" s="102">
        <v>0</v>
      </c>
      <c r="Q94" s="104">
        <v>0</v>
      </c>
      <c r="R94" s="102">
        <v>0</v>
      </c>
      <c r="S94" s="102" t="s">
        <v>853</v>
      </c>
      <c r="T94" s="102">
        <v>0</v>
      </c>
      <c r="U94" s="102">
        <v>0</v>
      </c>
      <c r="V94" s="102">
        <v>4</v>
      </c>
      <c r="W94" s="102">
        <v>2</v>
      </c>
      <c r="X94" s="102">
        <v>0</v>
      </c>
      <c r="Y94" s="102">
        <v>0</v>
      </c>
      <c r="Z94" s="102">
        <v>1</v>
      </c>
      <c r="AA94" s="102">
        <v>25</v>
      </c>
      <c r="AB94" s="102">
        <v>0</v>
      </c>
      <c r="AC94" s="102">
        <v>0</v>
      </c>
      <c r="AD94" s="102">
        <v>0</v>
      </c>
      <c r="AE94" s="102">
        <v>0</v>
      </c>
      <c r="AF94" s="102"/>
      <c r="AG94" s="102">
        <v>2</v>
      </c>
      <c r="AH94" s="102">
        <v>0</v>
      </c>
      <c r="AI94" s="102" t="s">
        <v>1479</v>
      </c>
      <c r="AJ94" s="102">
        <v>3</v>
      </c>
      <c r="AK94" s="102">
        <v>2</v>
      </c>
      <c r="AL94" s="102">
        <v>2</v>
      </c>
      <c r="AM94" s="102">
        <v>0</v>
      </c>
      <c r="AN94" s="102">
        <v>0</v>
      </c>
      <c r="AO94" s="102">
        <v>0</v>
      </c>
      <c r="AP94" s="102">
        <v>0</v>
      </c>
      <c r="AQ94" s="102">
        <v>0</v>
      </c>
      <c r="AR94" s="102">
        <v>1</v>
      </c>
      <c r="AS94" s="102">
        <v>3</v>
      </c>
      <c r="AT94" s="102">
        <v>1</v>
      </c>
      <c r="AU94" s="102" t="s">
        <v>1480</v>
      </c>
      <c r="AV94" s="102">
        <v>0</v>
      </c>
      <c r="AW94" s="102">
        <v>1</v>
      </c>
      <c r="AX94" s="102">
        <v>0</v>
      </c>
      <c r="AY94" s="102" t="s">
        <v>1481</v>
      </c>
      <c r="AZ94" s="102">
        <v>3</v>
      </c>
      <c r="BA94" s="102">
        <v>1</v>
      </c>
      <c r="BB94" s="102">
        <v>0</v>
      </c>
      <c r="BC94" s="102">
        <v>0</v>
      </c>
      <c r="BD94" s="102">
        <v>0</v>
      </c>
      <c r="BE94" s="102">
        <v>0</v>
      </c>
      <c r="BF94" s="102">
        <v>0</v>
      </c>
      <c r="BG94" s="102">
        <v>0</v>
      </c>
      <c r="BH94" s="102">
        <v>0</v>
      </c>
      <c r="BI94" s="102">
        <v>2</v>
      </c>
      <c r="BJ94" s="102">
        <v>0</v>
      </c>
      <c r="BK94" s="102">
        <v>0</v>
      </c>
      <c r="BL94" s="102">
        <v>0</v>
      </c>
      <c r="BM94" s="102">
        <v>1</v>
      </c>
      <c r="BN94" s="102">
        <v>0</v>
      </c>
      <c r="BO94" s="102">
        <v>0</v>
      </c>
      <c r="BP94" s="102">
        <v>1</v>
      </c>
      <c r="BQ94" s="102">
        <v>0</v>
      </c>
      <c r="BR94" s="102">
        <v>0</v>
      </c>
      <c r="BS94" s="102">
        <v>1</v>
      </c>
      <c r="BT94" s="102">
        <v>1</v>
      </c>
      <c r="BU94" s="102">
        <v>1</v>
      </c>
      <c r="BV94" s="102">
        <v>0</v>
      </c>
      <c r="BW94" s="102">
        <v>0</v>
      </c>
      <c r="BX94" s="102">
        <v>0</v>
      </c>
      <c r="BY94" s="102">
        <v>0</v>
      </c>
      <c r="BZ94" s="102">
        <v>0</v>
      </c>
      <c r="CA94" s="102">
        <v>2</v>
      </c>
      <c r="CB94" s="102">
        <v>1</v>
      </c>
      <c r="CC94" s="102">
        <v>2</v>
      </c>
      <c r="CD94" s="102" t="s">
        <v>1482</v>
      </c>
      <c r="CE94" s="102">
        <v>1</v>
      </c>
      <c r="CF94" s="102">
        <v>0</v>
      </c>
      <c r="CG94" s="102">
        <v>0</v>
      </c>
      <c r="CH94" s="102">
        <v>1</v>
      </c>
      <c r="CI94" s="102">
        <v>1</v>
      </c>
      <c r="CJ94" s="102">
        <v>1</v>
      </c>
      <c r="CK94" s="102">
        <v>1</v>
      </c>
      <c r="CL94" s="102">
        <v>1</v>
      </c>
      <c r="CM94" s="102">
        <v>1</v>
      </c>
      <c r="CN94" s="102">
        <v>0</v>
      </c>
      <c r="CO94" s="102">
        <v>0</v>
      </c>
      <c r="CP94" s="102">
        <v>0</v>
      </c>
      <c r="CQ94" s="102">
        <v>0</v>
      </c>
      <c r="CR94" s="102">
        <v>0</v>
      </c>
      <c r="CS94" s="102">
        <v>1</v>
      </c>
      <c r="CT94" s="102" t="s">
        <v>955</v>
      </c>
      <c r="CU94" s="102">
        <v>1</v>
      </c>
      <c r="CV94" s="102">
        <v>2</v>
      </c>
      <c r="CW94" s="102">
        <v>0</v>
      </c>
      <c r="CX94" s="102">
        <v>0</v>
      </c>
      <c r="CY94" s="102">
        <v>3</v>
      </c>
      <c r="CZ94" s="102">
        <v>0</v>
      </c>
      <c r="DA94" s="102" t="s">
        <v>853</v>
      </c>
      <c r="DB94" s="102">
        <v>0</v>
      </c>
      <c r="DC94" s="102">
        <v>0</v>
      </c>
      <c r="DD94" s="102">
        <v>0</v>
      </c>
      <c r="DE94" s="102">
        <v>0</v>
      </c>
      <c r="DF94" s="102">
        <v>0</v>
      </c>
      <c r="DG94" s="102">
        <v>0</v>
      </c>
      <c r="DH94" s="102">
        <v>0</v>
      </c>
      <c r="DI94" s="102">
        <v>0</v>
      </c>
      <c r="DJ94" s="102">
        <v>0</v>
      </c>
      <c r="DK94" s="102">
        <v>0</v>
      </c>
      <c r="DL94" s="102">
        <v>0</v>
      </c>
      <c r="DM94" s="102">
        <v>0</v>
      </c>
      <c r="DN94" s="102">
        <v>1</v>
      </c>
      <c r="DO94" s="102">
        <v>0</v>
      </c>
      <c r="DP94" s="102">
        <v>3</v>
      </c>
      <c r="DQ94" s="102">
        <v>0</v>
      </c>
      <c r="DR94" s="102">
        <v>0</v>
      </c>
      <c r="DS94" s="102" t="s">
        <v>853</v>
      </c>
      <c r="DT94" s="105" t="s">
        <v>853</v>
      </c>
      <c r="DU94" s="102" t="s">
        <v>853</v>
      </c>
      <c r="DV94" s="102">
        <v>0</v>
      </c>
      <c r="DW94" s="102">
        <v>0</v>
      </c>
      <c r="DX94" s="102" t="s">
        <v>853</v>
      </c>
      <c r="DY94" s="102">
        <v>0</v>
      </c>
      <c r="DZ94" s="102">
        <v>2</v>
      </c>
      <c r="EA94" s="102" t="s">
        <v>1483</v>
      </c>
      <c r="EB94" s="102">
        <v>0</v>
      </c>
      <c r="EC94" s="102">
        <v>0</v>
      </c>
      <c r="ED94" s="102">
        <v>0</v>
      </c>
      <c r="EE94" s="102">
        <v>3</v>
      </c>
      <c r="EF94" s="102">
        <v>1</v>
      </c>
      <c r="EG94" s="102">
        <v>0</v>
      </c>
      <c r="EH94" s="102" t="s">
        <v>853</v>
      </c>
      <c r="EI94" s="102">
        <v>1</v>
      </c>
      <c r="EJ94" s="102">
        <v>0</v>
      </c>
      <c r="EK94" s="102">
        <v>2</v>
      </c>
      <c r="EL94" s="102">
        <v>0</v>
      </c>
      <c r="EM94" s="102"/>
    </row>
    <row r="95" spans="1:143" ht="15.75" customHeight="1" x14ac:dyDescent="0.55000000000000004">
      <c r="A95" s="99">
        <v>93</v>
      </c>
      <c r="B95" s="102" t="s">
        <v>1484</v>
      </c>
      <c r="C95" s="102" t="s">
        <v>1485</v>
      </c>
      <c r="D95" s="103">
        <v>38422</v>
      </c>
      <c r="E95" s="102" t="s">
        <v>959</v>
      </c>
      <c r="F95" s="102">
        <v>11</v>
      </c>
      <c r="G95" s="102">
        <v>3</v>
      </c>
      <c r="H95" s="102">
        <v>2005</v>
      </c>
      <c r="I95" s="102" t="s">
        <v>1486</v>
      </c>
      <c r="J95" s="102" t="s">
        <v>1366</v>
      </c>
      <c r="K95" s="102" t="s">
        <v>1367</v>
      </c>
      <c r="L95" s="102">
        <v>10</v>
      </c>
      <c r="M95" s="102">
        <v>0</v>
      </c>
      <c r="N95" s="102">
        <v>0</v>
      </c>
      <c r="O95" s="102">
        <v>2</v>
      </c>
      <c r="P95" s="102">
        <v>0</v>
      </c>
      <c r="Q95" s="104">
        <v>0</v>
      </c>
      <c r="R95" s="102">
        <v>1</v>
      </c>
      <c r="S95" s="102">
        <v>8</v>
      </c>
      <c r="T95" s="102">
        <v>1</v>
      </c>
      <c r="U95" s="102">
        <v>1</v>
      </c>
      <c r="V95" s="102">
        <v>4</v>
      </c>
      <c r="W95" s="102">
        <v>3</v>
      </c>
      <c r="X95" s="102">
        <v>0</v>
      </c>
      <c r="Y95" s="102">
        <v>0</v>
      </c>
      <c r="Z95" s="102">
        <v>1</v>
      </c>
      <c r="AA95" s="102">
        <v>33</v>
      </c>
      <c r="AB95" s="102">
        <v>0</v>
      </c>
      <c r="AC95" s="102">
        <v>1</v>
      </c>
      <c r="AD95" s="102">
        <v>0</v>
      </c>
      <c r="AE95" s="102">
        <v>0</v>
      </c>
      <c r="AF95" s="102">
        <v>1</v>
      </c>
      <c r="AG95" s="102">
        <v>2</v>
      </c>
      <c r="AH95" s="102">
        <v>1</v>
      </c>
      <c r="AI95" s="102" t="s">
        <v>1487</v>
      </c>
      <c r="AJ95" s="102">
        <v>3</v>
      </c>
      <c r="AK95" s="102">
        <v>1</v>
      </c>
      <c r="AL95" s="102">
        <v>1</v>
      </c>
      <c r="AM95" s="102">
        <v>0</v>
      </c>
      <c r="AN95" s="102">
        <v>1</v>
      </c>
      <c r="AO95" s="102">
        <v>1</v>
      </c>
      <c r="AP95" s="102">
        <v>0</v>
      </c>
      <c r="AQ95" s="102">
        <v>2</v>
      </c>
      <c r="AR95" s="102">
        <v>0</v>
      </c>
      <c r="AS95" s="102" t="s">
        <v>853</v>
      </c>
      <c r="AT95" s="102">
        <v>0</v>
      </c>
      <c r="AU95" s="102"/>
      <c r="AV95" s="102">
        <v>1</v>
      </c>
      <c r="AW95" s="102">
        <v>1</v>
      </c>
      <c r="AX95" s="102">
        <v>2</v>
      </c>
      <c r="AY95" s="102" t="s">
        <v>1092</v>
      </c>
      <c r="AZ95" s="102">
        <v>4</v>
      </c>
      <c r="BA95" s="102">
        <v>1</v>
      </c>
      <c r="BB95" s="102">
        <v>0</v>
      </c>
      <c r="BC95" s="102">
        <v>1</v>
      </c>
      <c r="BD95" s="102" t="s">
        <v>866</v>
      </c>
      <c r="BE95" s="102">
        <v>1</v>
      </c>
      <c r="BF95" s="102">
        <v>0</v>
      </c>
      <c r="BG95" s="102">
        <v>0</v>
      </c>
      <c r="BH95" s="102">
        <v>0</v>
      </c>
      <c r="BI95" s="102">
        <v>0</v>
      </c>
      <c r="BJ95" s="102">
        <v>0</v>
      </c>
      <c r="BK95" s="102">
        <v>1</v>
      </c>
      <c r="BL95" s="102">
        <v>0</v>
      </c>
      <c r="BM95" s="102">
        <v>0</v>
      </c>
      <c r="BN95" s="102">
        <v>0</v>
      </c>
      <c r="BO95" s="102">
        <v>0</v>
      </c>
      <c r="BP95" s="102">
        <v>1</v>
      </c>
      <c r="BQ95" s="102">
        <v>0</v>
      </c>
      <c r="BR95" s="102">
        <v>1</v>
      </c>
      <c r="BS95" s="102">
        <v>0</v>
      </c>
      <c r="BT95" s="102">
        <v>0</v>
      </c>
      <c r="BU95" s="102">
        <v>1</v>
      </c>
      <c r="BV95" s="102">
        <v>0</v>
      </c>
      <c r="BW95" s="102">
        <v>1</v>
      </c>
      <c r="BX95" s="102">
        <v>0</v>
      </c>
      <c r="BY95" s="102">
        <v>0</v>
      </c>
      <c r="BZ95" s="102">
        <v>0</v>
      </c>
      <c r="CA95" s="102" t="s">
        <v>1488</v>
      </c>
      <c r="CB95" s="102">
        <v>0</v>
      </c>
      <c r="CC95" s="102" t="s">
        <v>853</v>
      </c>
      <c r="CD95" s="102"/>
      <c r="CE95" s="102">
        <v>0</v>
      </c>
      <c r="CF95" s="102">
        <v>0</v>
      </c>
      <c r="CG95" s="102">
        <v>0</v>
      </c>
      <c r="CH95" s="102">
        <v>0</v>
      </c>
      <c r="CI95" s="102">
        <v>0</v>
      </c>
      <c r="CJ95" s="102">
        <v>1</v>
      </c>
      <c r="CK95" s="102">
        <v>0</v>
      </c>
      <c r="CL95" s="102">
        <v>0</v>
      </c>
      <c r="CM95" s="102">
        <v>0</v>
      </c>
      <c r="CN95" s="102">
        <v>1</v>
      </c>
      <c r="CO95" s="102">
        <v>0</v>
      </c>
      <c r="CP95" s="102">
        <v>0</v>
      </c>
      <c r="CQ95" s="102">
        <v>0</v>
      </c>
      <c r="CR95" s="102">
        <v>0</v>
      </c>
      <c r="CS95" s="102">
        <v>0</v>
      </c>
      <c r="CT95" s="102" t="s">
        <v>853</v>
      </c>
      <c r="CU95" s="102">
        <v>0</v>
      </c>
      <c r="CV95" s="102">
        <v>4</v>
      </c>
      <c r="CW95" s="102">
        <v>0</v>
      </c>
      <c r="CX95" s="102">
        <v>0</v>
      </c>
      <c r="CY95" s="102">
        <v>2</v>
      </c>
      <c r="CZ95" s="102">
        <v>0</v>
      </c>
      <c r="DA95" s="102" t="s">
        <v>853</v>
      </c>
      <c r="DB95" s="102">
        <v>0</v>
      </c>
      <c r="DC95" s="102">
        <v>0</v>
      </c>
      <c r="DD95" s="102">
        <v>0</v>
      </c>
      <c r="DE95" s="102">
        <v>0</v>
      </c>
      <c r="DF95" s="102">
        <v>0</v>
      </c>
      <c r="DG95" s="102">
        <v>0</v>
      </c>
      <c r="DH95" s="102">
        <v>0</v>
      </c>
      <c r="DI95" s="102">
        <v>0</v>
      </c>
      <c r="DJ95" s="102">
        <v>1</v>
      </c>
      <c r="DK95" s="102">
        <v>0</v>
      </c>
      <c r="DL95" s="102">
        <v>0</v>
      </c>
      <c r="DM95" s="102">
        <v>0</v>
      </c>
      <c r="DN95" s="102">
        <v>0</v>
      </c>
      <c r="DO95" s="102">
        <v>0</v>
      </c>
      <c r="DP95" s="102">
        <v>1</v>
      </c>
      <c r="DQ95" s="102">
        <v>0</v>
      </c>
      <c r="DR95" s="102">
        <v>0</v>
      </c>
      <c r="DS95" s="102" t="s">
        <v>853</v>
      </c>
      <c r="DT95" s="105" t="s">
        <v>853</v>
      </c>
      <c r="DU95" s="102" t="s">
        <v>853</v>
      </c>
      <c r="DV95" s="102">
        <v>0</v>
      </c>
      <c r="DW95" s="102">
        <v>0</v>
      </c>
      <c r="DX95" s="102" t="s">
        <v>853</v>
      </c>
      <c r="DY95" s="102">
        <v>0</v>
      </c>
      <c r="DZ95" s="102">
        <v>0</v>
      </c>
      <c r="EA95" s="102" t="s">
        <v>853</v>
      </c>
      <c r="EB95" s="102">
        <v>0</v>
      </c>
      <c r="EC95" s="102">
        <v>0</v>
      </c>
      <c r="ED95" s="102">
        <v>0</v>
      </c>
      <c r="EE95" s="102">
        <v>0</v>
      </c>
      <c r="EF95" s="102">
        <v>1</v>
      </c>
      <c r="EG95" s="102">
        <v>0</v>
      </c>
      <c r="EH95" s="102" t="s">
        <v>853</v>
      </c>
      <c r="EI95" s="102">
        <v>2</v>
      </c>
      <c r="EJ95" s="102">
        <v>1</v>
      </c>
      <c r="EK95" s="102">
        <v>1</v>
      </c>
      <c r="EL95" s="102">
        <v>3</v>
      </c>
      <c r="EM95" s="102"/>
    </row>
    <row r="96" spans="1:143" ht="15.75" customHeight="1" x14ac:dyDescent="0.55000000000000004">
      <c r="A96" s="99">
        <v>94</v>
      </c>
      <c r="B96" s="102" t="s">
        <v>1489</v>
      </c>
      <c r="C96" s="102" t="s">
        <v>1490</v>
      </c>
      <c r="D96" s="103">
        <v>38423</v>
      </c>
      <c r="E96" s="102" t="s">
        <v>860</v>
      </c>
      <c r="F96" s="102">
        <v>12</v>
      </c>
      <c r="G96" s="102">
        <v>3</v>
      </c>
      <c r="H96" s="102">
        <v>2005</v>
      </c>
      <c r="I96" s="102" t="s">
        <v>1491</v>
      </c>
      <c r="J96" s="102" t="s">
        <v>1492</v>
      </c>
      <c r="K96" s="102" t="s">
        <v>1471</v>
      </c>
      <c r="L96" s="102">
        <v>49</v>
      </c>
      <c r="M96" s="102">
        <v>1</v>
      </c>
      <c r="N96" s="102">
        <v>1</v>
      </c>
      <c r="O96" s="102">
        <v>3</v>
      </c>
      <c r="P96" s="102">
        <v>1</v>
      </c>
      <c r="Q96" s="104">
        <v>0</v>
      </c>
      <c r="R96" s="102">
        <v>0</v>
      </c>
      <c r="S96" s="102" t="s">
        <v>853</v>
      </c>
      <c r="T96" s="102">
        <v>0</v>
      </c>
      <c r="U96" s="102">
        <v>0</v>
      </c>
      <c r="V96" s="102">
        <v>7</v>
      </c>
      <c r="W96" s="102">
        <v>4</v>
      </c>
      <c r="X96" s="102">
        <v>0</v>
      </c>
      <c r="Y96" s="102">
        <v>0</v>
      </c>
      <c r="Z96" s="102">
        <v>0</v>
      </c>
      <c r="AA96" s="102">
        <v>44</v>
      </c>
      <c r="AB96" s="102">
        <v>0</v>
      </c>
      <c r="AC96" s="102">
        <v>0</v>
      </c>
      <c r="AD96" s="102">
        <v>0</v>
      </c>
      <c r="AE96" s="102">
        <v>0</v>
      </c>
      <c r="AF96" s="102">
        <v>1</v>
      </c>
      <c r="AG96" s="102">
        <v>1</v>
      </c>
      <c r="AH96" s="102">
        <v>1</v>
      </c>
      <c r="AI96" s="102" t="s">
        <v>1493</v>
      </c>
      <c r="AJ96" s="102">
        <v>1</v>
      </c>
      <c r="AK96" s="102">
        <v>3</v>
      </c>
      <c r="AL96" s="102">
        <v>0</v>
      </c>
      <c r="AM96" s="102">
        <v>3</v>
      </c>
      <c r="AN96" s="102">
        <v>0</v>
      </c>
      <c r="AO96" s="102">
        <v>0</v>
      </c>
      <c r="AP96" s="102">
        <v>1</v>
      </c>
      <c r="AQ96" s="102">
        <v>2</v>
      </c>
      <c r="AR96" s="102">
        <v>1</v>
      </c>
      <c r="AS96" s="102">
        <v>4</v>
      </c>
      <c r="AT96" s="102">
        <v>1</v>
      </c>
      <c r="AU96" s="102" t="s">
        <v>911</v>
      </c>
      <c r="AV96" s="102">
        <v>0</v>
      </c>
      <c r="AW96" s="102">
        <v>0</v>
      </c>
      <c r="AX96" s="102">
        <v>0</v>
      </c>
      <c r="AY96" s="102">
        <v>0</v>
      </c>
      <c r="AZ96" s="102">
        <v>0</v>
      </c>
      <c r="BA96" s="102">
        <v>0</v>
      </c>
      <c r="BB96" s="102">
        <v>0</v>
      </c>
      <c r="BC96" s="102">
        <v>0</v>
      </c>
      <c r="BD96" s="102">
        <v>0</v>
      </c>
      <c r="BE96" s="102">
        <v>0</v>
      </c>
      <c r="BF96" s="102">
        <v>0</v>
      </c>
      <c r="BG96" s="102">
        <v>0</v>
      </c>
      <c r="BH96" s="102">
        <v>0</v>
      </c>
      <c r="BI96" s="102">
        <v>0</v>
      </c>
      <c r="BJ96" s="102">
        <v>0</v>
      </c>
      <c r="BK96" s="102">
        <v>1</v>
      </c>
      <c r="BL96" s="102">
        <v>1</v>
      </c>
      <c r="BM96" s="102">
        <v>1</v>
      </c>
      <c r="BN96" s="102">
        <v>0</v>
      </c>
      <c r="BO96" s="102">
        <v>0</v>
      </c>
      <c r="BP96" s="102">
        <v>1</v>
      </c>
      <c r="BQ96" s="102">
        <v>1</v>
      </c>
      <c r="BR96" s="102">
        <v>0</v>
      </c>
      <c r="BS96" s="102">
        <v>1</v>
      </c>
      <c r="BT96" s="102">
        <v>1</v>
      </c>
      <c r="BU96" s="102">
        <v>1</v>
      </c>
      <c r="BV96" s="102">
        <v>0</v>
      </c>
      <c r="BW96" s="102">
        <v>0</v>
      </c>
      <c r="BX96" s="102">
        <v>0</v>
      </c>
      <c r="BY96" s="102">
        <v>0</v>
      </c>
      <c r="BZ96" s="102">
        <v>0</v>
      </c>
      <c r="CA96" s="102">
        <v>2</v>
      </c>
      <c r="CB96" s="102">
        <v>1</v>
      </c>
      <c r="CC96" s="102">
        <v>1</v>
      </c>
      <c r="CD96" s="102" t="s">
        <v>1494</v>
      </c>
      <c r="CE96" s="102">
        <v>0</v>
      </c>
      <c r="CF96" s="102">
        <v>1</v>
      </c>
      <c r="CG96" s="102">
        <v>0</v>
      </c>
      <c r="CH96" s="102">
        <v>1</v>
      </c>
      <c r="CI96" s="102">
        <v>1</v>
      </c>
      <c r="CJ96" s="102">
        <v>0</v>
      </c>
      <c r="CK96" s="102">
        <v>1</v>
      </c>
      <c r="CL96" s="102">
        <v>0</v>
      </c>
      <c r="CM96" s="102">
        <v>0</v>
      </c>
      <c r="CN96" s="102">
        <v>2</v>
      </c>
      <c r="CO96" s="102">
        <v>0</v>
      </c>
      <c r="CP96" s="102">
        <v>0</v>
      </c>
      <c r="CQ96" s="102">
        <v>0</v>
      </c>
      <c r="CR96" s="102">
        <v>0</v>
      </c>
      <c r="CS96" s="102">
        <v>0</v>
      </c>
      <c r="CT96" s="102" t="s">
        <v>853</v>
      </c>
      <c r="CU96" s="102">
        <v>0</v>
      </c>
      <c r="CV96" s="102">
        <v>1</v>
      </c>
      <c r="CW96" s="102">
        <v>0</v>
      </c>
      <c r="CX96" s="102">
        <v>0</v>
      </c>
      <c r="CY96" s="102">
        <v>1</v>
      </c>
      <c r="CZ96" s="102">
        <v>1</v>
      </c>
      <c r="DA96" s="102" t="s">
        <v>1495</v>
      </c>
      <c r="DB96" s="102">
        <v>0</v>
      </c>
      <c r="DC96" s="102">
        <v>0</v>
      </c>
      <c r="DD96" s="102">
        <v>0</v>
      </c>
      <c r="DE96" s="102">
        <v>3</v>
      </c>
      <c r="DF96" s="102">
        <v>0</v>
      </c>
      <c r="DG96" s="102">
        <v>0</v>
      </c>
      <c r="DH96" s="102">
        <v>1</v>
      </c>
      <c r="DI96" s="102">
        <v>1</v>
      </c>
      <c r="DJ96" s="102">
        <v>0</v>
      </c>
      <c r="DK96" s="102">
        <v>0</v>
      </c>
      <c r="DL96" s="102">
        <v>0</v>
      </c>
      <c r="DM96" s="102">
        <v>0</v>
      </c>
      <c r="DN96" s="102">
        <v>0</v>
      </c>
      <c r="DO96" s="102">
        <v>0</v>
      </c>
      <c r="DP96" s="102">
        <v>0</v>
      </c>
      <c r="DQ96" s="102">
        <v>1</v>
      </c>
      <c r="DR96" s="102">
        <v>0</v>
      </c>
      <c r="DS96" s="102" t="s">
        <v>853</v>
      </c>
      <c r="DT96" s="105" t="s">
        <v>853</v>
      </c>
      <c r="DU96" s="102" t="s">
        <v>853</v>
      </c>
      <c r="DV96" s="102">
        <v>0</v>
      </c>
      <c r="DW96" s="102">
        <v>0</v>
      </c>
      <c r="DX96" s="102" t="s">
        <v>853</v>
      </c>
      <c r="DY96" s="102">
        <v>0</v>
      </c>
      <c r="DZ96" s="102">
        <v>0</v>
      </c>
      <c r="EA96" s="102" t="s">
        <v>853</v>
      </c>
      <c r="EB96" s="102">
        <v>0</v>
      </c>
      <c r="EC96" s="102">
        <v>0</v>
      </c>
      <c r="ED96" s="102">
        <v>0</v>
      </c>
      <c r="EE96" s="102">
        <v>3</v>
      </c>
      <c r="EF96" s="102">
        <v>1</v>
      </c>
      <c r="EG96" s="102">
        <v>0</v>
      </c>
      <c r="EH96" s="102" t="s">
        <v>853</v>
      </c>
      <c r="EI96" s="102">
        <v>0</v>
      </c>
      <c r="EJ96" s="102">
        <v>0</v>
      </c>
      <c r="EK96" s="102">
        <v>2</v>
      </c>
      <c r="EL96" s="102">
        <v>0</v>
      </c>
      <c r="EM96" s="102"/>
    </row>
    <row r="97" spans="1:143" ht="15.75" customHeight="1" x14ac:dyDescent="0.55000000000000004">
      <c r="A97" s="99">
        <v>95</v>
      </c>
      <c r="B97" s="102" t="s">
        <v>1496</v>
      </c>
      <c r="C97" s="102" t="s">
        <v>1497</v>
      </c>
      <c r="D97" s="103">
        <v>38432</v>
      </c>
      <c r="E97" s="102" t="s">
        <v>846</v>
      </c>
      <c r="F97" s="102">
        <v>21</v>
      </c>
      <c r="G97" s="102">
        <v>3</v>
      </c>
      <c r="H97" s="102">
        <v>2005</v>
      </c>
      <c r="I97" s="102" t="s">
        <v>1498</v>
      </c>
      <c r="J97" s="102" t="s">
        <v>1499</v>
      </c>
      <c r="K97" s="102" t="s">
        <v>1500</v>
      </c>
      <c r="L97" s="102">
        <v>23</v>
      </c>
      <c r="M97" s="102">
        <v>1</v>
      </c>
      <c r="N97" s="102">
        <v>2</v>
      </c>
      <c r="O97" s="102">
        <v>0</v>
      </c>
      <c r="P97" s="102">
        <v>1</v>
      </c>
      <c r="Q97" s="104">
        <v>0</v>
      </c>
      <c r="R97" s="102">
        <v>1</v>
      </c>
      <c r="S97" s="102">
        <v>7</v>
      </c>
      <c r="T97" s="102">
        <v>0</v>
      </c>
      <c r="U97" s="102">
        <v>0</v>
      </c>
      <c r="V97" s="102">
        <v>9</v>
      </c>
      <c r="W97" s="102">
        <v>7</v>
      </c>
      <c r="X97" s="102">
        <v>1</v>
      </c>
      <c r="Y97" s="102">
        <v>0</v>
      </c>
      <c r="Z97" s="102">
        <v>0</v>
      </c>
      <c r="AA97" s="102">
        <v>16</v>
      </c>
      <c r="AB97" s="102">
        <v>0</v>
      </c>
      <c r="AC97" s="102">
        <v>5</v>
      </c>
      <c r="AD97" s="102">
        <v>0</v>
      </c>
      <c r="AE97" s="102">
        <v>0</v>
      </c>
      <c r="AF97" s="102"/>
      <c r="AG97" s="102">
        <v>0</v>
      </c>
      <c r="AH97" s="102">
        <v>0</v>
      </c>
      <c r="AI97" s="102" t="s">
        <v>1501</v>
      </c>
      <c r="AJ97" s="102">
        <v>1</v>
      </c>
      <c r="AK97" s="102">
        <v>2</v>
      </c>
      <c r="AL97" s="102">
        <v>0</v>
      </c>
      <c r="AM97" s="102">
        <v>2</v>
      </c>
      <c r="AN97" s="102">
        <v>0</v>
      </c>
      <c r="AO97" s="102">
        <v>0</v>
      </c>
      <c r="AP97" s="102">
        <v>0</v>
      </c>
      <c r="AQ97" s="102"/>
      <c r="AR97" s="102">
        <v>0</v>
      </c>
      <c r="AS97" s="102" t="s">
        <v>853</v>
      </c>
      <c r="AT97" s="102">
        <v>0</v>
      </c>
      <c r="AU97" s="102"/>
      <c r="AV97" s="102">
        <v>0</v>
      </c>
      <c r="AW97" s="102">
        <v>0</v>
      </c>
      <c r="AX97" s="102">
        <v>0</v>
      </c>
      <c r="AY97" s="102">
        <v>0</v>
      </c>
      <c r="AZ97" s="102">
        <v>0</v>
      </c>
      <c r="BA97" s="102">
        <v>0</v>
      </c>
      <c r="BB97" s="102">
        <v>0</v>
      </c>
      <c r="BC97" s="102">
        <v>0</v>
      </c>
      <c r="BD97" s="102">
        <v>0</v>
      </c>
      <c r="BE97" s="102">
        <v>0</v>
      </c>
      <c r="BF97" s="102">
        <v>0</v>
      </c>
      <c r="BG97" s="102">
        <v>0</v>
      </c>
      <c r="BH97" s="102">
        <v>1</v>
      </c>
      <c r="BI97" s="102">
        <v>0</v>
      </c>
      <c r="BJ97" s="102">
        <v>0</v>
      </c>
      <c r="BK97" s="102">
        <v>1</v>
      </c>
      <c r="BL97" s="102">
        <v>1</v>
      </c>
      <c r="BM97" s="102">
        <v>1</v>
      </c>
      <c r="BN97" s="102">
        <v>0</v>
      </c>
      <c r="BO97" s="102">
        <v>1</v>
      </c>
      <c r="BP97" s="102">
        <v>1</v>
      </c>
      <c r="BQ97" s="102">
        <v>1</v>
      </c>
      <c r="BR97" s="102">
        <v>0</v>
      </c>
      <c r="BS97" s="102">
        <v>1</v>
      </c>
      <c r="BT97" s="102">
        <v>1</v>
      </c>
      <c r="BU97" s="102">
        <v>0</v>
      </c>
      <c r="BV97" s="102">
        <v>0</v>
      </c>
      <c r="BW97" s="102">
        <v>1</v>
      </c>
      <c r="BX97" s="102">
        <v>1</v>
      </c>
      <c r="BY97" s="102">
        <v>0</v>
      </c>
      <c r="BZ97" s="102">
        <v>0</v>
      </c>
      <c r="CA97" s="102">
        <v>6</v>
      </c>
      <c r="CB97" s="102">
        <v>1</v>
      </c>
      <c r="CC97" s="102">
        <v>3</v>
      </c>
      <c r="CD97" s="102" t="s">
        <v>1502</v>
      </c>
      <c r="CE97" s="102">
        <v>1</v>
      </c>
      <c r="CF97" s="102">
        <v>1</v>
      </c>
      <c r="CG97" s="102">
        <v>0</v>
      </c>
      <c r="CH97" s="102">
        <v>0</v>
      </c>
      <c r="CI97" s="102">
        <v>1</v>
      </c>
      <c r="CJ97" s="102">
        <v>1</v>
      </c>
      <c r="CK97" s="102">
        <v>1</v>
      </c>
      <c r="CL97" s="102">
        <v>0</v>
      </c>
      <c r="CM97" s="102">
        <v>0</v>
      </c>
      <c r="CN97" s="102">
        <v>1</v>
      </c>
      <c r="CO97" s="102">
        <v>1</v>
      </c>
      <c r="CP97" s="102">
        <v>2</v>
      </c>
      <c r="CQ97" s="102">
        <v>1</v>
      </c>
      <c r="CR97" s="102">
        <v>1</v>
      </c>
      <c r="CS97" s="102">
        <v>1</v>
      </c>
      <c r="CT97" s="102" t="s">
        <v>1131</v>
      </c>
      <c r="CU97" s="102">
        <v>1</v>
      </c>
      <c r="CV97" s="102">
        <v>1</v>
      </c>
      <c r="CW97" s="102">
        <v>1</v>
      </c>
      <c r="CX97" s="102">
        <v>0</v>
      </c>
      <c r="CY97" s="102">
        <v>2</v>
      </c>
      <c r="CZ97" s="102">
        <v>0</v>
      </c>
      <c r="DA97" s="102" t="s">
        <v>853</v>
      </c>
      <c r="DB97" s="102">
        <v>0</v>
      </c>
      <c r="DC97" s="102">
        <v>1</v>
      </c>
      <c r="DD97" s="102">
        <v>0</v>
      </c>
      <c r="DE97" s="102">
        <v>0</v>
      </c>
      <c r="DF97" s="102">
        <v>0</v>
      </c>
      <c r="DG97" s="102">
        <v>0</v>
      </c>
      <c r="DH97" s="102">
        <v>0</v>
      </c>
      <c r="DI97" s="102">
        <v>0</v>
      </c>
      <c r="DJ97" s="102">
        <v>0</v>
      </c>
      <c r="DK97" s="102">
        <v>0</v>
      </c>
      <c r="DL97" s="102">
        <v>0</v>
      </c>
      <c r="DM97" s="102">
        <v>0</v>
      </c>
      <c r="DN97" s="102">
        <v>0</v>
      </c>
      <c r="DO97" s="102">
        <v>1</v>
      </c>
      <c r="DP97" s="102">
        <v>0</v>
      </c>
      <c r="DQ97" s="102">
        <v>1</v>
      </c>
      <c r="DR97" s="102">
        <v>1</v>
      </c>
      <c r="DS97" s="102">
        <v>4</v>
      </c>
      <c r="DT97" s="105" t="s">
        <v>1317</v>
      </c>
      <c r="DU97" s="102">
        <v>0</v>
      </c>
      <c r="DV97" s="102">
        <v>1</v>
      </c>
      <c r="DW97" s="102">
        <v>0</v>
      </c>
      <c r="DX97" s="102" t="s">
        <v>853</v>
      </c>
      <c r="DY97" s="102">
        <v>0</v>
      </c>
      <c r="DZ97" s="102">
        <v>2</v>
      </c>
      <c r="EA97" s="102" t="s">
        <v>1503</v>
      </c>
      <c r="EB97" s="102">
        <v>0</v>
      </c>
      <c r="EC97" s="102">
        <v>0</v>
      </c>
      <c r="ED97" s="102">
        <v>1</v>
      </c>
      <c r="EE97" s="102">
        <v>0</v>
      </c>
      <c r="EF97" s="102">
        <v>3</v>
      </c>
      <c r="EG97" s="102">
        <v>1</v>
      </c>
      <c r="EH97" s="102" t="s">
        <v>1504</v>
      </c>
      <c r="EI97" s="102">
        <v>0</v>
      </c>
      <c r="EJ97" s="102">
        <v>0</v>
      </c>
      <c r="EK97" s="102">
        <v>2</v>
      </c>
      <c r="EL97" s="102">
        <v>0</v>
      </c>
      <c r="EM97" s="102"/>
    </row>
    <row r="98" spans="1:143" ht="15.75" customHeight="1" x14ac:dyDescent="0.55000000000000004">
      <c r="A98" s="99">
        <v>96</v>
      </c>
      <c r="B98" s="102" t="s">
        <v>1505</v>
      </c>
      <c r="C98" s="102" t="s">
        <v>1506</v>
      </c>
      <c r="D98" s="103">
        <v>38592</v>
      </c>
      <c r="E98" s="102" t="s">
        <v>914</v>
      </c>
      <c r="F98" s="102">
        <v>28</v>
      </c>
      <c r="G98" s="102">
        <v>8</v>
      </c>
      <c r="H98" s="102">
        <v>2005</v>
      </c>
      <c r="I98" s="102" t="s">
        <v>1507</v>
      </c>
      <c r="J98" s="102" t="s">
        <v>1508</v>
      </c>
      <c r="K98" s="102" t="s">
        <v>849</v>
      </c>
      <c r="L98" s="102">
        <v>43</v>
      </c>
      <c r="M98" s="102">
        <v>0</v>
      </c>
      <c r="N98" s="102">
        <v>2</v>
      </c>
      <c r="O98" s="102">
        <v>3</v>
      </c>
      <c r="P98" s="102">
        <v>0</v>
      </c>
      <c r="Q98" s="104">
        <v>0</v>
      </c>
      <c r="R98" s="102">
        <v>1</v>
      </c>
      <c r="S98" s="102">
        <v>8</v>
      </c>
      <c r="T98" s="102">
        <v>0</v>
      </c>
      <c r="U98" s="102">
        <v>0</v>
      </c>
      <c r="V98" s="102">
        <v>4</v>
      </c>
      <c r="W98" s="102">
        <v>0</v>
      </c>
      <c r="X98" s="102">
        <v>0</v>
      </c>
      <c r="Y98" s="102">
        <v>0</v>
      </c>
      <c r="Z98" s="102">
        <v>0</v>
      </c>
      <c r="AA98" s="102">
        <v>54</v>
      </c>
      <c r="AB98" s="102">
        <v>0</v>
      </c>
      <c r="AC98" s="102"/>
      <c r="AD98" s="102">
        <v>0</v>
      </c>
      <c r="AE98" s="102">
        <v>0</v>
      </c>
      <c r="AF98" s="102"/>
      <c r="AG98" s="102"/>
      <c r="AH98" s="102"/>
      <c r="AI98" s="102"/>
      <c r="AJ98" s="102"/>
      <c r="AK98" s="102"/>
      <c r="AL98" s="102"/>
      <c r="AM98" s="102"/>
      <c r="AN98" s="102">
        <v>0</v>
      </c>
      <c r="AO98" s="102">
        <v>0</v>
      </c>
      <c r="AP98" s="102">
        <v>0</v>
      </c>
      <c r="AQ98" s="102">
        <v>0</v>
      </c>
      <c r="AR98" s="102">
        <v>0</v>
      </c>
      <c r="AS98" s="102" t="s">
        <v>853</v>
      </c>
      <c r="AT98" s="102">
        <v>0</v>
      </c>
      <c r="AU98" s="102"/>
      <c r="AV98" s="102">
        <v>1</v>
      </c>
      <c r="AW98" s="102">
        <v>0</v>
      </c>
      <c r="AX98" s="102">
        <v>0</v>
      </c>
      <c r="AY98" s="102" t="s">
        <v>1143</v>
      </c>
      <c r="AZ98" s="102">
        <v>1</v>
      </c>
      <c r="BA98" s="102">
        <v>0</v>
      </c>
      <c r="BB98" s="102">
        <v>0</v>
      </c>
      <c r="BC98" s="102">
        <v>0</v>
      </c>
      <c r="BD98" s="102">
        <v>0</v>
      </c>
      <c r="BE98" s="102">
        <v>0</v>
      </c>
      <c r="BF98" s="102">
        <v>0</v>
      </c>
      <c r="BG98" s="102">
        <v>0</v>
      </c>
      <c r="BH98" s="102">
        <v>0</v>
      </c>
      <c r="BI98" s="102">
        <v>0</v>
      </c>
      <c r="BJ98" s="102">
        <v>1</v>
      </c>
      <c r="BK98" s="102">
        <v>0</v>
      </c>
      <c r="BL98" s="102">
        <v>0</v>
      </c>
      <c r="BM98" s="102">
        <v>0</v>
      </c>
      <c r="BN98" s="102">
        <v>0</v>
      </c>
      <c r="BO98" s="102">
        <v>0</v>
      </c>
      <c r="BP98" s="102">
        <v>0</v>
      </c>
      <c r="BQ98" s="102">
        <v>0</v>
      </c>
      <c r="BR98" s="102">
        <v>0</v>
      </c>
      <c r="BS98" s="102">
        <v>0</v>
      </c>
      <c r="BT98" s="102">
        <v>0</v>
      </c>
      <c r="BU98" s="102"/>
      <c r="BV98" s="102">
        <v>0</v>
      </c>
      <c r="BW98" s="102">
        <v>0</v>
      </c>
      <c r="BX98" s="102">
        <v>0</v>
      </c>
      <c r="BY98" s="102">
        <v>0</v>
      </c>
      <c r="BZ98" s="102">
        <v>0</v>
      </c>
      <c r="CA98" s="102">
        <v>0</v>
      </c>
      <c r="CB98" s="102">
        <v>1</v>
      </c>
      <c r="CC98" s="102">
        <v>2</v>
      </c>
      <c r="CD98" s="102" t="s">
        <v>1509</v>
      </c>
      <c r="CE98" s="102">
        <v>0</v>
      </c>
      <c r="CF98" s="102">
        <v>0</v>
      </c>
      <c r="CG98" s="102">
        <v>0</v>
      </c>
      <c r="CH98" s="102">
        <v>0</v>
      </c>
      <c r="CI98" s="102">
        <v>0</v>
      </c>
      <c r="CJ98" s="102">
        <v>1</v>
      </c>
      <c r="CK98" s="102">
        <v>1</v>
      </c>
      <c r="CL98" s="102">
        <v>0</v>
      </c>
      <c r="CM98" s="102">
        <v>0</v>
      </c>
      <c r="CN98" s="102">
        <v>2</v>
      </c>
      <c r="CO98" s="102">
        <v>0</v>
      </c>
      <c r="CP98" s="102">
        <v>0</v>
      </c>
      <c r="CQ98" s="102">
        <v>0</v>
      </c>
      <c r="CR98" s="102">
        <v>0</v>
      </c>
      <c r="CS98" s="102">
        <v>0</v>
      </c>
      <c r="CT98" s="102" t="s">
        <v>853</v>
      </c>
      <c r="CU98" s="102">
        <v>0</v>
      </c>
      <c r="CV98" s="102">
        <v>4</v>
      </c>
      <c r="CW98" s="102">
        <v>0</v>
      </c>
      <c r="CX98" s="102">
        <v>0</v>
      </c>
      <c r="CY98" s="102">
        <v>0</v>
      </c>
      <c r="CZ98" s="102">
        <v>1</v>
      </c>
      <c r="DA98" s="102" t="s">
        <v>1510</v>
      </c>
      <c r="DB98" s="102">
        <v>0</v>
      </c>
      <c r="DC98" s="102">
        <v>0</v>
      </c>
      <c r="DD98" s="102">
        <v>0</v>
      </c>
      <c r="DE98" s="102">
        <v>0</v>
      </c>
      <c r="DF98" s="102">
        <v>0</v>
      </c>
      <c r="DG98" s="102">
        <v>0</v>
      </c>
      <c r="DH98" s="102">
        <v>0</v>
      </c>
      <c r="DI98" s="102">
        <v>0</v>
      </c>
      <c r="DJ98" s="102">
        <v>0</v>
      </c>
      <c r="DK98" s="102">
        <v>0</v>
      </c>
      <c r="DL98" s="102">
        <v>1</v>
      </c>
      <c r="DM98" s="102">
        <v>0</v>
      </c>
      <c r="DN98" s="102">
        <v>0</v>
      </c>
      <c r="DO98" s="102">
        <v>0</v>
      </c>
      <c r="DP98" s="102">
        <v>1</v>
      </c>
      <c r="DQ98" s="102">
        <v>0</v>
      </c>
      <c r="DR98" s="102">
        <v>0</v>
      </c>
      <c r="DS98" s="102" t="s">
        <v>853</v>
      </c>
      <c r="DT98" s="105" t="s">
        <v>853</v>
      </c>
      <c r="DU98" s="102" t="s">
        <v>853</v>
      </c>
      <c r="DV98" s="102">
        <v>0</v>
      </c>
      <c r="DW98" s="102">
        <v>0</v>
      </c>
      <c r="DX98" s="102" t="s">
        <v>853</v>
      </c>
      <c r="DY98" s="102">
        <v>0</v>
      </c>
      <c r="DZ98" s="102">
        <v>0</v>
      </c>
      <c r="EA98" s="102" t="s">
        <v>853</v>
      </c>
      <c r="EB98" s="102">
        <v>0</v>
      </c>
      <c r="EC98" s="102">
        <v>0</v>
      </c>
      <c r="ED98" s="102">
        <v>0</v>
      </c>
      <c r="EE98" s="102">
        <v>1</v>
      </c>
      <c r="EF98" s="102">
        <v>2</v>
      </c>
      <c r="EG98" s="102">
        <v>0</v>
      </c>
      <c r="EH98" s="102" t="s">
        <v>853</v>
      </c>
      <c r="EI98" s="102">
        <v>0</v>
      </c>
      <c r="EJ98" s="102">
        <v>0</v>
      </c>
      <c r="EK98" s="102">
        <v>2</v>
      </c>
      <c r="EL98" s="102">
        <v>0</v>
      </c>
      <c r="EM98" s="102"/>
    </row>
    <row r="99" spans="1:143" ht="15.75" customHeight="1" x14ac:dyDescent="0.55000000000000004">
      <c r="A99" s="99">
        <v>97</v>
      </c>
      <c r="B99" s="102" t="s">
        <v>1511</v>
      </c>
      <c r="C99" s="102" t="s">
        <v>1512</v>
      </c>
      <c r="D99" s="103">
        <v>38747</v>
      </c>
      <c r="E99" s="102" t="s">
        <v>846</v>
      </c>
      <c r="F99" s="102">
        <v>30</v>
      </c>
      <c r="G99" s="102">
        <v>1</v>
      </c>
      <c r="H99" s="102">
        <v>2006</v>
      </c>
      <c r="I99" s="102" t="s">
        <v>1513</v>
      </c>
      <c r="J99" s="102" t="s">
        <v>1514</v>
      </c>
      <c r="K99" s="102" t="s">
        <v>930</v>
      </c>
      <c r="L99" s="102">
        <v>5</v>
      </c>
      <c r="M99" s="102">
        <v>3</v>
      </c>
      <c r="N99" s="102">
        <v>1</v>
      </c>
      <c r="O99" s="106">
        <v>10</v>
      </c>
      <c r="P99" s="102">
        <v>1</v>
      </c>
      <c r="Q99" s="104">
        <v>1</v>
      </c>
      <c r="R99" s="102">
        <v>1</v>
      </c>
      <c r="S99" s="102">
        <v>7</v>
      </c>
      <c r="T99" s="102">
        <v>0</v>
      </c>
      <c r="U99" s="102">
        <v>0</v>
      </c>
      <c r="V99" s="102">
        <v>7</v>
      </c>
      <c r="W99" s="102">
        <v>0</v>
      </c>
      <c r="X99" s="102">
        <v>0</v>
      </c>
      <c r="Y99" s="102">
        <v>0</v>
      </c>
      <c r="Z99" s="102">
        <v>0</v>
      </c>
      <c r="AA99" s="102">
        <v>44</v>
      </c>
      <c r="AB99" s="102">
        <v>1</v>
      </c>
      <c r="AC99" s="102">
        <v>0</v>
      </c>
      <c r="AD99" s="102">
        <v>0</v>
      </c>
      <c r="AE99" s="102">
        <v>0</v>
      </c>
      <c r="AF99" s="102">
        <v>1</v>
      </c>
      <c r="AG99" s="102"/>
      <c r="AH99" s="102"/>
      <c r="AI99" s="102"/>
      <c r="AJ99" s="102"/>
      <c r="AK99" s="102">
        <v>2</v>
      </c>
      <c r="AL99" s="102"/>
      <c r="AM99" s="102"/>
      <c r="AN99" s="102">
        <v>0</v>
      </c>
      <c r="AO99" s="102">
        <v>0</v>
      </c>
      <c r="AP99" s="102">
        <v>0</v>
      </c>
      <c r="AQ99" s="102">
        <v>0</v>
      </c>
      <c r="AR99" s="102">
        <v>0</v>
      </c>
      <c r="AS99" s="102" t="s">
        <v>853</v>
      </c>
      <c r="AT99" s="102">
        <v>0</v>
      </c>
      <c r="AU99" s="102"/>
      <c r="AV99" s="102">
        <v>1</v>
      </c>
      <c r="AW99" s="102">
        <v>0</v>
      </c>
      <c r="AX99" s="102">
        <v>0</v>
      </c>
      <c r="AY99" s="102">
        <v>9</v>
      </c>
      <c r="AZ99" s="102">
        <v>2</v>
      </c>
      <c r="BA99" s="102">
        <v>0</v>
      </c>
      <c r="BB99" s="102">
        <v>0</v>
      </c>
      <c r="BC99" s="102">
        <v>0</v>
      </c>
      <c r="BD99" s="102">
        <v>0</v>
      </c>
      <c r="BE99" s="102">
        <v>0</v>
      </c>
      <c r="BF99" s="102">
        <v>0</v>
      </c>
      <c r="BG99" s="102">
        <v>0</v>
      </c>
      <c r="BH99" s="102">
        <v>0</v>
      </c>
      <c r="BI99" s="102">
        <v>0</v>
      </c>
      <c r="BJ99" s="102">
        <v>0</v>
      </c>
      <c r="BK99" s="102">
        <v>0</v>
      </c>
      <c r="BL99" s="102">
        <v>0</v>
      </c>
      <c r="BM99" s="102">
        <v>0</v>
      </c>
      <c r="BN99" s="102">
        <v>0</v>
      </c>
      <c r="BO99" s="102">
        <v>0</v>
      </c>
      <c r="BP99" s="102">
        <v>0</v>
      </c>
      <c r="BQ99" s="102">
        <v>0</v>
      </c>
      <c r="BR99" s="102">
        <v>0</v>
      </c>
      <c r="BS99" s="102">
        <v>0</v>
      </c>
      <c r="BT99" s="102">
        <v>0</v>
      </c>
      <c r="BU99" s="102"/>
      <c r="BV99" s="102">
        <v>0</v>
      </c>
      <c r="BW99" s="102">
        <v>0</v>
      </c>
      <c r="BX99" s="102">
        <v>0</v>
      </c>
      <c r="BY99" s="102">
        <v>0</v>
      </c>
      <c r="BZ99" s="102">
        <v>0</v>
      </c>
      <c r="CA99" s="102">
        <v>0</v>
      </c>
      <c r="CB99" s="102">
        <v>1</v>
      </c>
      <c r="CC99" s="102">
        <v>3</v>
      </c>
      <c r="CD99" s="102" t="s">
        <v>1515</v>
      </c>
      <c r="CE99" s="102">
        <v>1</v>
      </c>
      <c r="CF99" s="102">
        <v>0</v>
      </c>
      <c r="CG99" s="102">
        <v>0</v>
      </c>
      <c r="CH99" s="102">
        <v>1</v>
      </c>
      <c r="CI99" s="102">
        <v>1</v>
      </c>
      <c r="CJ99" s="102">
        <v>0</v>
      </c>
      <c r="CK99" s="102">
        <v>0</v>
      </c>
      <c r="CL99" s="102">
        <v>1</v>
      </c>
      <c r="CM99" s="102">
        <v>0</v>
      </c>
      <c r="CN99" s="102">
        <v>2</v>
      </c>
      <c r="CO99" s="102">
        <v>1</v>
      </c>
      <c r="CP99" s="102">
        <v>2</v>
      </c>
      <c r="CQ99" s="102">
        <v>0</v>
      </c>
      <c r="CR99" s="102">
        <v>0</v>
      </c>
      <c r="CS99" s="102">
        <v>0</v>
      </c>
      <c r="CT99" s="102" t="s">
        <v>853</v>
      </c>
      <c r="CU99" s="102">
        <v>0</v>
      </c>
      <c r="CV99" s="102">
        <v>4</v>
      </c>
      <c r="CW99" s="102">
        <v>0</v>
      </c>
      <c r="CX99" s="102">
        <v>0</v>
      </c>
      <c r="CY99" s="102">
        <v>0</v>
      </c>
      <c r="CZ99" s="102">
        <v>0</v>
      </c>
      <c r="DA99" s="102" t="s">
        <v>853</v>
      </c>
      <c r="DB99" s="102">
        <v>0</v>
      </c>
      <c r="DC99" s="102">
        <v>1</v>
      </c>
      <c r="DD99" s="102">
        <v>1</v>
      </c>
      <c r="DE99" s="102">
        <v>0</v>
      </c>
      <c r="DF99" s="102">
        <v>0</v>
      </c>
      <c r="DG99" s="102">
        <v>0</v>
      </c>
      <c r="DH99" s="102">
        <v>0</v>
      </c>
      <c r="DI99" s="102">
        <v>0</v>
      </c>
      <c r="DJ99" s="102">
        <v>0</v>
      </c>
      <c r="DK99" s="102">
        <v>0</v>
      </c>
      <c r="DL99" s="102">
        <v>1</v>
      </c>
      <c r="DM99" s="102">
        <v>0</v>
      </c>
      <c r="DN99" s="102">
        <v>0</v>
      </c>
      <c r="DO99" s="102">
        <v>0</v>
      </c>
      <c r="DP99" s="102">
        <v>2</v>
      </c>
      <c r="DQ99" s="102">
        <v>0</v>
      </c>
      <c r="DR99" s="102">
        <v>0</v>
      </c>
      <c r="DS99" s="102" t="s">
        <v>853</v>
      </c>
      <c r="DT99" s="105" t="s">
        <v>853</v>
      </c>
      <c r="DU99" s="102" t="s">
        <v>853</v>
      </c>
      <c r="DV99" s="102">
        <v>0</v>
      </c>
      <c r="DW99" s="102">
        <v>0</v>
      </c>
      <c r="DX99" s="102" t="s">
        <v>853</v>
      </c>
      <c r="DY99" s="102">
        <v>1</v>
      </c>
      <c r="DZ99" s="102">
        <v>0</v>
      </c>
      <c r="EA99" s="102" t="s">
        <v>853</v>
      </c>
      <c r="EB99" s="102">
        <v>0</v>
      </c>
      <c r="EC99" s="102">
        <v>0</v>
      </c>
      <c r="ED99" s="102">
        <v>0</v>
      </c>
      <c r="EE99" s="102">
        <v>0</v>
      </c>
      <c r="EF99" s="102">
        <v>1</v>
      </c>
      <c r="EG99" s="102">
        <v>0</v>
      </c>
      <c r="EH99" s="102" t="s">
        <v>853</v>
      </c>
      <c r="EI99" s="102">
        <v>0</v>
      </c>
      <c r="EJ99" s="102">
        <v>0</v>
      </c>
      <c r="EK99" s="102">
        <v>2</v>
      </c>
      <c r="EL99" s="102">
        <v>0</v>
      </c>
      <c r="EM99" s="102"/>
    </row>
    <row r="100" spans="1:143" ht="15.75" customHeight="1" x14ac:dyDescent="0.55000000000000004">
      <c r="A100" s="99">
        <v>98</v>
      </c>
      <c r="B100" s="102" t="s">
        <v>1516</v>
      </c>
      <c r="C100" s="102" t="s">
        <v>1517</v>
      </c>
      <c r="D100" s="103">
        <v>38801</v>
      </c>
      <c r="E100" s="102" t="s">
        <v>860</v>
      </c>
      <c r="F100" s="102">
        <v>25</v>
      </c>
      <c r="G100" s="102">
        <v>3</v>
      </c>
      <c r="H100" s="102">
        <v>2006</v>
      </c>
      <c r="I100" s="102" t="s">
        <v>1518</v>
      </c>
      <c r="J100" s="102" t="s">
        <v>1519</v>
      </c>
      <c r="K100" s="102" t="s">
        <v>1245</v>
      </c>
      <c r="L100" s="102">
        <v>47</v>
      </c>
      <c r="M100" s="102">
        <v>3</v>
      </c>
      <c r="N100" s="102">
        <v>0</v>
      </c>
      <c r="O100" s="102">
        <v>7</v>
      </c>
      <c r="P100" s="102">
        <v>0</v>
      </c>
      <c r="Q100" s="104">
        <v>0</v>
      </c>
      <c r="R100" s="102">
        <v>0</v>
      </c>
      <c r="S100" s="102" t="s">
        <v>853</v>
      </c>
      <c r="T100" s="102">
        <v>0</v>
      </c>
      <c r="U100" s="102">
        <v>0</v>
      </c>
      <c r="V100" s="102">
        <v>6</v>
      </c>
      <c r="W100" s="102">
        <v>2</v>
      </c>
      <c r="X100" s="102">
        <v>0</v>
      </c>
      <c r="Y100" s="102">
        <v>0</v>
      </c>
      <c r="Z100" s="102">
        <v>0</v>
      </c>
      <c r="AA100" s="102">
        <v>28</v>
      </c>
      <c r="AB100" s="102">
        <v>0</v>
      </c>
      <c r="AC100" s="102">
        <v>0</v>
      </c>
      <c r="AD100" s="102">
        <v>0</v>
      </c>
      <c r="AE100" s="102">
        <v>0</v>
      </c>
      <c r="AF100" s="102"/>
      <c r="AG100" s="102">
        <v>2</v>
      </c>
      <c r="AH100" s="102">
        <v>2</v>
      </c>
      <c r="AI100" s="102" t="s">
        <v>1520</v>
      </c>
      <c r="AJ100" s="102">
        <v>4</v>
      </c>
      <c r="AK100" s="102">
        <v>1</v>
      </c>
      <c r="AL100" s="102"/>
      <c r="AM100" s="102"/>
      <c r="AN100" s="102">
        <v>0</v>
      </c>
      <c r="AO100" s="102">
        <v>0</v>
      </c>
      <c r="AP100" s="102">
        <v>0</v>
      </c>
      <c r="AQ100" s="102">
        <v>0</v>
      </c>
      <c r="AR100" s="102">
        <v>0</v>
      </c>
      <c r="AS100" s="102" t="s">
        <v>853</v>
      </c>
      <c r="AT100" s="102">
        <v>0</v>
      </c>
      <c r="AU100" s="102"/>
      <c r="AV100" s="102">
        <v>0</v>
      </c>
      <c r="AW100" s="102">
        <v>1</v>
      </c>
      <c r="AX100" s="102">
        <v>0</v>
      </c>
      <c r="AY100" s="102" t="s">
        <v>1049</v>
      </c>
      <c r="AZ100" s="102">
        <v>4</v>
      </c>
      <c r="BA100" s="102">
        <v>1</v>
      </c>
      <c r="BB100" s="102">
        <v>0</v>
      </c>
      <c r="BC100" s="102">
        <v>0</v>
      </c>
      <c r="BD100" s="102">
        <v>0</v>
      </c>
      <c r="BE100" s="102">
        <v>0</v>
      </c>
      <c r="BF100" s="102">
        <v>0</v>
      </c>
      <c r="BG100" s="102">
        <v>0</v>
      </c>
      <c r="BH100" s="102">
        <v>0</v>
      </c>
      <c r="BI100" s="102">
        <v>1</v>
      </c>
      <c r="BJ100" s="102">
        <v>0</v>
      </c>
      <c r="BK100" s="102">
        <v>1</v>
      </c>
      <c r="BL100" s="102">
        <v>0</v>
      </c>
      <c r="BM100" s="102">
        <v>1</v>
      </c>
      <c r="BN100" s="102">
        <v>0</v>
      </c>
      <c r="BO100" s="102">
        <v>0</v>
      </c>
      <c r="BP100" s="102">
        <v>0</v>
      </c>
      <c r="BQ100" s="102">
        <v>0</v>
      </c>
      <c r="BR100" s="102">
        <v>0</v>
      </c>
      <c r="BS100" s="102">
        <v>0</v>
      </c>
      <c r="BT100" s="102">
        <v>0</v>
      </c>
      <c r="BU100" s="102">
        <v>1</v>
      </c>
      <c r="BV100" s="102">
        <v>0</v>
      </c>
      <c r="BW100" s="102">
        <v>0</v>
      </c>
      <c r="BX100" s="102">
        <v>1</v>
      </c>
      <c r="BY100" s="102">
        <v>0</v>
      </c>
      <c r="BZ100" s="102">
        <v>0</v>
      </c>
      <c r="CA100" s="102">
        <v>0</v>
      </c>
      <c r="CB100" s="102">
        <v>1</v>
      </c>
      <c r="CC100" s="102">
        <v>2</v>
      </c>
      <c r="CD100" s="102" t="s">
        <v>1521</v>
      </c>
      <c r="CE100" s="102">
        <v>0</v>
      </c>
      <c r="CF100" s="102">
        <v>0</v>
      </c>
      <c r="CG100" s="102">
        <v>0</v>
      </c>
      <c r="CH100" s="102">
        <v>0</v>
      </c>
      <c r="CI100" s="102">
        <v>0</v>
      </c>
      <c r="CJ100" s="102">
        <v>0</v>
      </c>
      <c r="CK100" s="102">
        <v>1</v>
      </c>
      <c r="CL100" s="102">
        <v>1</v>
      </c>
      <c r="CM100" s="102">
        <v>0</v>
      </c>
      <c r="CN100" s="102">
        <v>2</v>
      </c>
      <c r="CO100" s="102">
        <v>0</v>
      </c>
      <c r="CP100" s="102">
        <v>0</v>
      </c>
      <c r="CQ100" s="102">
        <v>0</v>
      </c>
      <c r="CR100" s="102">
        <v>0</v>
      </c>
      <c r="CS100" s="102">
        <v>0</v>
      </c>
      <c r="CT100" s="102" t="s">
        <v>853</v>
      </c>
      <c r="CU100" s="102">
        <v>0</v>
      </c>
      <c r="CV100" s="102" t="s">
        <v>937</v>
      </c>
      <c r="CW100" s="102">
        <v>1</v>
      </c>
      <c r="CX100" s="102">
        <v>0</v>
      </c>
      <c r="CY100" s="102" t="s">
        <v>937</v>
      </c>
      <c r="CZ100" s="102">
        <v>0</v>
      </c>
      <c r="DA100" s="102" t="s">
        <v>853</v>
      </c>
      <c r="DB100" s="102">
        <v>0</v>
      </c>
      <c r="DC100" s="102">
        <v>0</v>
      </c>
      <c r="DD100" s="102">
        <v>0</v>
      </c>
      <c r="DE100" s="102">
        <v>0</v>
      </c>
      <c r="DF100" s="102">
        <v>0</v>
      </c>
      <c r="DG100" s="102">
        <v>0</v>
      </c>
      <c r="DH100" s="102">
        <v>0</v>
      </c>
      <c r="DI100" s="102">
        <v>0</v>
      </c>
      <c r="DJ100" s="102">
        <v>0</v>
      </c>
      <c r="DK100" s="102">
        <v>0</v>
      </c>
      <c r="DL100" s="102">
        <v>0</v>
      </c>
      <c r="DM100" s="102">
        <v>0</v>
      </c>
      <c r="DN100" s="102">
        <v>1</v>
      </c>
      <c r="DO100" s="102">
        <v>0</v>
      </c>
      <c r="DP100" s="102">
        <v>2</v>
      </c>
      <c r="DQ100" s="102">
        <v>1</v>
      </c>
      <c r="DR100" s="102">
        <v>0</v>
      </c>
      <c r="DS100" s="102" t="s">
        <v>853</v>
      </c>
      <c r="DT100" s="105" t="s">
        <v>853</v>
      </c>
      <c r="DU100" s="102" t="s">
        <v>853</v>
      </c>
      <c r="DV100" s="102">
        <v>1</v>
      </c>
      <c r="DW100" s="102">
        <v>0</v>
      </c>
      <c r="DX100" s="102" t="s">
        <v>853</v>
      </c>
      <c r="DY100" s="102">
        <v>1</v>
      </c>
      <c r="DZ100" s="102">
        <v>1</v>
      </c>
      <c r="EA100" s="102" t="s">
        <v>1522</v>
      </c>
      <c r="EB100" s="102">
        <v>1</v>
      </c>
      <c r="EC100" s="102">
        <v>1</v>
      </c>
      <c r="ED100" s="102">
        <v>1</v>
      </c>
      <c r="EE100" s="102">
        <v>3</v>
      </c>
      <c r="EF100" s="102">
        <v>3</v>
      </c>
      <c r="EG100" s="102">
        <v>1</v>
      </c>
      <c r="EH100" s="102" t="s">
        <v>1447</v>
      </c>
      <c r="EI100" s="102">
        <v>0</v>
      </c>
      <c r="EJ100" s="102">
        <v>0</v>
      </c>
      <c r="EK100" s="102">
        <v>2</v>
      </c>
      <c r="EL100" s="102">
        <v>0</v>
      </c>
      <c r="EM100" s="102"/>
    </row>
    <row r="101" spans="1:143" ht="15.75" customHeight="1" x14ac:dyDescent="0.55000000000000004">
      <c r="A101" s="99">
        <v>99</v>
      </c>
      <c r="B101" s="102" t="s">
        <v>1523</v>
      </c>
      <c r="C101" s="102" t="s">
        <v>1524</v>
      </c>
      <c r="D101" s="103">
        <v>38858</v>
      </c>
      <c r="E101" s="102" t="s">
        <v>914</v>
      </c>
      <c r="F101" s="102">
        <v>21</v>
      </c>
      <c r="G101" s="102">
        <v>5</v>
      </c>
      <c r="H101" s="102">
        <v>2006</v>
      </c>
      <c r="I101" s="102" t="s">
        <v>1525</v>
      </c>
      <c r="J101" s="102" t="s">
        <v>1526</v>
      </c>
      <c r="K101" s="102" t="s">
        <v>917</v>
      </c>
      <c r="L101" s="102">
        <v>18</v>
      </c>
      <c r="M101" s="102">
        <v>0</v>
      </c>
      <c r="N101" s="102">
        <v>0</v>
      </c>
      <c r="O101" s="102">
        <v>3</v>
      </c>
      <c r="P101" s="102">
        <v>0</v>
      </c>
      <c r="Q101" s="104">
        <v>0</v>
      </c>
      <c r="R101" s="102">
        <v>1</v>
      </c>
      <c r="S101" s="102">
        <v>8</v>
      </c>
      <c r="T101" s="102">
        <v>0</v>
      </c>
      <c r="U101" s="102">
        <v>0</v>
      </c>
      <c r="V101" s="102">
        <v>5</v>
      </c>
      <c r="W101" s="102">
        <v>1</v>
      </c>
      <c r="X101" s="102">
        <v>1</v>
      </c>
      <c r="Y101" s="102">
        <v>1</v>
      </c>
      <c r="Z101" s="102">
        <v>1</v>
      </c>
      <c r="AA101" s="102">
        <v>25</v>
      </c>
      <c r="AB101" s="102">
        <v>0</v>
      </c>
      <c r="AC101" s="102">
        <v>1</v>
      </c>
      <c r="AD101" s="102">
        <v>0</v>
      </c>
      <c r="AE101" s="102">
        <v>0</v>
      </c>
      <c r="AF101" s="102">
        <v>0</v>
      </c>
      <c r="AG101" s="102">
        <v>0</v>
      </c>
      <c r="AH101" s="102">
        <v>0</v>
      </c>
      <c r="AI101" s="102" t="s">
        <v>1527</v>
      </c>
      <c r="AJ101" s="102"/>
      <c r="AK101" s="102">
        <v>1</v>
      </c>
      <c r="AL101" s="102"/>
      <c r="AM101" s="102"/>
      <c r="AN101" s="102">
        <v>2</v>
      </c>
      <c r="AO101" s="102">
        <v>1</v>
      </c>
      <c r="AP101" s="102">
        <v>1</v>
      </c>
      <c r="AQ101" s="102">
        <v>0</v>
      </c>
      <c r="AR101" s="102">
        <v>0</v>
      </c>
      <c r="AS101" s="102" t="s">
        <v>853</v>
      </c>
      <c r="AT101" s="102">
        <v>0</v>
      </c>
      <c r="AU101" s="102"/>
      <c r="AV101" s="102">
        <v>1</v>
      </c>
      <c r="AW101" s="102">
        <v>1</v>
      </c>
      <c r="AX101" s="102">
        <v>4</v>
      </c>
      <c r="AY101" s="102" t="s">
        <v>1528</v>
      </c>
      <c r="AZ101" s="102">
        <v>4</v>
      </c>
      <c r="BA101" s="102">
        <v>0</v>
      </c>
      <c r="BB101" s="102">
        <v>0</v>
      </c>
      <c r="BC101" s="102">
        <v>1</v>
      </c>
      <c r="BD101" s="102" t="s">
        <v>954</v>
      </c>
      <c r="BE101" s="102">
        <v>0</v>
      </c>
      <c r="BF101" s="102">
        <v>0</v>
      </c>
      <c r="BG101" s="102">
        <v>0</v>
      </c>
      <c r="BH101" s="102">
        <v>0</v>
      </c>
      <c r="BI101" s="102">
        <v>0</v>
      </c>
      <c r="BJ101" s="102">
        <v>0</v>
      </c>
      <c r="BK101" s="102">
        <v>0</v>
      </c>
      <c r="BL101" s="102">
        <v>0</v>
      </c>
      <c r="BM101" s="102">
        <v>0</v>
      </c>
      <c r="BN101" s="102">
        <v>0</v>
      </c>
      <c r="BO101" s="102">
        <v>0</v>
      </c>
      <c r="BP101" s="102">
        <v>0</v>
      </c>
      <c r="BQ101" s="102">
        <v>0</v>
      </c>
      <c r="BR101" s="102">
        <v>0</v>
      </c>
      <c r="BS101" s="102">
        <v>0</v>
      </c>
      <c r="BT101" s="102">
        <v>0</v>
      </c>
      <c r="BU101" s="102">
        <v>0</v>
      </c>
      <c r="BV101" s="102">
        <v>0</v>
      </c>
      <c r="BW101" s="102">
        <v>0</v>
      </c>
      <c r="BX101" s="102">
        <v>0</v>
      </c>
      <c r="BY101" s="102">
        <v>0</v>
      </c>
      <c r="BZ101" s="102">
        <v>0</v>
      </c>
      <c r="CA101" s="102">
        <v>1</v>
      </c>
      <c r="CB101" s="102">
        <v>1</v>
      </c>
      <c r="CC101" s="102">
        <v>3</v>
      </c>
      <c r="CD101" s="102" t="s">
        <v>1529</v>
      </c>
      <c r="CE101" s="102">
        <v>0</v>
      </c>
      <c r="CF101" s="102">
        <v>1</v>
      </c>
      <c r="CG101" s="102">
        <v>0</v>
      </c>
      <c r="CH101" s="102">
        <v>0</v>
      </c>
      <c r="CI101" s="102">
        <v>1</v>
      </c>
      <c r="CJ101" s="102">
        <v>1</v>
      </c>
      <c r="CK101" s="102">
        <v>1</v>
      </c>
      <c r="CL101" s="102">
        <v>0</v>
      </c>
      <c r="CM101" s="102">
        <v>0</v>
      </c>
      <c r="CN101" s="102">
        <v>0</v>
      </c>
      <c r="CO101" s="102">
        <v>0</v>
      </c>
      <c r="CP101" s="102">
        <v>0</v>
      </c>
      <c r="CQ101" s="102">
        <v>0</v>
      </c>
      <c r="CR101" s="102">
        <v>0</v>
      </c>
      <c r="CS101" s="102">
        <v>0</v>
      </c>
      <c r="CT101" s="102" t="s">
        <v>853</v>
      </c>
      <c r="CU101" s="102">
        <v>0</v>
      </c>
      <c r="CV101" s="102">
        <v>1</v>
      </c>
      <c r="CW101" s="102">
        <v>0</v>
      </c>
      <c r="CX101" s="102">
        <v>0</v>
      </c>
      <c r="CY101" s="102">
        <v>2</v>
      </c>
      <c r="CZ101" s="102">
        <v>1</v>
      </c>
      <c r="DA101" s="102" t="s">
        <v>1186</v>
      </c>
      <c r="DB101" s="102">
        <v>1</v>
      </c>
      <c r="DC101" s="102">
        <v>0</v>
      </c>
      <c r="DD101" s="102">
        <v>0</v>
      </c>
      <c r="DE101" s="102">
        <v>0</v>
      </c>
      <c r="DF101" s="102">
        <v>0</v>
      </c>
      <c r="DG101" s="102">
        <v>0</v>
      </c>
      <c r="DH101" s="102">
        <v>0</v>
      </c>
      <c r="DI101" s="102">
        <v>0</v>
      </c>
      <c r="DJ101" s="102">
        <v>0</v>
      </c>
      <c r="DK101" s="102">
        <v>1</v>
      </c>
      <c r="DL101" s="102">
        <v>0</v>
      </c>
      <c r="DM101" s="102">
        <v>0</v>
      </c>
      <c r="DN101" s="102">
        <v>0</v>
      </c>
      <c r="DO101" s="102">
        <v>0</v>
      </c>
      <c r="DP101" s="102">
        <v>0</v>
      </c>
      <c r="DQ101" s="102">
        <v>0</v>
      </c>
      <c r="DR101" s="102">
        <v>1</v>
      </c>
      <c r="DS101" s="102">
        <v>0</v>
      </c>
      <c r="DT101" s="105" t="s">
        <v>1067</v>
      </c>
      <c r="DU101" s="102">
        <v>1</v>
      </c>
      <c r="DV101" s="102">
        <v>0</v>
      </c>
      <c r="DW101" s="102">
        <v>0</v>
      </c>
      <c r="DX101" s="102" t="s">
        <v>853</v>
      </c>
      <c r="DY101" s="102">
        <v>0</v>
      </c>
      <c r="DZ101" s="102">
        <v>0</v>
      </c>
      <c r="EA101" s="102" t="s">
        <v>853</v>
      </c>
      <c r="EB101" s="102">
        <v>0</v>
      </c>
      <c r="EC101" s="102">
        <v>0</v>
      </c>
      <c r="ED101" s="102">
        <v>0</v>
      </c>
      <c r="EE101" s="102">
        <v>0</v>
      </c>
      <c r="EF101" s="102">
        <v>1</v>
      </c>
      <c r="EG101" s="102">
        <v>0</v>
      </c>
      <c r="EH101" s="102" t="s">
        <v>853</v>
      </c>
      <c r="EI101" s="102">
        <v>2</v>
      </c>
      <c r="EJ101" s="102">
        <v>1</v>
      </c>
      <c r="EK101" s="102">
        <v>0</v>
      </c>
      <c r="EL101" s="102">
        <v>1</v>
      </c>
      <c r="EM101" s="102"/>
    </row>
    <row r="102" spans="1:143" ht="15.75" customHeight="1" x14ac:dyDescent="0.55000000000000004">
      <c r="A102" s="99">
        <v>100</v>
      </c>
      <c r="B102" s="102" t="s">
        <v>1530</v>
      </c>
      <c r="C102" s="102" t="s">
        <v>845</v>
      </c>
      <c r="D102" s="103">
        <v>38992</v>
      </c>
      <c r="E102" s="102" t="s">
        <v>846</v>
      </c>
      <c r="F102" s="102">
        <v>2</v>
      </c>
      <c r="G102" s="102">
        <v>10</v>
      </c>
      <c r="H102" s="102">
        <v>2006</v>
      </c>
      <c r="I102" s="102" t="s">
        <v>1531</v>
      </c>
      <c r="J102" s="102" t="s">
        <v>1532</v>
      </c>
      <c r="K102" s="102" t="s">
        <v>873</v>
      </c>
      <c r="L102" s="102">
        <v>38</v>
      </c>
      <c r="M102" s="102">
        <v>2</v>
      </c>
      <c r="N102" s="102">
        <v>2</v>
      </c>
      <c r="O102" s="102">
        <v>0</v>
      </c>
      <c r="P102" s="102">
        <v>0</v>
      </c>
      <c r="Q102" s="104">
        <v>0</v>
      </c>
      <c r="R102" s="102">
        <v>0</v>
      </c>
      <c r="S102" s="102" t="s">
        <v>853</v>
      </c>
      <c r="T102" s="102">
        <v>0</v>
      </c>
      <c r="U102" s="102">
        <v>0</v>
      </c>
      <c r="V102" s="102">
        <v>5</v>
      </c>
      <c r="W102" s="102">
        <v>5</v>
      </c>
      <c r="X102" s="102">
        <v>0</v>
      </c>
      <c r="Y102" s="102">
        <v>0</v>
      </c>
      <c r="Z102" s="102">
        <v>1</v>
      </c>
      <c r="AA102" s="102">
        <v>32</v>
      </c>
      <c r="AB102" s="102">
        <v>0</v>
      </c>
      <c r="AC102" s="102">
        <v>0</v>
      </c>
      <c r="AD102" s="102">
        <v>0</v>
      </c>
      <c r="AE102" s="102">
        <v>0</v>
      </c>
      <c r="AF102" s="102">
        <v>1</v>
      </c>
      <c r="AG102" s="102">
        <v>1</v>
      </c>
      <c r="AH102" s="102"/>
      <c r="AI102" s="102"/>
      <c r="AJ102" s="102">
        <v>1</v>
      </c>
      <c r="AK102" s="102">
        <v>3</v>
      </c>
      <c r="AL102" s="102">
        <v>0</v>
      </c>
      <c r="AM102" s="102">
        <v>3</v>
      </c>
      <c r="AN102" s="102">
        <v>2</v>
      </c>
      <c r="AO102" s="102">
        <v>1</v>
      </c>
      <c r="AP102" s="102">
        <v>1</v>
      </c>
      <c r="AQ102" s="102">
        <v>0</v>
      </c>
      <c r="AR102" s="102">
        <v>0</v>
      </c>
      <c r="AS102" s="102" t="s">
        <v>853</v>
      </c>
      <c r="AT102" s="102">
        <v>2</v>
      </c>
      <c r="AU102" s="102" t="s">
        <v>1533</v>
      </c>
      <c r="AV102" s="102">
        <v>0</v>
      </c>
      <c r="AW102" s="102">
        <v>0</v>
      </c>
      <c r="AX102" s="102">
        <v>0</v>
      </c>
      <c r="AY102" s="102">
        <v>6</v>
      </c>
      <c r="AZ102" s="102">
        <v>1</v>
      </c>
      <c r="BA102" s="102">
        <v>0</v>
      </c>
      <c r="BB102" s="102">
        <v>0</v>
      </c>
      <c r="BC102" s="102">
        <v>2</v>
      </c>
      <c r="BD102" s="102">
        <v>2</v>
      </c>
      <c r="BE102" s="102">
        <v>1</v>
      </c>
      <c r="BF102" s="102">
        <v>0</v>
      </c>
      <c r="BG102" s="102">
        <v>0</v>
      </c>
      <c r="BH102" s="102">
        <v>0</v>
      </c>
      <c r="BI102" s="102">
        <v>0</v>
      </c>
      <c r="BJ102" s="102">
        <v>0</v>
      </c>
      <c r="BK102" s="102">
        <v>0</v>
      </c>
      <c r="BL102" s="102">
        <v>0</v>
      </c>
      <c r="BM102" s="102">
        <v>0</v>
      </c>
      <c r="BN102" s="102">
        <v>0</v>
      </c>
      <c r="BO102" s="102">
        <v>0</v>
      </c>
      <c r="BP102" s="102">
        <v>0</v>
      </c>
      <c r="BQ102" s="102">
        <v>0</v>
      </c>
      <c r="BR102" s="102">
        <v>0</v>
      </c>
      <c r="BS102" s="102">
        <v>0</v>
      </c>
      <c r="BT102" s="102">
        <v>0</v>
      </c>
      <c r="BU102" s="102">
        <v>1</v>
      </c>
      <c r="BV102" s="102">
        <v>0</v>
      </c>
      <c r="BW102" s="102">
        <v>0</v>
      </c>
      <c r="BX102" s="102">
        <v>0</v>
      </c>
      <c r="BY102" s="102">
        <v>0</v>
      </c>
      <c r="BZ102" s="102">
        <v>2</v>
      </c>
      <c r="CA102" s="102">
        <v>0</v>
      </c>
      <c r="CB102" s="102">
        <v>1</v>
      </c>
      <c r="CC102" s="102">
        <v>3</v>
      </c>
      <c r="CD102" s="102" t="s">
        <v>1534</v>
      </c>
      <c r="CE102" s="102">
        <v>0</v>
      </c>
      <c r="CF102" s="102">
        <v>1</v>
      </c>
      <c r="CG102" s="102">
        <v>1</v>
      </c>
      <c r="CH102" s="102">
        <v>0</v>
      </c>
      <c r="CI102" s="102">
        <v>0</v>
      </c>
      <c r="CJ102" s="102">
        <v>0</v>
      </c>
      <c r="CK102" s="102">
        <v>0</v>
      </c>
      <c r="CL102" s="102">
        <v>0</v>
      </c>
      <c r="CM102" s="102">
        <v>0</v>
      </c>
      <c r="CN102" s="102">
        <v>2</v>
      </c>
      <c r="CO102" s="102">
        <v>0</v>
      </c>
      <c r="CP102" s="102">
        <v>0</v>
      </c>
      <c r="CQ102" s="102">
        <v>0</v>
      </c>
      <c r="CR102" s="102">
        <v>0</v>
      </c>
      <c r="CS102" s="102">
        <v>0</v>
      </c>
      <c r="CT102" s="102" t="s">
        <v>853</v>
      </c>
      <c r="CU102" s="102">
        <v>0</v>
      </c>
      <c r="CV102" s="102">
        <v>1</v>
      </c>
      <c r="CW102" s="102">
        <v>0</v>
      </c>
      <c r="CX102" s="102">
        <v>0</v>
      </c>
      <c r="CY102" s="102">
        <v>0</v>
      </c>
      <c r="CZ102" s="102">
        <v>0</v>
      </c>
      <c r="DA102" s="102" t="s">
        <v>853</v>
      </c>
      <c r="DB102" s="102">
        <v>0</v>
      </c>
      <c r="DC102" s="102">
        <v>0</v>
      </c>
      <c r="DD102" s="102">
        <v>0</v>
      </c>
      <c r="DE102" s="102">
        <v>3</v>
      </c>
      <c r="DF102" s="102">
        <v>0</v>
      </c>
      <c r="DG102" s="102">
        <v>0</v>
      </c>
      <c r="DH102" s="102">
        <v>0</v>
      </c>
      <c r="DI102" s="102">
        <v>0</v>
      </c>
      <c r="DJ102" s="102">
        <v>0</v>
      </c>
      <c r="DK102" s="102">
        <v>0</v>
      </c>
      <c r="DL102" s="102">
        <v>0</v>
      </c>
      <c r="DM102" s="102">
        <v>0</v>
      </c>
      <c r="DN102" s="102">
        <v>0</v>
      </c>
      <c r="DO102" s="102">
        <v>0</v>
      </c>
      <c r="DP102" s="102">
        <v>1</v>
      </c>
      <c r="DQ102" s="102">
        <v>0</v>
      </c>
      <c r="DR102" s="102">
        <v>0</v>
      </c>
      <c r="DS102" s="102" t="s">
        <v>853</v>
      </c>
      <c r="DT102" s="105" t="s">
        <v>853</v>
      </c>
      <c r="DU102" s="102" t="s">
        <v>853</v>
      </c>
      <c r="DV102" s="102">
        <v>0</v>
      </c>
      <c r="DW102" s="102">
        <v>0</v>
      </c>
      <c r="DX102" s="102" t="s">
        <v>853</v>
      </c>
      <c r="DY102" s="102">
        <v>1</v>
      </c>
      <c r="DZ102" s="102">
        <v>0</v>
      </c>
      <c r="EA102" s="102" t="s">
        <v>853</v>
      </c>
      <c r="EB102" s="102">
        <v>1</v>
      </c>
      <c r="EC102" s="102">
        <v>0</v>
      </c>
      <c r="ED102" s="102">
        <v>0</v>
      </c>
      <c r="EE102" s="102">
        <v>1</v>
      </c>
      <c r="EF102" s="102">
        <v>3</v>
      </c>
      <c r="EG102" s="102">
        <v>1</v>
      </c>
      <c r="EH102" s="102" t="s">
        <v>1535</v>
      </c>
      <c r="EI102" s="102">
        <v>0</v>
      </c>
      <c r="EJ102" s="102">
        <v>0</v>
      </c>
      <c r="EK102" s="102">
        <v>2</v>
      </c>
      <c r="EL102" s="102">
        <v>0</v>
      </c>
      <c r="EM102" s="102"/>
    </row>
    <row r="103" spans="1:143" ht="15.75" customHeight="1" x14ac:dyDescent="0.55000000000000004">
      <c r="A103" s="99">
        <v>101</v>
      </c>
      <c r="B103" s="102" t="s">
        <v>1536</v>
      </c>
      <c r="C103" s="102" t="s">
        <v>1537</v>
      </c>
      <c r="D103" s="103">
        <v>39125</v>
      </c>
      <c r="E103" s="102" t="s">
        <v>846</v>
      </c>
      <c r="F103" s="102">
        <v>12</v>
      </c>
      <c r="G103" s="102">
        <v>2</v>
      </c>
      <c r="H103" s="102">
        <v>2007</v>
      </c>
      <c r="I103" s="102" t="s">
        <v>1538</v>
      </c>
      <c r="J103" s="102" t="s">
        <v>1539</v>
      </c>
      <c r="K103" s="102" t="s">
        <v>1540</v>
      </c>
      <c r="L103" s="102">
        <v>44</v>
      </c>
      <c r="M103" s="102">
        <v>3</v>
      </c>
      <c r="N103" s="102">
        <v>0</v>
      </c>
      <c r="O103" s="102">
        <v>4</v>
      </c>
      <c r="P103" s="102">
        <v>0</v>
      </c>
      <c r="Q103" s="104">
        <v>0</v>
      </c>
      <c r="R103" s="102">
        <v>0</v>
      </c>
      <c r="S103" s="102" t="s">
        <v>853</v>
      </c>
      <c r="T103" s="102">
        <v>1</v>
      </c>
      <c r="U103" s="102">
        <v>1</v>
      </c>
      <c r="V103" s="102">
        <v>5</v>
      </c>
      <c r="W103" s="102">
        <v>4</v>
      </c>
      <c r="X103" s="102">
        <v>0</v>
      </c>
      <c r="Y103" s="102">
        <v>0</v>
      </c>
      <c r="Z103" s="102">
        <v>0</v>
      </c>
      <c r="AA103" s="102">
        <v>18</v>
      </c>
      <c r="AB103" s="102">
        <v>0</v>
      </c>
      <c r="AC103" s="102">
        <v>6</v>
      </c>
      <c r="AD103" s="102">
        <v>1</v>
      </c>
      <c r="AE103" s="102">
        <v>0</v>
      </c>
      <c r="AF103" s="102">
        <v>2</v>
      </c>
      <c r="AG103" s="102">
        <v>0</v>
      </c>
      <c r="AH103" s="102">
        <v>0</v>
      </c>
      <c r="AI103" s="102" t="s">
        <v>1541</v>
      </c>
      <c r="AJ103" s="102">
        <v>1</v>
      </c>
      <c r="AK103" s="102">
        <v>5</v>
      </c>
      <c r="AL103" s="102">
        <v>0</v>
      </c>
      <c r="AM103" s="102">
        <v>5</v>
      </c>
      <c r="AN103" s="102">
        <v>1</v>
      </c>
      <c r="AO103" s="102">
        <v>0</v>
      </c>
      <c r="AP103" s="102">
        <v>1</v>
      </c>
      <c r="AQ103" s="102">
        <v>0</v>
      </c>
      <c r="AR103" s="102">
        <v>0</v>
      </c>
      <c r="AS103" s="102" t="s">
        <v>853</v>
      </c>
      <c r="AT103" s="102">
        <v>1</v>
      </c>
      <c r="AU103" s="102" t="s">
        <v>1542</v>
      </c>
      <c r="AV103" s="102">
        <v>0</v>
      </c>
      <c r="AW103" s="102">
        <v>1</v>
      </c>
      <c r="AX103" s="102">
        <v>6</v>
      </c>
      <c r="AY103" s="102">
        <v>1</v>
      </c>
      <c r="AZ103" s="102">
        <v>4</v>
      </c>
      <c r="BA103" s="102">
        <v>0</v>
      </c>
      <c r="BB103" s="102">
        <v>0</v>
      </c>
      <c r="BC103" s="102">
        <v>0</v>
      </c>
      <c r="BD103" s="102">
        <v>0</v>
      </c>
      <c r="BE103" s="102">
        <v>0</v>
      </c>
      <c r="BF103" s="102">
        <v>0</v>
      </c>
      <c r="BG103" s="102">
        <v>0</v>
      </c>
      <c r="BH103" s="102">
        <v>0</v>
      </c>
      <c r="BI103" s="102">
        <v>0</v>
      </c>
      <c r="BJ103" s="102">
        <v>0</v>
      </c>
      <c r="BK103" s="102">
        <v>1</v>
      </c>
      <c r="BL103" s="102">
        <v>0</v>
      </c>
      <c r="BM103" s="102">
        <v>0</v>
      </c>
      <c r="BN103" s="102">
        <v>0</v>
      </c>
      <c r="BO103" s="102">
        <v>0</v>
      </c>
      <c r="BP103" s="102">
        <v>1</v>
      </c>
      <c r="BQ103" s="102">
        <v>0</v>
      </c>
      <c r="BR103" s="102">
        <v>0</v>
      </c>
      <c r="BS103" s="102">
        <v>0</v>
      </c>
      <c r="BT103" s="102">
        <v>0</v>
      </c>
      <c r="BU103" s="102">
        <v>0</v>
      </c>
      <c r="BV103" s="102">
        <v>0</v>
      </c>
      <c r="BW103" s="102">
        <v>0</v>
      </c>
      <c r="BX103" s="102">
        <v>0</v>
      </c>
      <c r="BY103" s="102">
        <v>0</v>
      </c>
      <c r="BZ103" s="102">
        <v>0</v>
      </c>
      <c r="CA103" s="102">
        <v>0</v>
      </c>
      <c r="CB103" s="102">
        <v>0</v>
      </c>
      <c r="CC103" s="102" t="s">
        <v>853</v>
      </c>
      <c r="CD103" s="102"/>
      <c r="CE103" s="102">
        <v>0</v>
      </c>
      <c r="CF103" s="102">
        <v>0</v>
      </c>
      <c r="CG103" s="102">
        <v>0</v>
      </c>
      <c r="CH103" s="102">
        <v>0</v>
      </c>
      <c r="CI103" s="102">
        <v>0</v>
      </c>
      <c r="CJ103" s="102">
        <v>0</v>
      </c>
      <c r="CK103" s="102">
        <v>0</v>
      </c>
      <c r="CL103" s="102">
        <v>0</v>
      </c>
      <c r="CM103" s="102">
        <v>0</v>
      </c>
      <c r="CN103" s="102">
        <v>2</v>
      </c>
      <c r="CO103" s="102">
        <v>0</v>
      </c>
      <c r="CP103" s="102">
        <v>0</v>
      </c>
      <c r="CQ103" s="102">
        <v>1</v>
      </c>
      <c r="CR103" s="102">
        <v>1</v>
      </c>
      <c r="CS103" s="102">
        <v>0</v>
      </c>
      <c r="CT103" s="102" t="s">
        <v>853</v>
      </c>
      <c r="CU103" s="102">
        <v>0</v>
      </c>
      <c r="CV103" s="102">
        <v>3</v>
      </c>
      <c r="CW103" s="102">
        <v>0</v>
      </c>
      <c r="CX103" s="102">
        <v>0</v>
      </c>
      <c r="CY103" s="102">
        <v>0</v>
      </c>
      <c r="CZ103" s="102">
        <v>0</v>
      </c>
      <c r="DA103" s="102" t="s">
        <v>853</v>
      </c>
      <c r="DB103" s="102">
        <v>0</v>
      </c>
      <c r="DC103" s="102">
        <v>1</v>
      </c>
      <c r="DD103" s="102">
        <v>0</v>
      </c>
      <c r="DE103" s="102">
        <v>0</v>
      </c>
      <c r="DF103" s="102">
        <v>0</v>
      </c>
      <c r="DG103" s="102">
        <v>0</v>
      </c>
      <c r="DH103" s="102">
        <v>0</v>
      </c>
      <c r="DI103" s="102">
        <v>0</v>
      </c>
      <c r="DJ103" s="102">
        <v>0</v>
      </c>
      <c r="DK103" s="102">
        <v>0</v>
      </c>
      <c r="DL103" s="102">
        <v>0</v>
      </c>
      <c r="DM103" s="102">
        <v>0</v>
      </c>
      <c r="DN103" s="102">
        <v>0</v>
      </c>
      <c r="DO103" s="102">
        <v>1</v>
      </c>
      <c r="DP103" s="102">
        <v>0</v>
      </c>
      <c r="DQ103" s="102">
        <v>0</v>
      </c>
      <c r="DR103" s="102">
        <v>1</v>
      </c>
      <c r="DS103" s="102">
        <v>0</v>
      </c>
      <c r="DT103" s="105" t="s">
        <v>1067</v>
      </c>
      <c r="DU103" s="102">
        <v>0</v>
      </c>
      <c r="DV103" s="102">
        <v>0</v>
      </c>
      <c r="DW103" s="102">
        <v>0</v>
      </c>
      <c r="DX103" s="102" t="s">
        <v>853</v>
      </c>
      <c r="DY103" s="102">
        <v>0</v>
      </c>
      <c r="DZ103" s="102">
        <v>0</v>
      </c>
      <c r="EA103" s="102" t="s">
        <v>853</v>
      </c>
      <c r="EB103" s="102">
        <v>0</v>
      </c>
      <c r="EC103" s="102">
        <v>0</v>
      </c>
      <c r="ED103" s="102">
        <v>0</v>
      </c>
      <c r="EE103" s="102">
        <v>1</v>
      </c>
      <c r="EF103" s="102">
        <v>2</v>
      </c>
      <c r="EG103" s="102">
        <v>0</v>
      </c>
      <c r="EH103" s="102" t="s">
        <v>853</v>
      </c>
      <c r="EI103" s="102">
        <v>1</v>
      </c>
      <c r="EJ103" s="102">
        <v>0</v>
      </c>
      <c r="EK103" s="102">
        <v>2</v>
      </c>
      <c r="EL103" s="102">
        <v>0</v>
      </c>
      <c r="EM103" s="102"/>
    </row>
    <row r="104" spans="1:143" ht="15.75" customHeight="1" x14ac:dyDescent="0.55000000000000004">
      <c r="A104" s="99">
        <v>102</v>
      </c>
      <c r="B104" s="102" t="s">
        <v>1543</v>
      </c>
      <c r="C104" s="102" t="s">
        <v>1544</v>
      </c>
      <c r="D104" s="103">
        <v>39188</v>
      </c>
      <c r="E104" s="102" t="s">
        <v>846</v>
      </c>
      <c r="F104" s="102">
        <v>16</v>
      </c>
      <c r="G104" s="102">
        <v>4</v>
      </c>
      <c r="H104" s="102">
        <v>2007</v>
      </c>
      <c r="I104" s="102" t="s">
        <v>1545</v>
      </c>
      <c r="J104" s="102" t="s">
        <v>1546</v>
      </c>
      <c r="K104" s="102" t="s">
        <v>1547</v>
      </c>
      <c r="L104" s="102">
        <v>46</v>
      </c>
      <c r="M104" s="102">
        <v>0</v>
      </c>
      <c r="N104" s="102">
        <v>2</v>
      </c>
      <c r="O104" s="102">
        <v>1</v>
      </c>
      <c r="P104" s="102">
        <v>1</v>
      </c>
      <c r="Q104" s="104">
        <v>0</v>
      </c>
      <c r="R104" s="102">
        <v>1</v>
      </c>
      <c r="S104" s="102">
        <v>1</v>
      </c>
      <c r="T104" s="102">
        <v>0</v>
      </c>
      <c r="U104" s="102">
        <v>0</v>
      </c>
      <c r="V104" s="102">
        <v>32</v>
      </c>
      <c r="W104" s="102">
        <v>26</v>
      </c>
      <c r="X104" s="102">
        <v>0</v>
      </c>
      <c r="Y104" s="102">
        <v>0</v>
      </c>
      <c r="Z104" s="102">
        <v>0</v>
      </c>
      <c r="AA104" s="102">
        <v>23</v>
      </c>
      <c r="AB104" s="102">
        <v>0</v>
      </c>
      <c r="AC104" s="102">
        <v>3</v>
      </c>
      <c r="AD104" s="102">
        <v>1</v>
      </c>
      <c r="AE104" s="102">
        <v>0</v>
      </c>
      <c r="AF104" s="102">
        <v>0</v>
      </c>
      <c r="AG104" s="102">
        <v>2</v>
      </c>
      <c r="AH104" s="102">
        <v>1</v>
      </c>
      <c r="AI104" s="102" t="s">
        <v>1548</v>
      </c>
      <c r="AJ104" s="102">
        <v>3</v>
      </c>
      <c r="AK104" s="102">
        <v>1</v>
      </c>
      <c r="AL104" s="102">
        <v>1</v>
      </c>
      <c r="AM104" s="102">
        <v>0</v>
      </c>
      <c r="AN104" s="102">
        <v>0</v>
      </c>
      <c r="AO104" s="102">
        <v>0</v>
      </c>
      <c r="AP104" s="102">
        <v>0</v>
      </c>
      <c r="AQ104" s="102"/>
      <c r="AR104" s="102">
        <v>0</v>
      </c>
      <c r="AS104" s="102" t="s">
        <v>853</v>
      </c>
      <c r="AT104" s="102">
        <v>0</v>
      </c>
      <c r="AU104" s="102"/>
      <c r="AV104" s="102">
        <v>1</v>
      </c>
      <c r="AW104" s="102">
        <v>0</v>
      </c>
      <c r="AX104" s="102">
        <v>0</v>
      </c>
      <c r="AY104" s="102">
        <v>0</v>
      </c>
      <c r="AZ104" s="102">
        <v>0</v>
      </c>
      <c r="BA104" s="102">
        <v>0</v>
      </c>
      <c r="BB104" s="102">
        <v>0</v>
      </c>
      <c r="BC104" s="102">
        <v>0</v>
      </c>
      <c r="BD104" s="102">
        <v>0</v>
      </c>
      <c r="BE104" s="102">
        <v>1</v>
      </c>
      <c r="BF104" s="102">
        <v>0</v>
      </c>
      <c r="BG104" s="102">
        <v>0</v>
      </c>
      <c r="BH104" s="102">
        <v>0</v>
      </c>
      <c r="BI104" s="102">
        <v>2</v>
      </c>
      <c r="BJ104" s="102">
        <v>0</v>
      </c>
      <c r="BK104" s="102">
        <v>1</v>
      </c>
      <c r="BL104" s="102">
        <v>0</v>
      </c>
      <c r="BM104" s="102">
        <v>0</v>
      </c>
      <c r="BN104" s="102">
        <v>0</v>
      </c>
      <c r="BO104" s="102">
        <v>0</v>
      </c>
      <c r="BP104" s="102">
        <v>1</v>
      </c>
      <c r="BQ104" s="102">
        <v>0</v>
      </c>
      <c r="BR104" s="102">
        <v>0</v>
      </c>
      <c r="BS104" s="102">
        <v>0</v>
      </c>
      <c r="BT104" s="102">
        <v>0</v>
      </c>
      <c r="BU104" s="102">
        <v>0</v>
      </c>
      <c r="BV104" s="102">
        <v>0</v>
      </c>
      <c r="BW104" s="102">
        <v>0</v>
      </c>
      <c r="BX104" s="102">
        <v>0</v>
      </c>
      <c r="BY104" s="102">
        <v>0</v>
      </c>
      <c r="BZ104" s="102">
        <v>0</v>
      </c>
      <c r="CA104" s="102">
        <v>0</v>
      </c>
      <c r="CB104" s="102">
        <v>1</v>
      </c>
      <c r="CC104" s="102">
        <v>3</v>
      </c>
      <c r="CD104" s="102" t="s">
        <v>1549</v>
      </c>
      <c r="CE104" s="102">
        <v>1</v>
      </c>
      <c r="CF104" s="102">
        <v>1</v>
      </c>
      <c r="CG104" s="102">
        <v>0</v>
      </c>
      <c r="CH104" s="102">
        <v>0</v>
      </c>
      <c r="CI104" s="102">
        <v>1</v>
      </c>
      <c r="CJ104" s="102">
        <v>1</v>
      </c>
      <c r="CK104" s="102">
        <v>1</v>
      </c>
      <c r="CL104" s="102">
        <v>1</v>
      </c>
      <c r="CM104" s="102">
        <v>0</v>
      </c>
      <c r="CN104" s="102">
        <v>1</v>
      </c>
      <c r="CO104" s="102">
        <v>1</v>
      </c>
      <c r="CP104" s="102">
        <v>2</v>
      </c>
      <c r="CQ104" s="102">
        <v>1</v>
      </c>
      <c r="CR104" s="102" t="s">
        <v>937</v>
      </c>
      <c r="CS104" s="102">
        <v>1</v>
      </c>
      <c r="CT104" s="102" t="s">
        <v>1550</v>
      </c>
      <c r="CU104" s="102">
        <v>0</v>
      </c>
      <c r="CV104" s="102" t="s">
        <v>937</v>
      </c>
      <c r="CW104" s="102">
        <v>2</v>
      </c>
      <c r="CX104" s="102">
        <v>1</v>
      </c>
      <c r="CY104" s="102">
        <v>0</v>
      </c>
      <c r="CZ104" s="102">
        <v>1</v>
      </c>
      <c r="DA104" s="102" t="s">
        <v>1551</v>
      </c>
      <c r="DB104" s="102">
        <v>0</v>
      </c>
      <c r="DC104" s="102">
        <v>2</v>
      </c>
      <c r="DD104" s="102">
        <v>0</v>
      </c>
      <c r="DE104" s="102">
        <v>0</v>
      </c>
      <c r="DF104" s="102">
        <v>0</v>
      </c>
      <c r="DG104" s="102">
        <v>0</v>
      </c>
      <c r="DH104" s="102">
        <v>0</v>
      </c>
      <c r="DI104" s="102">
        <v>0</v>
      </c>
      <c r="DJ104" s="102">
        <v>0</v>
      </c>
      <c r="DK104" s="102">
        <v>0</v>
      </c>
      <c r="DL104" s="102">
        <v>0</v>
      </c>
      <c r="DM104" s="102">
        <v>0</v>
      </c>
      <c r="DN104" s="102">
        <v>2</v>
      </c>
      <c r="DO104" s="102">
        <v>0</v>
      </c>
      <c r="DP104" s="102">
        <v>2</v>
      </c>
      <c r="DQ104" s="102">
        <v>1</v>
      </c>
      <c r="DR104" s="102">
        <v>1</v>
      </c>
      <c r="DS104" s="102">
        <v>2</v>
      </c>
      <c r="DT104" s="105" t="s">
        <v>1218</v>
      </c>
      <c r="DU104" s="102">
        <v>0</v>
      </c>
      <c r="DV104" s="102">
        <v>1</v>
      </c>
      <c r="DW104" s="102">
        <v>1</v>
      </c>
      <c r="DX104" s="102" t="s">
        <v>1552</v>
      </c>
      <c r="DY104" s="102">
        <v>1</v>
      </c>
      <c r="DZ104" s="102">
        <v>1</v>
      </c>
      <c r="EA104" s="102" t="s">
        <v>1553</v>
      </c>
      <c r="EB104" s="102">
        <v>1</v>
      </c>
      <c r="EC104" s="102">
        <v>1</v>
      </c>
      <c r="ED104" s="102">
        <v>0</v>
      </c>
      <c r="EE104" s="102">
        <v>1</v>
      </c>
      <c r="EF104" s="102">
        <v>2</v>
      </c>
      <c r="EG104" s="102">
        <v>1</v>
      </c>
      <c r="EH104" s="102" t="s">
        <v>1554</v>
      </c>
      <c r="EI104" s="102">
        <v>0</v>
      </c>
      <c r="EJ104" s="102">
        <v>0</v>
      </c>
      <c r="EK104" s="102">
        <v>2</v>
      </c>
      <c r="EL104" s="102">
        <v>0</v>
      </c>
      <c r="EM104" s="102"/>
    </row>
    <row r="105" spans="1:143" ht="15.75" customHeight="1" x14ac:dyDescent="0.55000000000000004">
      <c r="A105" s="99">
        <v>103</v>
      </c>
      <c r="B105" s="102" t="s">
        <v>1555</v>
      </c>
      <c r="C105" s="102" t="s">
        <v>859</v>
      </c>
      <c r="D105" s="103">
        <v>39421</v>
      </c>
      <c r="E105" s="102" t="s">
        <v>891</v>
      </c>
      <c r="F105" s="102">
        <v>5</v>
      </c>
      <c r="G105" s="102">
        <v>12</v>
      </c>
      <c r="H105" s="102">
        <v>2007</v>
      </c>
      <c r="I105" s="102" t="s">
        <v>1556</v>
      </c>
      <c r="J105" s="102" t="s">
        <v>1557</v>
      </c>
      <c r="K105" s="102" t="s">
        <v>1558</v>
      </c>
      <c r="L105" s="102">
        <v>27</v>
      </c>
      <c r="M105" s="102">
        <v>1</v>
      </c>
      <c r="N105" s="102">
        <v>0</v>
      </c>
      <c r="O105" s="102">
        <v>4</v>
      </c>
      <c r="P105" s="102">
        <v>0</v>
      </c>
      <c r="Q105" s="104">
        <v>0</v>
      </c>
      <c r="R105" s="102">
        <v>0</v>
      </c>
      <c r="S105" s="102" t="s">
        <v>853</v>
      </c>
      <c r="T105" s="102">
        <v>0</v>
      </c>
      <c r="U105" s="102">
        <v>0</v>
      </c>
      <c r="V105" s="102">
        <v>8</v>
      </c>
      <c r="W105" s="102">
        <v>5</v>
      </c>
      <c r="X105" s="102">
        <v>0</v>
      </c>
      <c r="Y105" s="102">
        <v>0</v>
      </c>
      <c r="Z105" s="102">
        <v>0</v>
      </c>
      <c r="AA105" s="102">
        <v>19</v>
      </c>
      <c r="AB105" s="102">
        <v>0</v>
      </c>
      <c r="AC105" s="102">
        <v>0</v>
      </c>
      <c r="AD105" s="102">
        <v>0</v>
      </c>
      <c r="AE105" s="102">
        <v>0</v>
      </c>
      <c r="AF105" s="102"/>
      <c r="AG105" s="102">
        <v>1</v>
      </c>
      <c r="AH105" s="102">
        <v>0</v>
      </c>
      <c r="AI105" s="102" t="s">
        <v>1043</v>
      </c>
      <c r="AJ105" s="102">
        <v>2</v>
      </c>
      <c r="AK105" s="102">
        <v>3</v>
      </c>
      <c r="AL105" s="102">
        <v>1</v>
      </c>
      <c r="AM105" s="102">
        <v>2</v>
      </c>
      <c r="AN105" s="102">
        <v>0</v>
      </c>
      <c r="AO105" s="102">
        <v>0</v>
      </c>
      <c r="AP105" s="102">
        <v>0</v>
      </c>
      <c r="AQ105" s="102">
        <v>0</v>
      </c>
      <c r="AR105" s="102">
        <v>0</v>
      </c>
      <c r="AS105" s="102" t="s">
        <v>853</v>
      </c>
      <c r="AT105" s="102">
        <v>0</v>
      </c>
      <c r="AU105" s="102"/>
      <c r="AV105" s="102">
        <v>1</v>
      </c>
      <c r="AW105" s="102">
        <v>1</v>
      </c>
      <c r="AX105" s="102">
        <v>0</v>
      </c>
      <c r="AY105" s="102" t="s">
        <v>1559</v>
      </c>
      <c r="AZ105" s="102">
        <v>4</v>
      </c>
      <c r="BA105" s="102">
        <v>1</v>
      </c>
      <c r="BB105" s="102">
        <v>0</v>
      </c>
      <c r="BC105" s="102">
        <v>2</v>
      </c>
      <c r="BD105" s="102">
        <v>3</v>
      </c>
      <c r="BE105" s="102">
        <v>0</v>
      </c>
      <c r="BF105" s="102">
        <v>0</v>
      </c>
      <c r="BG105" s="102">
        <v>0</v>
      </c>
      <c r="BH105" s="102">
        <v>0</v>
      </c>
      <c r="BI105" s="102">
        <v>2</v>
      </c>
      <c r="BJ105" s="102">
        <v>1</v>
      </c>
      <c r="BK105" s="102">
        <v>0</v>
      </c>
      <c r="BL105" s="102">
        <v>0</v>
      </c>
      <c r="BM105" s="102">
        <v>1</v>
      </c>
      <c r="BN105" s="102">
        <v>0</v>
      </c>
      <c r="BO105" s="102">
        <v>0</v>
      </c>
      <c r="BP105" s="102">
        <v>1</v>
      </c>
      <c r="BQ105" s="102">
        <v>1</v>
      </c>
      <c r="BR105" s="102">
        <v>1</v>
      </c>
      <c r="BS105" s="102">
        <v>1</v>
      </c>
      <c r="BT105" s="102">
        <v>0</v>
      </c>
      <c r="BU105" s="102">
        <v>1</v>
      </c>
      <c r="BV105" s="102">
        <v>0</v>
      </c>
      <c r="BW105" s="102">
        <v>0</v>
      </c>
      <c r="BX105" s="102">
        <v>0</v>
      </c>
      <c r="BY105" s="102">
        <v>0</v>
      </c>
      <c r="BZ105" s="102">
        <v>0</v>
      </c>
      <c r="CA105" s="102" t="s">
        <v>937</v>
      </c>
      <c r="CB105" s="102">
        <v>1</v>
      </c>
      <c r="CC105" s="102">
        <v>3</v>
      </c>
      <c r="CD105" s="102" t="s">
        <v>1560</v>
      </c>
      <c r="CE105" s="102">
        <v>1</v>
      </c>
      <c r="CF105" s="102">
        <v>1</v>
      </c>
      <c r="CG105" s="102">
        <v>0</v>
      </c>
      <c r="CH105" s="102">
        <v>1</v>
      </c>
      <c r="CI105" s="102">
        <v>1</v>
      </c>
      <c r="CJ105" s="102">
        <v>1</v>
      </c>
      <c r="CK105" s="102">
        <v>1</v>
      </c>
      <c r="CL105" s="102">
        <v>0</v>
      </c>
      <c r="CM105" s="102">
        <v>0</v>
      </c>
      <c r="CN105" s="102">
        <v>1</v>
      </c>
      <c r="CO105" s="102">
        <v>1</v>
      </c>
      <c r="CP105" s="102">
        <v>2</v>
      </c>
      <c r="CQ105" s="102">
        <v>1</v>
      </c>
      <c r="CR105" s="102">
        <v>2</v>
      </c>
      <c r="CS105" s="102">
        <v>1</v>
      </c>
      <c r="CT105" s="102" t="s">
        <v>1561</v>
      </c>
      <c r="CU105" s="102">
        <v>0</v>
      </c>
      <c r="CV105" s="102" t="s">
        <v>937</v>
      </c>
      <c r="CW105" s="102">
        <v>0</v>
      </c>
      <c r="CX105" s="102">
        <v>0</v>
      </c>
      <c r="CY105" s="102" t="s">
        <v>937</v>
      </c>
      <c r="CZ105" s="102">
        <v>0</v>
      </c>
      <c r="DA105" s="102" t="s">
        <v>853</v>
      </c>
      <c r="DB105" s="102">
        <v>0</v>
      </c>
      <c r="DC105" s="102">
        <v>1</v>
      </c>
      <c r="DD105" s="102">
        <v>0</v>
      </c>
      <c r="DE105" s="102">
        <v>0</v>
      </c>
      <c r="DF105" s="102">
        <v>0</v>
      </c>
      <c r="DG105" s="102">
        <v>0</v>
      </c>
      <c r="DH105" s="102">
        <v>0</v>
      </c>
      <c r="DI105" s="102">
        <v>0</v>
      </c>
      <c r="DJ105" s="102">
        <v>0</v>
      </c>
      <c r="DK105" s="102">
        <v>0</v>
      </c>
      <c r="DL105" s="102">
        <v>0</v>
      </c>
      <c r="DM105" s="102">
        <v>1</v>
      </c>
      <c r="DN105" s="102">
        <v>1</v>
      </c>
      <c r="DO105" s="102">
        <v>0</v>
      </c>
      <c r="DP105" s="102">
        <v>0</v>
      </c>
      <c r="DQ105" s="102">
        <v>0</v>
      </c>
      <c r="DR105" s="102">
        <v>1</v>
      </c>
      <c r="DS105" s="102">
        <v>0</v>
      </c>
      <c r="DT105" s="105" t="s">
        <v>1080</v>
      </c>
      <c r="DU105" s="102">
        <v>0</v>
      </c>
      <c r="DV105" s="102">
        <v>0</v>
      </c>
      <c r="DW105" s="102">
        <v>1</v>
      </c>
      <c r="DX105" s="102" t="s">
        <v>1562</v>
      </c>
      <c r="DY105" s="102">
        <v>1</v>
      </c>
      <c r="DZ105" s="102">
        <v>0</v>
      </c>
      <c r="EA105" s="102" t="s">
        <v>853</v>
      </c>
      <c r="EB105" s="102">
        <v>0</v>
      </c>
      <c r="EC105" s="102">
        <v>1</v>
      </c>
      <c r="ED105" s="102">
        <v>0</v>
      </c>
      <c r="EE105" s="102">
        <v>1</v>
      </c>
      <c r="EF105" s="102">
        <v>1</v>
      </c>
      <c r="EG105" s="102">
        <v>0</v>
      </c>
      <c r="EH105" s="102" t="s">
        <v>853</v>
      </c>
      <c r="EI105" s="102">
        <v>0</v>
      </c>
      <c r="EJ105" s="102">
        <v>0</v>
      </c>
      <c r="EK105" s="102">
        <v>2</v>
      </c>
      <c r="EL105" s="102">
        <v>0</v>
      </c>
      <c r="EM105" s="102"/>
    </row>
    <row r="106" spans="1:143" ht="15.75" customHeight="1" x14ac:dyDescent="0.55000000000000004">
      <c r="A106" s="99">
        <v>104</v>
      </c>
      <c r="B106" s="102" t="s">
        <v>1563</v>
      </c>
      <c r="C106" s="102" t="s">
        <v>1302</v>
      </c>
      <c r="D106" s="103">
        <v>39425</v>
      </c>
      <c r="E106" s="102" t="s">
        <v>914</v>
      </c>
      <c r="F106" s="102">
        <v>9</v>
      </c>
      <c r="G106" s="102">
        <v>12</v>
      </c>
      <c r="H106" s="102">
        <v>2007</v>
      </c>
      <c r="I106" s="102" t="s">
        <v>1564</v>
      </c>
      <c r="J106" s="102" t="s">
        <v>1565</v>
      </c>
      <c r="K106" s="102" t="s">
        <v>1237</v>
      </c>
      <c r="L106" s="102">
        <v>6</v>
      </c>
      <c r="M106" s="102">
        <v>3</v>
      </c>
      <c r="N106" s="102">
        <v>1</v>
      </c>
      <c r="O106" s="102">
        <v>3</v>
      </c>
      <c r="P106" s="102">
        <v>1</v>
      </c>
      <c r="Q106" s="104">
        <v>0</v>
      </c>
      <c r="R106" s="102">
        <v>1</v>
      </c>
      <c r="S106" s="102">
        <v>3</v>
      </c>
      <c r="T106" s="102">
        <v>1</v>
      </c>
      <c r="U106" s="102">
        <v>1</v>
      </c>
      <c r="V106" s="102">
        <v>4</v>
      </c>
      <c r="W106" s="102">
        <v>5</v>
      </c>
      <c r="X106" s="102">
        <v>0</v>
      </c>
      <c r="Y106" s="102">
        <v>0</v>
      </c>
      <c r="Z106" s="102">
        <v>0</v>
      </c>
      <c r="AA106" s="102">
        <v>24</v>
      </c>
      <c r="AB106" s="102">
        <v>0</v>
      </c>
      <c r="AC106" s="102">
        <v>0</v>
      </c>
      <c r="AD106" s="102">
        <v>0</v>
      </c>
      <c r="AE106" s="102">
        <v>0</v>
      </c>
      <c r="AF106" s="102">
        <v>0</v>
      </c>
      <c r="AG106" s="102">
        <v>2</v>
      </c>
      <c r="AH106" s="102"/>
      <c r="AI106" s="102"/>
      <c r="AJ106" s="102">
        <v>2</v>
      </c>
      <c r="AK106" s="102">
        <v>2</v>
      </c>
      <c r="AL106" s="102">
        <v>1</v>
      </c>
      <c r="AM106" s="102">
        <v>1</v>
      </c>
      <c r="AN106" s="102">
        <v>0</v>
      </c>
      <c r="AO106" s="102">
        <v>0</v>
      </c>
      <c r="AP106" s="102">
        <v>0</v>
      </c>
      <c r="AQ106" s="102">
        <v>0</v>
      </c>
      <c r="AR106" s="102">
        <v>0</v>
      </c>
      <c r="AS106" s="102" t="s">
        <v>853</v>
      </c>
      <c r="AT106" s="102">
        <v>0</v>
      </c>
      <c r="AU106" s="102"/>
      <c r="AV106" s="102">
        <v>0</v>
      </c>
      <c r="AW106" s="102">
        <v>0</v>
      </c>
      <c r="AX106" s="102">
        <v>0</v>
      </c>
      <c r="AY106" s="102">
        <v>6</v>
      </c>
      <c r="AZ106" s="102">
        <v>0</v>
      </c>
      <c r="BA106" s="102">
        <v>2</v>
      </c>
      <c r="BB106" s="102">
        <v>0</v>
      </c>
      <c r="BC106" s="102">
        <v>0</v>
      </c>
      <c r="BD106" s="102">
        <v>0</v>
      </c>
      <c r="BE106" s="102">
        <v>1</v>
      </c>
      <c r="BF106" s="102">
        <v>0</v>
      </c>
      <c r="BG106" s="102">
        <v>0</v>
      </c>
      <c r="BH106" s="102">
        <v>0</v>
      </c>
      <c r="BI106" s="102">
        <v>2</v>
      </c>
      <c r="BJ106" s="102">
        <v>0</v>
      </c>
      <c r="BK106" s="102">
        <v>0</v>
      </c>
      <c r="BL106" s="102">
        <v>0</v>
      </c>
      <c r="BM106" s="102">
        <v>0</v>
      </c>
      <c r="BN106" s="102">
        <v>0</v>
      </c>
      <c r="BO106" s="102">
        <v>0</v>
      </c>
      <c r="BP106" s="102">
        <v>1</v>
      </c>
      <c r="BQ106" s="102">
        <v>1</v>
      </c>
      <c r="BR106" s="102">
        <v>0</v>
      </c>
      <c r="BS106" s="102">
        <v>1</v>
      </c>
      <c r="BT106" s="102">
        <v>0</v>
      </c>
      <c r="BU106" s="102">
        <v>2</v>
      </c>
      <c r="BV106" s="102">
        <v>0</v>
      </c>
      <c r="BW106" s="102">
        <v>0</v>
      </c>
      <c r="BX106" s="102">
        <v>0</v>
      </c>
      <c r="BY106" s="102">
        <v>0</v>
      </c>
      <c r="BZ106" s="102">
        <v>0</v>
      </c>
      <c r="CA106" s="102">
        <v>2</v>
      </c>
      <c r="CB106" s="102">
        <v>1</v>
      </c>
      <c r="CC106" s="102">
        <v>1</v>
      </c>
      <c r="CD106" s="102" t="s">
        <v>1566</v>
      </c>
      <c r="CE106" s="102">
        <v>0</v>
      </c>
      <c r="CF106" s="102">
        <v>0</v>
      </c>
      <c r="CG106" s="102">
        <v>0</v>
      </c>
      <c r="CH106" s="102">
        <v>0</v>
      </c>
      <c r="CI106" s="102">
        <v>1</v>
      </c>
      <c r="CJ106" s="102">
        <v>1</v>
      </c>
      <c r="CK106" s="102">
        <v>0</v>
      </c>
      <c r="CL106" s="102">
        <v>0</v>
      </c>
      <c r="CM106" s="102">
        <v>0</v>
      </c>
      <c r="CN106" s="102">
        <v>1</v>
      </c>
      <c r="CO106" s="102">
        <v>0</v>
      </c>
      <c r="CP106" s="102">
        <v>0</v>
      </c>
      <c r="CQ106" s="102">
        <v>1</v>
      </c>
      <c r="CR106" s="102">
        <v>1</v>
      </c>
      <c r="CS106" s="102">
        <v>1</v>
      </c>
      <c r="CT106" s="102" t="s">
        <v>1131</v>
      </c>
      <c r="CU106" s="102">
        <v>1</v>
      </c>
      <c r="CV106" s="102">
        <v>1</v>
      </c>
      <c r="CW106" s="102">
        <v>0</v>
      </c>
      <c r="CX106" s="102">
        <v>0</v>
      </c>
      <c r="CY106" s="102">
        <v>0</v>
      </c>
      <c r="CZ106" s="102">
        <v>0</v>
      </c>
      <c r="DA106" s="102" t="s">
        <v>853</v>
      </c>
      <c r="DB106" s="102">
        <v>0</v>
      </c>
      <c r="DC106" s="102">
        <v>3</v>
      </c>
      <c r="DD106" s="102">
        <v>0</v>
      </c>
      <c r="DE106" s="102">
        <v>3</v>
      </c>
      <c r="DF106" s="102">
        <v>0</v>
      </c>
      <c r="DG106" s="102">
        <v>0</v>
      </c>
      <c r="DH106" s="102">
        <v>0</v>
      </c>
      <c r="DI106" s="102">
        <v>0</v>
      </c>
      <c r="DJ106" s="102">
        <v>0</v>
      </c>
      <c r="DK106" s="102">
        <v>0</v>
      </c>
      <c r="DL106" s="102">
        <v>0</v>
      </c>
      <c r="DM106" s="102">
        <v>0</v>
      </c>
      <c r="DN106" s="102">
        <v>0</v>
      </c>
      <c r="DO106" s="102">
        <v>0</v>
      </c>
      <c r="DP106" s="102">
        <v>0</v>
      </c>
      <c r="DQ106" s="102">
        <v>0</v>
      </c>
      <c r="DR106" s="102">
        <v>1</v>
      </c>
      <c r="DS106" s="102">
        <v>1</v>
      </c>
      <c r="DT106" s="105" t="s">
        <v>1080</v>
      </c>
      <c r="DU106" s="102">
        <v>0</v>
      </c>
      <c r="DV106" s="102">
        <v>1</v>
      </c>
      <c r="DW106" s="102">
        <v>1</v>
      </c>
      <c r="DX106" s="102" t="s">
        <v>1567</v>
      </c>
      <c r="DY106" s="102">
        <v>1</v>
      </c>
      <c r="DZ106" s="102">
        <v>2</v>
      </c>
      <c r="EA106" s="102" t="s">
        <v>1568</v>
      </c>
      <c r="EB106" s="102">
        <v>1</v>
      </c>
      <c r="EC106" s="102">
        <v>0</v>
      </c>
      <c r="ED106" s="102">
        <v>1</v>
      </c>
      <c r="EE106" s="102">
        <v>2</v>
      </c>
      <c r="EF106" s="102">
        <v>4</v>
      </c>
      <c r="EG106" s="102">
        <v>1</v>
      </c>
      <c r="EH106" s="102" t="s">
        <v>1569</v>
      </c>
      <c r="EI106" s="102">
        <v>0</v>
      </c>
      <c r="EJ106" s="102">
        <v>0</v>
      </c>
      <c r="EK106" s="102">
        <v>2</v>
      </c>
      <c r="EL106" s="102">
        <v>0</v>
      </c>
      <c r="EM106" s="102"/>
    </row>
    <row r="107" spans="1:143" ht="15.75" customHeight="1" x14ac:dyDescent="0.55000000000000004">
      <c r="A107" s="99">
        <v>105</v>
      </c>
      <c r="B107" s="102" t="s">
        <v>1570</v>
      </c>
      <c r="C107" s="102" t="s">
        <v>845</v>
      </c>
      <c r="D107" s="103">
        <v>39485</v>
      </c>
      <c r="E107" s="102" t="s">
        <v>995</v>
      </c>
      <c r="F107" s="102">
        <v>7</v>
      </c>
      <c r="G107" s="102">
        <v>2</v>
      </c>
      <c r="H107" s="102">
        <v>2008</v>
      </c>
      <c r="I107" s="102" t="s">
        <v>1571</v>
      </c>
      <c r="J107" s="102" t="s">
        <v>1572</v>
      </c>
      <c r="K107" s="102" t="s">
        <v>1573</v>
      </c>
      <c r="L107" s="102">
        <v>25</v>
      </c>
      <c r="M107" s="102">
        <v>1</v>
      </c>
      <c r="N107" s="102">
        <v>1</v>
      </c>
      <c r="O107" s="102">
        <v>2</v>
      </c>
      <c r="P107" s="102">
        <v>0</v>
      </c>
      <c r="Q107" s="104">
        <v>0</v>
      </c>
      <c r="R107" s="102">
        <v>0</v>
      </c>
      <c r="S107" s="102" t="s">
        <v>853</v>
      </c>
      <c r="T107" s="102">
        <v>1</v>
      </c>
      <c r="U107" s="102">
        <v>1</v>
      </c>
      <c r="V107" s="102">
        <v>6</v>
      </c>
      <c r="W107" s="102">
        <v>1</v>
      </c>
      <c r="X107" s="102">
        <v>0</v>
      </c>
      <c r="Y107" s="102">
        <v>0</v>
      </c>
      <c r="Z107" s="102" t="s">
        <v>1574</v>
      </c>
      <c r="AA107" s="102">
        <v>52</v>
      </c>
      <c r="AB107" s="102">
        <v>0</v>
      </c>
      <c r="AC107" s="102">
        <v>1</v>
      </c>
      <c r="AD107" s="102">
        <v>0</v>
      </c>
      <c r="AE107" s="102">
        <v>0</v>
      </c>
      <c r="AF107" s="102">
        <v>1</v>
      </c>
      <c r="AG107" s="102">
        <v>3</v>
      </c>
      <c r="AH107" s="102">
        <v>1</v>
      </c>
      <c r="AI107" s="102" t="s">
        <v>1575</v>
      </c>
      <c r="AJ107" s="102">
        <v>2</v>
      </c>
      <c r="AK107" s="102">
        <v>8</v>
      </c>
      <c r="AL107" s="102"/>
      <c r="AM107" s="102"/>
      <c r="AN107" s="102">
        <v>2</v>
      </c>
      <c r="AO107" s="102">
        <v>1</v>
      </c>
      <c r="AP107" s="102">
        <v>1</v>
      </c>
      <c r="AQ107" s="102">
        <v>2</v>
      </c>
      <c r="AR107" s="102">
        <v>0</v>
      </c>
      <c r="AS107" s="102" t="s">
        <v>853</v>
      </c>
      <c r="AT107" s="102">
        <v>3</v>
      </c>
      <c r="AU107" s="102" t="s">
        <v>1576</v>
      </c>
      <c r="AV107" s="102">
        <v>1</v>
      </c>
      <c r="AW107" s="102">
        <v>1</v>
      </c>
      <c r="AX107" s="102">
        <v>0</v>
      </c>
      <c r="AY107" s="102" t="s">
        <v>1092</v>
      </c>
      <c r="AZ107" s="102">
        <v>4</v>
      </c>
      <c r="BA107" s="102">
        <v>0</v>
      </c>
      <c r="BB107" s="102">
        <v>0</v>
      </c>
      <c r="BC107" s="102">
        <v>0</v>
      </c>
      <c r="BD107" s="102">
        <v>0</v>
      </c>
      <c r="BE107" s="102">
        <v>0</v>
      </c>
      <c r="BF107" s="102">
        <v>0</v>
      </c>
      <c r="BG107" s="102">
        <v>0</v>
      </c>
      <c r="BH107" s="102">
        <v>0</v>
      </c>
      <c r="BI107" s="102">
        <v>0</v>
      </c>
      <c r="BJ107" s="102">
        <v>0</v>
      </c>
      <c r="BK107" s="102">
        <v>0</v>
      </c>
      <c r="BL107" s="102">
        <v>0</v>
      </c>
      <c r="BM107" s="102">
        <v>0</v>
      </c>
      <c r="BN107" s="102">
        <v>0</v>
      </c>
      <c r="BO107" s="102">
        <v>0</v>
      </c>
      <c r="BP107" s="102">
        <v>0</v>
      </c>
      <c r="BQ107" s="102">
        <v>0</v>
      </c>
      <c r="BR107" s="102">
        <v>0</v>
      </c>
      <c r="BS107" s="102">
        <v>0</v>
      </c>
      <c r="BT107" s="102">
        <v>0</v>
      </c>
      <c r="BU107" s="102">
        <v>1</v>
      </c>
      <c r="BV107" s="102">
        <v>0</v>
      </c>
      <c r="BW107" s="102">
        <v>0</v>
      </c>
      <c r="BX107" s="102">
        <v>0</v>
      </c>
      <c r="BY107" s="102">
        <v>0</v>
      </c>
      <c r="BZ107" s="102">
        <v>0</v>
      </c>
      <c r="CA107" s="102" t="s">
        <v>1050</v>
      </c>
      <c r="CB107" s="102">
        <v>1</v>
      </c>
      <c r="CC107" s="102">
        <v>3</v>
      </c>
      <c r="CD107" s="102" t="s">
        <v>1577</v>
      </c>
      <c r="CE107" s="102">
        <v>0</v>
      </c>
      <c r="CF107" s="102">
        <v>1</v>
      </c>
      <c r="CG107" s="102">
        <v>0</v>
      </c>
      <c r="CH107" s="102">
        <v>1</v>
      </c>
      <c r="CI107" s="102">
        <v>1</v>
      </c>
      <c r="CJ107" s="102">
        <v>1</v>
      </c>
      <c r="CK107" s="102">
        <v>0</v>
      </c>
      <c r="CL107" s="102">
        <v>1</v>
      </c>
      <c r="CM107" s="102">
        <v>0</v>
      </c>
      <c r="CN107" s="102">
        <v>2</v>
      </c>
      <c r="CO107" s="102">
        <v>0</v>
      </c>
      <c r="CP107" s="102">
        <v>0</v>
      </c>
      <c r="CQ107" s="102">
        <v>0</v>
      </c>
      <c r="CR107" s="102">
        <v>0</v>
      </c>
      <c r="CS107" s="102">
        <v>0</v>
      </c>
      <c r="CT107" s="102" t="s">
        <v>853</v>
      </c>
      <c r="CU107" s="102">
        <v>0</v>
      </c>
      <c r="CV107" s="102">
        <v>0</v>
      </c>
      <c r="CW107" s="102">
        <v>0</v>
      </c>
      <c r="CX107" s="102">
        <v>0</v>
      </c>
      <c r="CY107" s="102">
        <v>0</v>
      </c>
      <c r="CZ107" s="102">
        <v>0</v>
      </c>
      <c r="DA107" s="102" t="s">
        <v>853</v>
      </c>
      <c r="DB107" s="102">
        <v>0</v>
      </c>
      <c r="DC107" s="102">
        <v>0</v>
      </c>
      <c r="DD107" s="102">
        <v>0</v>
      </c>
      <c r="DE107" s="102">
        <v>0</v>
      </c>
      <c r="DF107" s="102">
        <v>0</v>
      </c>
      <c r="DG107" s="102">
        <v>0</v>
      </c>
      <c r="DH107" s="102">
        <v>0</v>
      </c>
      <c r="DI107" s="102">
        <v>1</v>
      </c>
      <c r="DJ107" s="102">
        <v>1</v>
      </c>
      <c r="DK107" s="102">
        <v>0</v>
      </c>
      <c r="DL107" s="102">
        <v>1</v>
      </c>
      <c r="DM107" s="102">
        <v>0</v>
      </c>
      <c r="DN107" s="102">
        <v>0</v>
      </c>
      <c r="DO107" s="102">
        <v>0</v>
      </c>
      <c r="DP107" s="102">
        <v>0</v>
      </c>
      <c r="DQ107" s="102">
        <v>0</v>
      </c>
      <c r="DR107" s="102">
        <v>1</v>
      </c>
      <c r="DS107" s="102">
        <v>0</v>
      </c>
      <c r="DT107" s="105" t="s">
        <v>1080</v>
      </c>
      <c r="DU107" s="102">
        <v>0</v>
      </c>
      <c r="DV107" s="102">
        <v>0</v>
      </c>
      <c r="DW107" s="102">
        <v>0</v>
      </c>
      <c r="DX107" s="102" t="s">
        <v>853</v>
      </c>
      <c r="DY107" s="102">
        <v>1</v>
      </c>
      <c r="DZ107" s="102">
        <v>0</v>
      </c>
      <c r="EA107" s="102" t="s">
        <v>853</v>
      </c>
      <c r="EB107" s="102">
        <v>0</v>
      </c>
      <c r="EC107" s="102">
        <v>0</v>
      </c>
      <c r="ED107" s="102">
        <v>0</v>
      </c>
      <c r="EE107" s="102">
        <v>0</v>
      </c>
      <c r="EF107" s="102">
        <v>1</v>
      </c>
      <c r="EG107" s="102">
        <v>0</v>
      </c>
      <c r="EH107" s="102" t="s">
        <v>853</v>
      </c>
      <c r="EI107" s="102">
        <v>1</v>
      </c>
      <c r="EJ107" s="102">
        <v>0</v>
      </c>
      <c r="EK107" s="102">
        <v>2</v>
      </c>
      <c r="EL107" s="102">
        <v>0</v>
      </c>
      <c r="EM107" s="102"/>
    </row>
    <row r="108" spans="1:143" ht="15.75" customHeight="1" x14ac:dyDescent="0.55000000000000004">
      <c r="A108" s="99">
        <v>106</v>
      </c>
      <c r="B108" s="102" t="s">
        <v>1578</v>
      </c>
      <c r="C108" s="102" t="s">
        <v>1419</v>
      </c>
      <c r="D108" s="103">
        <v>39492</v>
      </c>
      <c r="E108" s="102" t="s">
        <v>995</v>
      </c>
      <c r="F108" s="102">
        <v>14</v>
      </c>
      <c r="G108" s="102">
        <v>2</v>
      </c>
      <c r="H108" s="102">
        <v>2008</v>
      </c>
      <c r="I108" s="102" t="s">
        <v>1579</v>
      </c>
      <c r="J108" s="102" t="s">
        <v>1580</v>
      </c>
      <c r="K108" s="102" t="s">
        <v>1111</v>
      </c>
      <c r="L108" s="102">
        <v>13</v>
      </c>
      <c r="M108" s="102">
        <v>1</v>
      </c>
      <c r="N108" s="102">
        <v>0</v>
      </c>
      <c r="O108" s="102">
        <v>1</v>
      </c>
      <c r="P108" s="102">
        <v>1</v>
      </c>
      <c r="Q108" s="104">
        <v>0</v>
      </c>
      <c r="R108" s="102">
        <v>0</v>
      </c>
      <c r="S108" s="102" t="s">
        <v>853</v>
      </c>
      <c r="T108" s="102">
        <v>0</v>
      </c>
      <c r="U108" s="102">
        <v>0</v>
      </c>
      <c r="V108" s="102">
        <v>5</v>
      </c>
      <c r="W108" s="102">
        <v>16</v>
      </c>
      <c r="X108" s="102">
        <v>0</v>
      </c>
      <c r="Y108" s="102">
        <v>0</v>
      </c>
      <c r="Z108" s="102">
        <v>0</v>
      </c>
      <c r="AA108" s="102">
        <v>27</v>
      </c>
      <c r="AB108" s="102">
        <v>0</v>
      </c>
      <c r="AC108" s="102">
        <v>0</v>
      </c>
      <c r="AD108" s="102">
        <v>0</v>
      </c>
      <c r="AE108" s="102">
        <v>1</v>
      </c>
      <c r="AF108" s="102">
        <v>0</v>
      </c>
      <c r="AG108" s="102">
        <v>4</v>
      </c>
      <c r="AH108" s="102">
        <v>2</v>
      </c>
      <c r="AI108" s="102" t="s">
        <v>1581</v>
      </c>
      <c r="AJ108" s="102">
        <v>3</v>
      </c>
      <c r="AK108" s="102">
        <v>1</v>
      </c>
      <c r="AL108" s="102">
        <v>1</v>
      </c>
      <c r="AM108" s="102">
        <v>0</v>
      </c>
      <c r="AN108" s="102">
        <v>1</v>
      </c>
      <c r="AO108" s="102">
        <v>0</v>
      </c>
      <c r="AP108" s="102">
        <v>0</v>
      </c>
      <c r="AQ108" s="102">
        <v>0</v>
      </c>
      <c r="AR108" s="102">
        <v>2</v>
      </c>
      <c r="AS108" s="102">
        <v>0</v>
      </c>
      <c r="AT108" s="102">
        <v>3</v>
      </c>
      <c r="AU108" s="102" t="s">
        <v>1582</v>
      </c>
      <c r="AV108" s="102">
        <v>0</v>
      </c>
      <c r="AW108" s="102">
        <v>0</v>
      </c>
      <c r="AX108" s="102">
        <v>0</v>
      </c>
      <c r="AY108" s="102" t="s">
        <v>1583</v>
      </c>
      <c r="AZ108" s="102">
        <v>1</v>
      </c>
      <c r="BA108" s="102">
        <v>1</v>
      </c>
      <c r="BB108" s="102">
        <v>0</v>
      </c>
      <c r="BC108" s="102">
        <v>2</v>
      </c>
      <c r="BD108" s="102" t="s">
        <v>1056</v>
      </c>
      <c r="BE108" s="102">
        <v>0</v>
      </c>
      <c r="BF108" s="102">
        <v>0</v>
      </c>
      <c r="BG108" s="102">
        <v>0</v>
      </c>
      <c r="BH108" s="102">
        <v>0</v>
      </c>
      <c r="BI108" s="102">
        <v>1</v>
      </c>
      <c r="BJ108" s="102">
        <v>1</v>
      </c>
      <c r="BK108" s="102">
        <v>1</v>
      </c>
      <c r="BL108" s="102">
        <v>0</v>
      </c>
      <c r="BM108" s="102">
        <v>0</v>
      </c>
      <c r="BN108" s="102">
        <v>0</v>
      </c>
      <c r="BO108" s="102">
        <v>0</v>
      </c>
      <c r="BP108" s="102">
        <v>0</v>
      </c>
      <c r="BQ108" s="102">
        <v>0</v>
      </c>
      <c r="BR108" s="102">
        <v>0</v>
      </c>
      <c r="BS108" s="102">
        <v>0</v>
      </c>
      <c r="BT108" s="102">
        <v>0</v>
      </c>
      <c r="BU108" s="102">
        <v>1</v>
      </c>
      <c r="BV108" s="102">
        <v>0</v>
      </c>
      <c r="BW108" s="102">
        <v>0</v>
      </c>
      <c r="BX108" s="102">
        <v>0</v>
      </c>
      <c r="BY108" s="102">
        <v>0</v>
      </c>
      <c r="BZ108" s="102">
        <v>1</v>
      </c>
      <c r="CA108" s="102">
        <v>2</v>
      </c>
      <c r="CB108" s="102">
        <v>1</v>
      </c>
      <c r="CC108" s="102">
        <v>3</v>
      </c>
      <c r="CD108" s="102" t="s">
        <v>1584</v>
      </c>
      <c r="CE108" s="102">
        <v>1</v>
      </c>
      <c r="CF108" s="102">
        <v>1</v>
      </c>
      <c r="CG108" s="102">
        <v>0</v>
      </c>
      <c r="CH108" s="102">
        <v>0</v>
      </c>
      <c r="CI108" s="102">
        <v>1</v>
      </c>
      <c r="CJ108" s="102">
        <v>1</v>
      </c>
      <c r="CK108" s="102">
        <v>1</v>
      </c>
      <c r="CL108" s="102">
        <v>0</v>
      </c>
      <c r="CM108" s="102">
        <v>0</v>
      </c>
      <c r="CN108" s="102">
        <v>1</v>
      </c>
      <c r="CO108" s="102">
        <v>1</v>
      </c>
      <c r="CP108" s="102">
        <v>2</v>
      </c>
      <c r="CQ108" s="102">
        <v>1</v>
      </c>
      <c r="CR108" s="102">
        <v>1</v>
      </c>
      <c r="CS108" s="102">
        <v>1</v>
      </c>
      <c r="CT108" s="102" t="s">
        <v>1585</v>
      </c>
      <c r="CU108" s="102">
        <v>1</v>
      </c>
      <c r="CV108" s="102" t="s">
        <v>937</v>
      </c>
      <c r="CW108" s="102">
        <v>1</v>
      </c>
      <c r="CX108" s="102">
        <v>0</v>
      </c>
      <c r="CY108" s="102">
        <v>3</v>
      </c>
      <c r="CZ108" s="102">
        <v>0</v>
      </c>
      <c r="DA108" s="102" t="s">
        <v>853</v>
      </c>
      <c r="DB108" s="102">
        <v>0</v>
      </c>
      <c r="DC108" s="102">
        <v>1</v>
      </c>
      <c r="DD108" s="102">
        <v>0</v>
      </c>
      <c r="DE108" s="102">
        <v>0</v>
      </c>
      <c r="DF108" s="102">
        <v>0</v>
      </c>
      <c r="DG108" s="102">
        <v>0</v>
      </c>
      <c r="DH108" s="102">
        <v>0</v>
      </c>
      <c r="DI108" s="102">
        <v>0</v>
      </c>
      <c r="DJ108" s="102">
        <v>0</v>
      </c>
      <c r="DK108" s="102">
        <v>0</v>
      </c>
      <c r="DL108" s="102">
        <v>0</v>
      </c>
      <c r="DM108" s="102">
        <v>0</v>
      </c>
      <c r="DN108" s="102">
        <v>1</v>
      </c>
      <c r="DO108" s="102">
        <v>0</v>
      </c>
      <c r="DP108" s="102">
        <v>1</v>
      </c>
      <c r="DQ108" s="102">
        <v>1</v>
      </c>
      <c r="DR108" s="102">
        <v>1</v>
      </c>
      <c r="DS108" s="102">
        <v>3</v>
      </c>
      <c r="DT108" s="105" t="s">
        <v>1067</v>
      </c>
      <c r="DU108" s="102">
        <v>0</v>
      </c>
      <c r="DV108" s="102">
        <v>1</v>
      </c>
      <c r="DW108" s="102">
        <v>0</v>
      </c>
      <c r="DX108" s="102" t="s">
        <v>853</v>
      </c>
      <c r="DY108" s="102">
        <v>1</v>
      </c>
      <c r="DZ108" s="102">
        <v>2</v>
      </c>
      <c r="EA108" s="102" t="s">
        <v>1586</v>
      </c>
      <c r="EB108" s="102">
        <v>1</v>
      </c>
      <c r="EC108" s="102">
        <v>0</v>
      </c>
      <c r="ED108" s="102">
        <v>0</v>
      </c>
      <c r="EE108" s="102">
        <v>2</v>
      </c>
      <c r="EF108" s="102">
        <v>4</v>
      </c>
      <c r="EG108" s="102">
        <v>1</v>
      </c>
      <c r="EH108" s="102" t="s">
        <v>1587</v>
      </c>
      <c r="EI108" s="102">
        <v>0</v>
      </c>
      <c r="EJ108" s="102">
        <v>0</v>
      </c>
      <c r="EK108" s="102">
        <v>2</v>
      </c>
      <c r="EL108" s="102">
        <v>0</v>
      </c>
      <c r="EM108" s="102"/>
    </row>
    <row r="109" spans="1:143" ht="15.75" customHeight="1" x14ac:dyDescent="0.55000000000000004">
      <c r="A109" s="99">
        <v>107</v>
      </c>
      <c r="B109" s="102" t="s">
        <v>1588</v>
      </c>
      <c r="C109" s="102" t="s">
        <v>1589</v>
      </c>
      <c r="D109" s="103">
        <v>39525</v>
      </c>
      <c r="E109" s="102" t="s">
        <v>1032</v>
      </c>
      <c r="F109" s="102">
        <v>18</v>
      </c>
      <c r="G109" s="102">
        <v>3</v>
      </c>
      <c r="H109" s="102">
        <v>2008</v>
      </c>
      <c r="I109" s="102" t="s">
        <v>1590</v>
      </c>
      <c r="J109" s="102" t="s">
        <v>1591</v>
      </c>
      <c r="K109" s="102" t="s">
        <v>930</v>
      </c>
      <c r="L109" s="102">
        <v>5</v>
      </c>
      <c r="M109" s="102">
        <v>3</v>
      </c>
      <c r="N109" s="102">
        <v>0</v>
      </c>
      <c r="O109" s="106">
        <v>9</v>
      </c>
      <c r="P109" s="102">
        <v>1</v>
      </c>
      <c r="Q109" s="104">
        <v>1</v>
      </c>
      <c r="R109" s="102">
        <v>0</v>
      </c>
      <c r="S109" s="102" t="s">
        <v>853</v>
      </c>
      <c r="T109" s="102">
        <v>0</v>
      </c>
      <c r="U109" s="102">
        <v>0</v>
      </c>
      <c r="V109" s="102">
        <v>4</v>
      </c>
      <c r="W109" s="102">
        <v>0</v>
      </c>
      <c r="X109" s="102">
        <v>1</v>
      </c>
      <c r="Y109" s="102">
        <v>0</v>
      </c>
      <c r="Z109" s="102">
        <v>0</v>
      </c>
      <c r="AA109" s="102">
        <v>31</v>
      </c>
      <c r="AB109" s="102">
        <v>0</v>
      </c>
      <c r="AC109" s="102">
        <v>0</v>
      </c>
      <c r="AD109" s="102">
        <v>0</v>
      </c>
      <c r="AE109" s="102">
        <v>0</v>
      </c>
      <c r="AF109" s="102"/>
      <c r="AG109" s="102">
        <v>1</v>
      </c>
      <c r="AH109" s="102">
        <v>2</v>
      </c>
      <c r="AI109" s="102" t="s">
        <v>1465</v>
      </c>
      <c r="AJ109" s="102"/>
      <c r="AK109" s="102">
        <v>3</v>
      </c>
      <c r="AL109" s="102"/>
      <c r="AM109" s="102"/>
      <c r="AN109" s="102">
        <v>0</v>
      </c>
      <c r="AO109" s="102">
        <v>0</v>
      </c>
      <c r="AP109" s="102">
        <v>0</v>
      </c>
      <c r="AQ109" s="102">
        <v>0</v>
      </c>
      <c r="AR109" s="102">
        <v>0</v>
      </c>
      <c r="AS109" s="102" t="s">
        <v>853</v>
      </c>
      <c r="AT109" s="102">
        <v>0</v>
      </c>
      <c r="AU109" s="102"/>
      <c r="AV109" s="102">
        <v>0</v>
      </c>
      <c r="AW109" s="102">
        <v>1</v>
      </c>
      <c r="AX109" s="102">
        <v>0</v>
      </c>
      <c r="AY109" s="102">
        <v>1</v>
      </c>
      <c r="AZ109" s="102">
        <v>4</v>
      </c>
      <c r="BA109" s="102">
        <v>0</v>
      </c>
      <c r="BB109" s="102">
        <v>0</v>
      </c>
      <c r="BC109" s="102">
        <v>0</v>
      </c>
      <c r="BD109" s="102">
        <v>0</v>
      </c>
      <c r="BE109" s="102">
        <v>0</v>
      </c>
      <c r="BF109" s="102">
        <v>0</v>
      </c>
      <c r="BG109" s="102">
        <v>0</v>
      </c>
      <c r="BH109" s="102">
        <v>0</v>
      </c>
      <c r="BI109" s="102">
        <v>0</v>
      </c>
      <c r="BJ109" s="102">
        <v>0</v>
      </c>
      <c r="BK109" s="102">
        <v>0</v>
      </c>
      <c r="BL109" s="102">
        <v>1</v>
      </c>
      <c r="BM109" s="102">
        <v>1</v>
      </c>
      <c r="BN109" s="102">
        <v>0</v>
      </c>
      <c r="BO109" s="102">
        <v>0</v>
      </c>
      <c r="BP109" s="102">
        <v>0</v>
      </c>
      <c r="BQ109" s="102">
        <v>0</v>
      </c>
      <c r="BR109" s="102">
        <v>0</v>
      </c>
      <c r="BS109" s="102">
        <v>0</v>
      </c>
      <c r="BT109" s="102">
        <v>0</v>
      </c>
      <c r="BU109" s="102">
        <v>1</v>
      </c>
      <c r="BV109" s="102">
        <v>0</v>
      </c>
      <c r="BW109" s="102">
        <v>0</v>
      </c>
      <c r="BX109" s="102">
        <v>0</v>
      </c>
      <c r="BY109" s="102">
        <v>0</v>
      </c>
      <c r="BZ109" s="102">
        <v>1</v>
      </c>
      <c r="CA109" s="102">
        <v>0</v>
      </c>
      <c r="CB109" s="102">
        <v>1</v>
      </c>
      <c r="CC109" s="102">
        <v>3</v>
      </c>
      <c r="CD109" s="102" t="s">
        <v>1592</v>
      </c>
      <c r="CE109" s="102">
        <v>0</v>
      </c>
      <c r="CF109" s="102">
        <v>0</v>
      </c>
      <c r="CG109" s="102">
        <v>0</v>
      </c>
      <c r="CH109" s="102">
        <v>0</v>
      </c>
      <c r="CI109" s="102">
        <v>1</v>
      </c>
      <c r="CJ109" s="102">
        <v>0</v>
      </c>
      <c r="CK109" s="102">
        <v>0</v>
      </c>
      <c r="CL109" s="102">
        <v>1</v>
      </c>
      <c r="CM109" s="102">
        <v>1</v>
      </c>
      <c r="CN109" s="102">
        <v>0</v>
      </c>
      <c r="CO109" s="102">
        <v>0</v>
      </c>
      <c r="CP109" s="102">
        <v>0</v>
      </c>
      <c r="CQ109" s="102">
        <v>1</v>
      </c>
      <c r="CR109" s="102">
        <v>1</v>
      </c>
      <c r="CS109" s="102">
        <v>1</v>
      </c>
      <c r="CT109" s="102" t="s">
        <v>955</v>
      </c>
      <c r="CU109" s="102">
        <v>1</v>
      </c>
      <c r="CV109" s="102">
        <v>2</v>
      </c>
      <c r="CW109" s="102" t="s">
        <v>937</v>
      </c>
      <c r="CX109" s="102">
        <v>0</v>
      </c>
      <c r="CY109" s="102">
        <v>0</v>
      </c>
      <c r="CZ109" s="102">
        <v>0</v>
      </c>
      <c r="DA109" s="102" t="s">
        <v>853</v>
      </c>
      <c r="DB109" s="102">
        <v>0</v>
      </c>
      <c r="DC109" s="102">
        <v>0</v>
      </c>
      <c r="DD109" s="102">
        <v>0</v>
      </c>
      <c r="DE109" s="102">
        <v>0</v>
      </c>
      <c r="DF109" s="102">
        <v>0</v>
      </c>
      <c r="DG109" s="102">
        <v>0</v>
      </c>
      <c r="DH109" s="102">
        <v>0</v>
      </c>
      <c r="DI109" s="102">
        <v>0</v>
      </c>
      <c r="DJ109" s="102">
        <v>0</v>
      </c>
      <c r="DK109" s="102">
        <v>0</v>
      </c>
      <c r="DL109" s="102">
        <v>1</v>
      </c>
      <c r="DM109" s="102">
        <v>0</v>
      </c>
      <c r="DN109" s="102">
        <v>1</v>
      </c>
      <c r="DO109" s="102">
        <v>0</v>
      </c>
      <c r="DP109" s="102">
        <v>3</v>
      </c>
      <c r="DQ109" s="102">
        <v>0</v>
      </c>
      <c r="DR109" s="102">
        <v>1</v>
      </c>
      <c r="DS109" s="102" t="s">
        <v>1593</v>
      </c>
      <c r="DT109" s="105" t="s">
        <v>1594</v>
      </c>
      <c r="DU109" s="102" t="s">
        <v>1595</v>
      </c>
      <c r="DV109" s="102">
        <v>0</v>
      </c>
      <c r="DW109" s="102">
        <v>0</v>
      </c>
      <c r="DX109" s="102" t="s">
        <v>853</v>
      </c>
      <c r="DY109" s="102">
        <v>0</v>
      </c>
      <c r="DZ109" s="102">
        <v>0</v>
      </c>
      <c r="EA109" s="102" t="s">
        <v>853</v>
      </c>
      <c r="EB109" s="102">
        <v>0</v>
      </c>
      <c r="EC109" s="102">
        <v>0</v>
      </c>
      <c r="ED109" s="102">
        <v>0</v>
      </c>
      <c r="EE109" s="102">
        <v>0</v>
      </c>
      <c r="EF109" s="102">
        <v>1</v>
      </c>
      <c r="EG109" s="102">
        <v>0</v>
      </c>
      <c r="EH109" s="102" t="s">
        <v>853</v>
      </c>
      <c r="EI109" s="102">
        <v>2</v>
      </c>
      <c r="EJ109" s="102">
        <v>1</v>
      </c>
      <c r="EK109" s="102">
        <v>1</v>
      </c>
      <c r="EL109" s="102">
        <v>3</v>
      </c>
      <c r="EM109" s="102"/>
    </row>
    <row r="110" spans="1:143" ht="15.75" customHeight="1" x14ac:dyDescent="0.55000000000000004">
      <c r="A110" s="99">
        <v>108</v>
      </c>
      <c r="B110" s="102" t="s">
        <v>1596</v>
      </c>
      <c r="C110" s="102" t="s">
        <v>1597</v>
      </c>
      <c r="D110" s="103">
        <v>39624</v>
      </c>
      <c r="E110" s="102" t="s">
        <v>891</v>
      </c>
      <c r="F110" s="102">
        <v>25</v>
      </c>
      <c r="G110" s="102">
        <v>6</v>
      </c>
      <c r="H110" s="102">
        <v>2008</v>
      </c>
      <c r="I110" s="102" t="s">
        <v>1598</v>
      </c>
      <c r="J110" s="102" t="s">
        <v>1107</v>
      </c>
      <c r="K110" s="102" t="s">
        <v>1002</v>
      </c>
      <c r="L110" s="102">
        <v>17</v>
      </c>
      <c r="M110" s="102">
        <v>0</v>
      </c>
      <c r="N110" s="102">
        <v>2</v>
      </c>
      <c r="O110" s="106">
        <v>9</v>
      </c>
      <c r="P110" s="102">
        <v>1</v>
      </c>
      <c r="Q110" s="104">
        <v>1</v>
      </c>
      <c r="R110" s="102">
        <v>0</v>
      </c>
      <c r="S110" s="102" t="s">
        <v>853</v>
      </c>
      <c r="T110" s="102">
        <v>0</v>
      </c>
      <c r="U110" s="102">
        <v>0</v>
      </c>
      <c r="V110" s="102">
        <v>5</v>
      </c>
      <c r="W110" s="102">
        <v>1</v>
      </c>
      <c r="X110" s="102">
        <v>0</v>
      </c>
      <c r="Y110" s="102">
        <v>0</v>
      </c>
      <c r="Z110" s="102">
        <v>0</v>
      </c>
      <c r="AA110" s="102">
        <v>25</v>
      </c>
      <c r="AB110" s="102">
        <v>0</v>
      </c>
      <c r="AC110" s="102">
        <v>0</v>
      </c>
      <c r="AD110" s="102">
        <v>0</v>
      </c>
      <c r="AE110" s="102">
        <v>0</v>
      </c>
      <c r="AF110" s="102"/>
      <c r="AG110" s="102">
        <v>1</v>
      </c>
      <c r="AH110" s="102"/>
      <c r="AI110" s="102"/>
      <c r="AJ110" s="102"/>
      <c r="AK110" s="102"/>
      <c r="AL110" s="102"/>
      <c r="AM110" s="102"/>
      <c r="AN110" s="102">
        <v>1</v>
      </c>
      <c r="AO110" s="102">
        <v>1</v>
      </c>
      <c r="AP110" s="102">
        <v>1</v>
      </c>
      <c r="AQ110" s="102">
        <v>0</v>
      </c>
      <c r="AR110" s="102">
        <v>0</v>
      </c>
      <c r="AS110" s="102" t="s">
        <v>853</v>
      </c>
      <c r="AT110" s="102">
        <v>0</v>
      </c>
      <c r="AU110" s="102"/>
      <c r="AV110" s="102">
        <v>0</v>
      </c>
      <c r="AW110" s="102">
        <v>1</v>
      </c>
      <c r="AX110" s="102">
        <v>0</v>
      </c>
      <c r="AY110" s="102" t="s">
        <v>1599</v>
      </c>
      <c r="AZ110" s="102">
        <v>4</v>
      </c>
      <c r="BA110" s="102">
        <v>1</v>
      </c>
      <c r="BB110" s="102">
        <v>0</v>
      </c>
      <c r="BC110" s="102">
        <v>0</v>
      </c>
      <c r="BD110" s="102">
        <v>0</v>
      </c>
      <c r="BE110" s="102">
        <v>0</v>
      </c>
      <c r="BF110" s="102">
        <v>0</v>
      </c>
      <c r="BG110" s="102">
        <v>0</v>
      </c>
      <c r="BH110" s="102">
        <v>0</v>
      </c>
      <c r="BI110" s="102">
        <v>0</v>
      </c>
      <c r="BJ110" s="102">
        <v>0</v>
      </c>
      <c r="BK110" s="102">
        <v>0</v>
      </c>
      <c r="BL110" s="102">
        <v>0</v>
      </c>
      <c r="BM110" s="102">
        <v>0</v>
      </c>
      <c r="BN110" s="102">
        <v>0</v>
      </c>
      <c r="BO110" s="102">
        <v>0</v>
      </c>
      <c r="BP110" s="102">
        <v>0</v>
      </c>
      <c r="BQ110" s="102">
        <v>0</v>
      </c>
      <c r="BR110" s="102">
        <v>0</v>
      </c>
      <c r="BS110" s="102">
        <v>0</v>
      </c>
      <c r="BT110" s="102">
        <v>0</v>
      </c>
      <c r="BU110" s="102"/>
      <c r="BV110" s="102">
        <v>0</v>
      </c>
      <c r="BW110" s="102">
        <v>0</v>
      </c>
      <c r="BX110" s="102">
        <v>0</v>
      </c>
      <c r="BY110" s="102">
        <v>0</v>
      </c>
      <c r="BZ110" s="102">
        <v>0</v>
      </c>
      <c r="CA110" s="102">
        <v>2</v>
      </c>
      <c r="CB110" s="102">
        <v>1</v>
      </c>
      <c r="CC110" s="102">
        <v>0</v>
      </c>
      <c r="CD110" s="102" t="s">
        <v>1600</v>
      </c>
      <c r="CE110" s="102">
        <v>0</v>
      </c>
      <c r="CF110" s="102">
        <v>0</v>
      </c>
      <c r="CG110" s="102">
        <v>0</v>
      </c>
      <c r="CH110" s="102">
        <v>1</v>
      </c>
      <c r="CI110" s="102">
        <v>1</v>
      </c>
      <c r="CJ110" s="102">
        <v>1</v>
      </c>
      <c r="CK110" s="102">
        <v>0</v>
      </c>
      <c r="CL110" s="102">
        <v>0</v>
      </c>
      <c r="CM110" s="102">
        <v>0</v>
      </c>
      <c r="CN110" s="102">
        <v>1</v>
      </c>
      <c r="CO110" s="102">
        <v>0</v>
      </c>
      <c r="CP110" s="102">
        <v>0</v>
      </c>
      <c r="CQ110" s="102">
        <v>0</v>
      </c>
      <c r="CR110" s="102">
        <v>0</v>
      </c>
      <c r="CS110" s="102">
        <v>0</v>
      </c>
      <c r="CT110" s="102" t="s">
        <v>853</v>
      </c>
      <c r="CU110" s="102">
        <v>0</v>
      </c>
      <c r="CV110" s="102">
        <v>0</v>
      </c>
      <c r="CW110" s="102">
        <v>0</v>
      </c>
      <c r="CX110" s="102">
        <v>0</v>
      </c>
      <c r="CY110" s="102">
        <v>0</v>
      </c>
      <c r="CZ110" s="102">
        <v>0</v>
      </c>
      <c r="DA110" s="102" t="s">
        <v>853</v>
      </c>
      <c r="DB110" s="102">
        <v>0</v>
      </c>
      <c r="DC110" s="102">
        <v>0</v>
      </c>
      <c r="DD110" s="102">
        <v>0</v>
      </c>
      <c r="DE110" s="102">
        <v>0</v>
      </c>
      <c r="DF110" s="102">
        <v>0</v>
      </c>
      <c r="DG110" s="102">
        <v>0</v>
      </c>
      <c r="DH110" s="102">
        <v>1</v>
      </c>
      <c r="DI110" s="102">
        <v>0</v>
      </c>
      <c r="DJ110" s="102">
        <v>0</v>
      </c>
      <c r="DK110" s="102">
        <v>0</v>
      </c>
      <c r="DL110" s="102">
        <v>1</v>
      </c>
      <c r="DM110" s="102">
        <v>0</v>
      </c>
      <c r="DN110" s="102">
        <v>0</v>
      </c>
      <c r="DO110" s="102">
        <v>0</v>
      </c>
      <c r="DP110" s="102">
        <v>0</v>
      </c>
      <c r="DQ110" s="102">
        <v>1</v>
      </c>
      <c r="DR110" s="102">
        <v>1</v>
      </c>
      <c r="DS110" s="102">
        <v>3</v>
      </c>
      <c r="DT110" s="105" t="s">
        <v>1067</v>
      </c>
      <c r="DU110" s="102">
        <v>1</v>
      </c>
      <c r="DV110" s="102">
        <v>1</v>
      </c>
      <c r="DW110" s="102">
        <v>0</v>
      </c>
      <c r="DX110" s="102" t="s">
        <v>853</v>
      </c>
      <c r="DY110" s="102">
        <v>0</v>
      </c>
      <c r="DZ110" s="102">
        <v>0</v>
      </c>
      <c r="EA110" s="102" t="s">
        <v>853</v>
      </c>
      <c r="EB110" s="102">
        <v>0</v>
      </c>
      <c r="EC110" s="102">
        <v>0</v>
      </c>
      <c r="ED110" s="102">
        <v>0</v>
      </c>
      <c r="EE110" s="102">
        <v>1</v>
      </c>
      <c r="EF110" s="102">
        <v>1</v>
      </c>
      <c r="EG110" s="102">
        <v>0</v>
      </c>
      <c r="EH110" s="102" t="s">
        <v>853</v>
      </c>
      <c r="EI110" s="102">
        <v>0</v>
      </c>
      <c r="EJ110" s="102">
        <v>0</v>
      </c>
      <c r="EK110" s="102">
        <v>2</v>
      </c>
      <c r="EL110" s="102">
        <v>0</v>
      </c>
      <c r="EM110" s="102"/>
    </row>
    <row r="111" spans="1:143" ht="15.75" customHeight="1" x14ac:dyDescent="0.55000000000000004">
      <c r="A111" s="99">
        <v>109</v>
      </c>
      <c r="B111" s="102" t="s">
        <v>1601</v>
      </c>
      <c r="C111" s="102" t="s">
        <v>1602</v>
      </c>
      <c r="D111" s="103">
        <v>39693</v>
      </c>
      <c r="E111" s="102" t="s">
        <v>1032</v>
      </c>
      <c r="F111" s="102">
        <v>2</v>
      </c>
      <c r="G111" s="102">
        <v>9</v>
      </c>
      <c r="H111" s="102">
        <v>2008</v>
      </c>
      <c r="I111" s="102" t="s">
        <v>1603</v>
      </c>
      <c r="J111" s="102" t="s">
        <v>1604</v>
      </c>
      <c r="K111" s="102" t="s">
        <v>1245</v>
      </c>
      <c r="L111" s="102">
        <v>47</v>
      </c>
      <c r="M111" s="102">
        <v>3</v>
      </c>
      <c r="N111" s="102">
        <v>2</v>
      </c>
      <c r="O111" s="102">
        <v>7</v>
      </c>
      <c r="P111" s="102">
        <v>0</v>
      </c>
      <c r="Q111" s="104">
        <v>0</v>
      </c>
      <c r="R111" s="102">
        <v>1</v>
      </c>
      <c r="S111" s="102">
        <v>8</v>
      </c>
      <c r="T111" s="102">
        <v>0</v>
      </c>
      <c r="U111" s="102">
        <v>0</v>
      </c>
      <c r="V111" s="102">
        <v>6</v>
      </c>
      <c r="W111" s="102">
        <v>4</v>
      </c>
      <c r="X111" s="102">
        <v>0</v>
      </c>
      <c r="Y111" s="102">
        <v>0</v>
      </c>
      <c r="Z111" s="102">
        <v>0</v>
      </c>
      <c r="AA111" s="102">
        <v>28</v>
      </c>
      <c r="AB111" s="102">
        <v>0</v>
      </c>
      <c r="AC111" s="102">
        <v>2</v>
      </c>
      <c r="AD111" s="102">
        <v>0</v>
      </c>
      <c r="AE111" s="102">
        <v>0</v>
      </c>
      <c r="AF111" s="102">
        <v>1</v>
      </c>
      <c r="AG111" s="102"/>
      <c r="AH111" s="102"/>
      <c r="AI111" s="102"/>
      <c r="AJ111" s="102">
        <v>3</v>
      </c>
      <c r="AK111" s="102">
        <v>1</v>
      </c>
      <c r="AL111" s="102">
        <v>1</v>
      </c>
      <c r="AM111" s="102">
        <v>0</v>
      </c>
      <c r="AN111" s="102">
        <v>0</v>
      </c>
      <c r="AO111" s="102">
        <v>0</v>
      </c>
      <c r="AP111" s="102">
        <v>0</v>
      </c>
      <c r="AQ111" s="102">
        <v>0</v>
      </c>
      <c r="AR111" s="102">
        <v>0</v>
      </c>
      <c r="AS111" s="102" t="s">
        <v>853</v>
      </c>
      <c r="AT111" s="102">
        <v>0</v>
      </c>
      <c r="AU111" s="102"/>
      <c r="AV111" s="102">
        <v>1</v>
      </c>
      <c r="AW111" s="102">
        <v>1</v>
      </c>
      <c r="AX111" s="102">
        <v>6</v>
      </c>
      <c r="AY111" s="102" t="s">
        <v>1264</v>
      </c>
      <c r="AZ111" s="102">
        <v>4</v>
      </c>
      <c r="BA111" s="102">
        <v>2</v>
      </c>
      <c r="BB111" s="102">
        <v>0</v>
      </c>
      <c r="BC111" s="102">
        <v>0</v>
      </c>
      <c r="BD111" s="102">
        <v>0</v>
      </c>
      <c r="BE111" s="102">
        <v>0</v>
      </c>
      <c r="BF111" s="102">
        <v>0</v>
      </c>
      <c r="BG111" s="102">
        <v>0</v>
      </c>
      <c r="BH111" s="102">
        <v>0</v>
      </c>
      <c r="BI111" s="102">
        <v>0</v>
      </c>
      <c r="BJ111" s="102">
        <v>0</v>
      </c>
      <c r="BK111" s="102">
        <v>0</v>
      </c>
      <c r="BL111" s="102">
        <v>0</v>
      </c>
      <c r="BM111" s="102">
        <v>0</v>
      </c>
      <c r="BN111" s="102">
        <v>0</v>
      </c>
      <c r="BO111" s="102">
        <v>0</v>
      </c>
      <c r="BP111" s="102">
        <v>1</v>
      </c>
      <c r="BQ111" s="102">
        <v>0</v>
      </c>
      <c r="BR111" s="102">
        <v>0</v>
      </c>
      <c r="BS111" s="102">
        <v>0</v>
      </c>
      <c r="BT111" s="102">
        <v>0</v>
      </c>
      <c r="BU111" s="102">
        <v>1</v>
      </c>
      <c r="BV111" s="102">
        <v>0</v>
      </c>
      <c r="BW111" s="102">
        <v>0</v>
      </c>
      <c r="BX111" s="102">
        <v>0</v>
      </c>
      <c r="BY111" s="102">
        <v>0</v>
      </c>
      <c r="BZ111" s="102">
        <v>0</v>
      </c>
      <c r="CA111" s="102">
        <v>4</v>
      </c>
      <c r="CB111" s="102">
        <v>1</v>
      </c>
      <c r="CC111" s="102">
        <v>3</v>
      </c>
      <c r="CD111" s="102" t="s">
        <v>1605</v>
      </c>
      <c r="CE111" s="102">
        <v>1</v>
      </c>
      <c r="CF111" s="102">
        <v>0</v>
      </c>
      <c r="CG111" s="102">
        <v>1</v>
      </c>
      <c r="CH111" s="102">
        <v>1</v>
      </c>
      <c r="CI111" s="102">
        <v>1</v>
      </c>
      <c r="CJ111" s="102">
        <v>1</v>
      </c>
      <c r="CK111" s="102">
        <v>1</v>
      </c>
      <c r="CL111" s="102">
        <v>1</v>
      </c>
      <c r="CM111" s="102">
        <v>0</v>
      </c>
      <c r="CN111" s="102">
        <v>1</v>
      </c>
      <c r="CO111" s="102">
        <v>1</v>
      </c>
      <c r="CP111" s="102">
        <v>2</v>
      </c>
      <c r="CQ111" s="102">
        <v>0</v>
      </c>
      <c r="CR111" s="102">
        <v>0</v>
      </c>
      <c r="CS111" s="102">
        <v>1</v>
      </c>
      <c r="CT111" s="102" t="s">
        <v>955</v>
      </c>
      <c r="CU111" s="102">
        <v>1</v>
      </c>
      <c r="CV111" s="102" t="s">
        <v>937</v>
      </c>
      <c r="CW111" s="102">
        <v>0</v>
      </c>
      <c r="CX111" s="102">
        <v>0</v>
      </c>
      <c r="CY111" s="102" t="s">
        <v>1123</v>
      </c>
      <c r="CZ111" s="102">
        <v>0</v>
      </c>
      <c r="DA111" s="102" t="s">
        <v>853</v>
      </c>
      <c r="DB111" s="102">
        <v>0</v>
      </c>
      <c r="DC111" s="102">
        <v>0</v>
      </c>
      <c r="DD111" s="102">
        <v>0</v>
      </c>
      <c r="DE111" s="102">
        <v>0</v>
      </c>
      <c r="DF111" s="102">
        <v>0</v>
      </c>
      <c r="DG111" s="102">
        <v>0</v>
      </c>
      <c r="DH111" s="102">
        <v>0</v>
      </c>
      <c r="DI111" s="102">
        <v>0</v>
      </c>
      <c r="DJ111" s="102">
        <v>0</v>
      </c>
      <c r="DK111" s="102">
        <v>0</v>
      </c>
      <c r="DL111" s="102">
        <v>0</v>
      </c>
      <c r="DM111" s="102">
        <v>0</v>
      </c>
      <c r="DN111" s="102">
        <v>1</v>
      </c>
      <c r="DO111" s="102">
        <v>0</v>
      </c>
      <c r="DP111" s="102">
        <v>3</v>
      </c>
      <c r="DQ111" s="102">
        <v>0</v>
      </c>
      <c r="DR111" s="102">
        <v>1</v>
      </c>
      <c r="DS111" s="102">
        <v>0</v>
      </c>
      <c r="DT111" s="105" t="s">
        <v>1059</v>
      </c>
      <c r="DU111" s="102">
        <v>1</v>
      </c>
      <c r="DV111" s="102">
        <v>0</v>
      </c>
      <c r="DW111" s="102">
        <v>0</v>
      </c>
      <c r="DX111" s="102" t="s">
        <v>853</v>
      </c>
      <c r="DY111" s="102">
        <v>0</v>
      </c>
      <c r="DZ111" s="102">
        <v>0</v>
      </c>
      <c r="EA111" s="102" t="s">
        <v>853</v>
      </c>
      <c r="EB111" s="102">
        <v>0</v>
      </c>
      <c r="EC111" s="102">
        <v>0</v>
      </c>
      <c r="ED111" s="102">
        <v>0</v>
      </c>
      <c r="EE111" s="102">
        <v>1</v>
      </c>
      <c r="EF111" s="102">
        <v>2</v>
      </c>
      <c r="EG111" s="102">
        <v>1</v>
      </c>
      <c r="EH111" s="102" t="s">
        <v>1310</v>
      </c>
      <c r="EI111" s="102">
        <v>2</v>
      </c>
      <c r="EJ111" s="102">
        <v>0</v>
      </c>
      <c r="EK111" s="102">
        <v>1</v>
      </c>
      <c r="EL111" s="102">
        <v>4</v>
      </c>
      <c r="EM111" s="102"/>
    </row>
    <row r="112" spans="1:143" ht="15.75" customHeight="1" x14ac:dyDescent="0.55000000000000004">
      <c r="A112" s="99">
        <v>110</v>
      </c>
      <c r="B112" s="102" t="s">
        <v>1606</v>
      </c>
      <c r="C112" s="102" t="s">
        <v>859</v>
      </c>
      <c r="D112" s="103">
        <v>39901</v>
      </c>
      <c r="E112" s="102" t="s">
        <v>914</v>
      </c>
      <c r="F112" s="102">
        <v>29</v>
      </c>
      <c r="G112" s="102">
        <v>3</v>
      </c>
      <c r="H112" s="102">
        <v>2009</v>
      </c>
      <c r="I112" s="102" t="s">
        <v>1607</v>
      </c>
      <c r="J112" s="102" t="s">
        <v>1608</v>
      </c>
      <c r="K112" s="102" t="s">
        <v>901</v>
      </c>
      <c r="L112" s="102">
        <v>33</v>
      </c>
      <c r="M112" s="102">
        <v>0</v>
      </c>
      <c r="N112" s="102">
        <v>2</v>
      </c>
      <c r="O112" s="102">
        <v>7</v>
      </c>
      <c r="P112" s="102">
        <v>0</v>
      </c>
      <c r="Q112" s="104">
        <v>0</v>
      </c>
      <c r="R112" s="102">
        <v>0</v>
      </c>
      <c r="S112" s="102" t="s">
        <v>853</v>
      </c>
      <c r="T112" s="102">
        <v>0</v>
      </c>
      <c r="U112" s="102">
        <v>0</v>
      </c>
      <c r="V112" s="102">
        <v>8</v>
      </c>
      <c r="W112" s="102">
        <v>3</v>
      </c>
      <c r="X112" s="102">
        <v>0</v>
      </c>
      <c r="Y112" s="102">
        <v>0</v>
      </c>
      <c r="Z112" s="102">
        <v>0</v>
      </c>
      <c r="AA112" s="102">
        <v>45</v>
      </c>
      <c r="AB112" s="102">
        <v>0</v>
      </c>
      <c r="AC112" s="102">
        <v>0</v>
      </c>
      <c r="AD112" s="102">
        <v>0</v>
      </c>
      <c r="AE112" s="102">
        <v>0</v>
      </c>
      <c r="AF112" s="102">
        <v>1</v>
      </c>
      <c r="AG112" s="102"/>
      <c r="AH112" s="102"/>
      <c r="AI112" s="102"/>
      <c r="AJ112" s="102"/>
      <c r="AK112" s="102"/>
      <c r="AL112" s="102"/>
      <c r="AM112" s="102"/>
      <c r="AN112" s="102">
        <v>3</v>
      </c>
      <c r="AO112" s="102">
        <v>0</v>
      </c>
      <c r="AP112" s="102">
        <v>0</v>
      </c>
      <c r="AQ112" s="102">
        <v>0</v>
      </c>
      <c r="AR112" s="102">
        <v>1</v>
      </c>
      <c r="AS112" s="102">
        <v>5</v>
      </c>
      <c r="AT112" s="102">
        <v>0</v>
      </c>
      <c r="AU112" s="102"/>
      <c r="AV112" s="102">
        <v>0</v>
      </c>
      <c r="AW112" s="102">
        <v>1</v>
      </c>
      <c r="AX112" s="102">
        <v>0</v>
      </c>
      <c r="AY112" s="102">
        <v>8</v>
      </c>
      <c r="AZ112" s="102">
        <v>0</v>
      </c>
      <c r="BA112" s="102">
        <v>0</v>
      </c>
      <c r="BB112" s="102">
        <v>0</v>
      </c>
      <c r="BC112" s="102">
        <v>1</v>
      </c>
      <c r="BD112" s="102" t="s">
        <v>922</v>
      </c>
      <c r="BE112" s="102">
        <v>0</v>
      </c>
      <c r="BF112" s="102">
        <v>0</v>
      </c>
      <c r="BG112" s="102">
        <v>0</v>
      </c>
      <c r="BH112" s="102">
        <v>0</v>
      </c>
      <c r="BI112" s="102">
        <v>0</v>
      </c>
      <c r="BJ112" s="102">
        <v>1</v>
      </c>
      <c r="BK112" s="102">
        <v>0</v>
      </c>
      <c r="BL112" s="102">
        <v>0</v>
      </c>
      <c r="BM112" s="102">
        <v>0</v>
      </c>
      <c r="BN112" s="102">
        <v>0</v>
      </c>
      <c r="BO112" s="102">
        <v>0</v>
      </c>
      <c r="BP112" s="102">
        <v>0</v>
      </c>
      <c r="BQ112" s="102">
        <v>0</v>
      </c>
      <c r="BR112" s="102">
        <v>0</v>
      </c>
      <c r="BS112" s="102">
        <v>0</v>
      </c>
      <c r="BT112" s="102">
        <v>0</v>
      </c>
      <c r="BU112" s="102"/>
      <c r="BV112" s="102">
        <v>0</v>
      </c>
      <c r="BW112" s="102">
        <v>0</v>
      </c>
      <c r="BX112" s="102">
        <v>0</v>
      </c>
      <c r="BY112" s="102">
        <v>0</v>
      </c>
      <c r="BZ112" s="102">
        <v>0</v>
      </c>
      <c r="CA112" s="102">
        <v>1</v>
      </c>
      <c r="CB112" s="102">
        <v>1</v>
      </c>
      <c r="CC112" s="102">
        <v>1</v>
      </c>
      <c r="CD112" s="102" t="s">
        <v>1609</v>
      </c>
      <c r="CE112" s="102">
        <v>0</v>
      </c>
      <c r="CF112" s="102">
        <v>0</v>
      </c>
      <c r="CG112" s="102">
        <v>0</v>
      </c>
      <c r="CH112" s="102">
        <v>0</v>
      </c>
      <c r="CI112" s="102">
        <v>1</v>
      </c>
      <c r="CJ112" s="102">
        <v>1</v>
      </c>
      <c r="CK112" s="102">
        <v>0</v>
      </c>
      <c r="CL112" s="102">
        <v>0</v>
      </c>
      <c r="CM112" s="102">
        <v>0</v>
      </c>
      <c r="CN112" s="102">
        <v>1</v>
      </c>
      <c r="CO112" s="102">
        <v>0</v>
      </c>
      <c r="CP112" s="102">
        <v>0</v>
      </c>
      <c r="CQ112" s="102">
        <v>0</v>
      </c>
      <c r="CR112" s="102">
        <v>0</v>
      </c>
      <c r="CS112" s="102">
        <v>1</v>
      </c>
      <c r="CT112" s="102" t="s">
        <v>1610</v>
      </c>
      <c r="CU112" s="102">
        <v>1</v>
      </c>
      <c r="CV112" s="102">
        <v>1</v>
      </c>
      <c r="CW112" s="102">
        <v>0</v>
      </c>
      <c r="CX112" s="102">
        <v>0</v>
      </c>
      <c r="CY112" s="102">
        <v>1</v>
      </c>
      <c r="CZ112" s="102">
        <v>1</v>
      </c>
      <c r="DA112" s="102" t="s">
        <v>1611</v>
      </c>
      <c r="DB112" s="102">
        <v>0</v>
      </c>
      <c r="DC112" s="102">
        <v>0</v>
      </c>
      <c r="DD112" s="102">
        <v>0</v>
      </c>
      <c r="DE112" s="102">
        <v>0</v>
      </c>
      <c r="DF112" s="102">
        <v>0</v>
      </c>
      <c r="DG112" s="102">
        <v>0</v>
      </c>
      <c r="DH112" s="102">
        <v>0</v>
      </c>
      <c r="DI112" s="102">
        <v>0</v>
      </c>
      <c r="DJ112" s="102">
        <v>0</v>
      </c>
      <c r="DK112" s="102">
        <v>1</v>
      </c>
      <c r="DL112" s="102">
        <v>0</v>
      </c>
      <c r="DM112" s="102">
        <v>0</v>
      </c>
      <c r="DN112" s="102">
        <v>0</v>
      </c>
      <c r="DO112" s="102">
        <v>0</v>
      </c>
      <c r="DP112" s="102">
        <v>0</v>
      </c>
      <c r="DQ112" s="102">
        <v>0</v>
      </c>
      <c r="DR112" s="102">
        <v>1</v>
      </c>
      <c r="DS112" s="102"/>
      <c r="DT112" s="105" t="s">
        <v>1067</v>
      </c>
      <c r="DU112" s="102">
        <v>0</v>
      </c>
      <c r="DV112" s="102">
        <v>0</v>
      </c>
      <c r="DW112" s="102">
        <v>0</v>
      </c>
      <c r="DX112" s="102" t="s">
        <v>853</v>
      </c>
      <c r="DY112" s="102">
        <v>0</v>
      </c>
      <c r="DZ112" s="102">
        <v>0</v>
      </c>
      <c r="EA112" s="102" t="s">
        <v>853</v>
      </c>
      <c r="EB112" s="102">
        <v>0</v>
      </c>
      <c r="EC112" s="102">
        <v>0</v>
      </c>
      <c r="ED112" s="102">
        <v>1</v>
      </c>
      <c r="EE112" s="102">
        <v>3</v>
      </c>
      <c r="EF112" s="102">
        <v>4</v>
      </c>
      <c r="EG112" s="102">
        <v>1</v>
      </c>
      <c r="EH112" s="102" t="s">
        <v>1587</v>
      </c>
      <c r="EI112" s="102">
        <v>2</v>
      </c>
      <c r="EJ112" s="102">
        <v>0</v>
      </c>
      <c r="EK112" s="102">
        <v>1</v>
      </c>
      <c r="EL112" s="102">
        <v>3</v>
      </c>
      <c r="EM112" s="102"/>
    </row>
    <row r="113" spans="1:143" ht="15.75" customHeight="1" x14ac:dyDescent="0.55000000000000004">
      <c r="A113" s="99">
        <v>111</v>
      </c>
      <c r="B113" s="102" t="s">
        <v>1612</v>
      </c>
      <c r="C113" s="102" t="s">
        <v>1613</v>
      </c>
      <c r="D113" s="103">
        <v>39906</v>
      </c>
      <c r="E113" s="102" t="s">
        <v>959</v>
      </c>
      <c r="F113" s="102">
        <v>3</v>
      </c>
      <c r="G113" s="102">
        <v>4</v>
      </c>
      <c r="H113" s="102">
        <v>2009</v>
      </c>
      <c r="I113" s="102" t="s">
        <v>1614</v>
      </c>
      <c r="J113" s="102" t="s">
        <v>1615</v>
      </c>
      <c r="K113" s="102" t="s">
        <v>894</v>
      </c>
      <c r="L113" s="102">
        <v>32</v>
      </c>
      <c r="M113" s="102">
        <v>2</v>
      </c>
      <c r="N113" s="102">
        <v>1</v>
      </c>
      <c r="O113" s="102">
        <v>2</v>
      </c>
      <c r="P113" s="102">
        <v>1</v>
      </c>
      <c r="Q113" s="104">
        <v>0</v>
      </c>
      <c r="R113" s="102">
        <v>0</v>
      </c>
      <c r="S113" s="102" t="s">
        <v>853</v>
      </c>
      <c r="T113" s="102">
        <v>0</v>
      </c>
      <c r="U113" s="102">
        <v>0</v>
      </c>
      <c r="V113" s="102">
        <v>13</v>
      </c>
      <c r="W113" s="102">
        <v>4</v>
      </c>
      <c r="X113" s="102">
        <v>0</v>
      </c>
      <c r="Y113" s="102">
        <v>0</v>
      </c>
      <c r="Z113" s="102">
        <v>0</v>
      </c>
      <c r="AA113" s="102">
        <v>41</v>
      </c>
      <c r="AB113" s="102">
        <v>0</v>
      </c>
      <c r="AC113" s="102">
        <v>3</v>
      </c>
      <c r="AD113" s="102">
        <v>1</v>
      </c>
      <c r="AE113" s="102">
        <v>0</v>
      </c>
      <c r="AF113" s="102">
        <v>3</v>
      </c>
      <c r="AG113" s="102"/>
      <c r="AH113" s="102"/>
      <c r="AI113" s="102"/>
      <c r="AJ113" s="102">
        <v>2</v>
      </c>
      <c r="AK113" s="102">
        <v>3</v>
      </c>
      <c r="AL113" s="102">
        <v>1</v>
      </c>
      <c r="AM113" s="102">
        <v>2</v>
      </c>
      <c r="AN113" s="102">
        <v>3</v>
      </c>
      <c r="AO113" s="102">
        <v>0</v>
      </c>
      <c r="AP113" s="102">
        <v>0</v>
      </c>
      <c r="AQ113" s="102">
        <v>0</v>
      </c>
      <c r="AR113" s="102">
        <v>0</v>
      </c>
      <c r="AS113" s="102" t="s">
        <v>853</v>
      </c>
      <c r="AT113" s="102">
        <v>0</v>
      </c>
      <c r="AU113" s="102"/>
      <c r="AV113" s="102">
        <v>0</v>
      </c>
      <c r="AW113" s="102">
        <v>1</v>
      </c>
      <c r="AX113" s="102">
        <v>0</v>
      </c>
      <c r="AY113" s="102" t="s">
        <v>1616</v>
      </c>
      <c r="AZ113" s="102">
        <v>2</v>
      </c>
      <c r="BA113" s="102">
        <v>0</v>
      </c>
      <c r="BB113" s="102">
        <v>0</v>
      </c>
      <c r="BC113" s="102">
        <v>2</v>
      </c>
      <c r="BD113" s="102">
        <v>1</v>
      </c>
      <c r="BE113" s="102">
        <v>0</v>
      </c>
      <c r="BF113" s="102">
        <v>0</v>
      </c>
      <c r="BG113" s="102">
        <v>0</v>
      </c>
      <c r="BH113" s="102">
        <v>0</v>
      </c>
      <c r="BI113" s="102">
        <v>0</v>
      </c>
      <c r="BJ113" s="102">
        <v>0</v>
      </c>
      <c r="BK113" s="102">
        <v>0</v>
      </c>
      <c r="BL113" s="102">
        <v>0</v>
      </c>
      <c r="BM113" s="102">
        <v>0</v>
      </c>
      <c r="BN113" s="102">
        <v>0</v>
      </c>
      <c r="BO113" s="102">
        <v>0</v>
      </c>
      <c r="BP113" s="102">
        <v>1</v>
      </c>
      <c r="BQ113" s="102">
        <v>0</v>
      </c>
      <c r="BR113" s="102">
        <v>0</v>
      </c>
      <c r="BS113" s="102">
        <v>0</v>
      </c>
      <c r="BT113" s="102">
        <v>0</v>
      </c>
      <c r="BU113" s="102"/>
      <c r="BV113" s="102">
        <v>0</v>
      </c>
      <c r="BW113" s="102">
        <v>0</v>
      </c>
      <c r="BX113" s="102">
        <v>0</v>
      </c>
      <c r="BY113" s="102">
        <v>0</v>
      </c>
      <c r="BZ113" s="102">
        <v>0</v>
      </c>
      <c r="CA113" s="102">
        <v>2</v>
      </c>
      <c r="CB113" s="102">
        <v>1</v>
      </c>
      <c r="CC113" s="102">
        <v>1</v>
      </c>
      <c r="CD113" s="102" t="s">
        <v>1617</v>
      </c>
      <c r="CE113" s="102">
        <v>1</v>
      </c>
      <c r="CF113" s="102">
        <v>0</v>
      </c>
      <c r="CG113" s="102">
        <v>0</v>
      </c>
      <c r="CH113" s="102">
        <v>0</v>
      </c>
      <c r="CI113" s="102">
        <v>0</v>
      </c>
      <c r="CJ113" s="102">
        <v>0</v>
      </c>
      <c r="CK113" s="102">
        <v>1</v>
      </c>
      <c r="CL113" s="102">
        <v>1</v>
      </c>
      <c r="CM113" s="102">
        <v>1</v>
      </c>
      <c r="CN113" s="102">
        <v>2</v>
      </c>
      <c r="CO113" s="102">
        <v>0</v>
      </c>
      <c r="CP113" s="102">
        <v>0</v>
      </c>
      <c r="CQ113" s="102">
        <v>0</v>
      </c>
      <c r="CR113" s="102">
        <v>0</v>
      </c>
      <c r="CS113" s="102">
        <v>0</v>
      </c>
      <c r="CT113" s="102" t="s">
        <v>853</v>
      </c>
      <c r="CU113" s="102">
        <v>0</v>
      </c>
      <c r="CV113" s="102">
        <v>2</v>
      </c>
      <c r="CW113" s="102">
        <v>0</v>
      </c>
      <c r="CX113" s="102">
        <v>0</v>
      </c>
      <c r="CY113" s="102">
        <v>3</v>
      </c>
      <c r="CZ113" s="102">
        <v>0</v>
      </c>
      <c r="DA113" s="102" t="s">
        <v>853</v>
      </c>
      <c r="DB113" s="102">
        <v>0</v>
      </c>
      <c r="DC113" s="102">
        <v>0</v>
      </c>
      <c r="DD113" s="102">
        <v>0</v>
      </c>
      <c r="DE113" s="102">
        <v>0</v>
      </c>
      <c r="DF113" s="102">
        <v>0</v>
      </c>
      <c r="DG113" s="102">
        <v>0</v>
      </c>
      <c r="DH113" s="102">
        <v>1</v>
      </c>
      <c r="DI113" s="102">
        <v>0</v>
      </c>
      <c r="DJ113" s="102">
        <v>0</v>
      </c>
      <c r="DK113" s="102">
        <v>0</v>
      </c>
      <c r="DL113" s="102">
        <v>0</v>
      </c>
      <c r="DM113" s="102">
        <v>0</v>
      </c>
      <c r="DN113" s="102">
        <v>2</v>
      </c>
      <c r="DO113" s="102">
        <v>0</v>
      </c>
      <c r="DP113" s="102">
        <v>3</v>
      </c>
      <c r="DQ113" s="102">
        <v>0</v>
      </c>
      <c r="DR113" s="102">
        <v>0</v>
      </c>
      <c r="DS113" s="102" t="s">
        <v>853</v>
      </c>
      <c r="DT113" s="105" t="s">
        <v>853</v>
      </c>
      <c r="DU113" s="102" t="s">
        <v>853</v>
      </c>
      <c r="DV113" s="102">
        <v>0</v>
      </c>
      <c r="DW113" s="102">
        <v>0</v>
      </c>
      <c r="DX113" s="102" t="s">
        <v>853</v>
      </c>
      <c r="DY113" s="102">
        <v>1</v>
      </c>
      <c r="DZ113" s="102">
        <v>0</v>
      </c>
      <c r="EA113" s="102" t="s">
        <v>853</v>
      </c>
      <c r="EB113" s="102">
        <v>0</v>
      </c>
      <c r="EC113" s="102">
        <v>0</v>
      </c>
      <c r="ED113" s="102">
        <v>1</v>
      </c>
      <c r="EE113" s="102">
        <v>3</v>
      </c>
      <c r="EF113" s="102">
        <v>2</v>
      </c>
      <c r="EG113" s="102">
        <v>1</v>
      </c>
      <c r="EH113" s="102" t="s">
        <v>1618</v>
      </c>
      <c r="EI113" s="102">
        <v>0</v>
      </c>
      <c r="EJ113" s="102">
        <v>0</v>
      </c>
      <c r="EK113" s="102">
        <v>2</v>
      </c>
      <c r="EL113" s="102">
        <v>0</v>
      </c>
      <c r="EM113" s="102"/>
    </row>
    <row r="114" spans="1:143" ht="15.75" customHeight="1" x14ac:dyDescent="0.55000000000000004">
      <c r="A114" s="99">
        <v>112</v>
      </c>
      <c r="B114" s="102" t="s">
        <v>1619</v>
      </c>
      <c r="C114" s="102" t="s">
        <v>1620</v>
      </c>
      <c r="D114" s="103">
        <v>40118</v>
      </c>
      <c r="E114" s="102" t="s">
        <v>914</v>
      </c>
      <c r="F114" s="102">
        <v>1</v>
      </c>
      <c r="G114" s="102">
        <v>11</v>
      </c>
      <c r="H114" s="102">
        <v>2009</v>
      </c>
      <c r="I114" s="102" t="s">
        <v>1621</v>
      </c>
      <c r="J114" s="102" t="s">
        <v>1622</v>
      </c>
      <c r="K114" s="102" t="s">
        <v>901</v>
      </c>
      <c r="L114" s="102">
        <v>33</v>
      </c>
      <c r="M114" s="102">
        <v>0</v>
      </c>
      <c r="N114" s="102">
        <v>2</v>
      </c>
      <c r="O114" s="102">
        <v>4</v>
      </c>
      <c r="P114" s="102">
        <v>0</v>
      </c>
      <c r="Q114" s="104">
        <v>0</v>
      </c>
      <c r="R114" s="102">
        <v>0</v>
      </c>
      <c r="S114" s="102" t="s">
        <v>853</v>
      </c>
      <c r="T114" s="102">
        <v>0</v>
      </c>
      <c r="U114" s="102">
        <v>0</v>
      </c>
      <c r="V114" s="102">
        <v>4</v>
      </c>
      <c r="W114" s="102">
        <v>0</v>
      </c>
      <c r="X114" s="102">
        <v>0</v>
      </c>
      <c r="Y114" s="102">
        <v>0</v>
      </c>
      <c r="Z114" s="102">
        <v>0</v>
      </c>
      <c r="AA114" s="102">
        <v>29</v>
      </c>
      <c r="AB114" s="102">
        <v>0</v>
      </c>
      <c r="AC114" s="102">
        <v>2</v>
      </c>
      <c r="AD114" s="102">
        <v>1</v>
      </c>
      <c r="AE114" s="102">
        <v>0</v>
      </c>
      <c r="AF114" s="102"/>
      <c r="AG114" s="102"/>
      <c r="AH114" s="102"/>
      <c r="AI114" s="102"/>
      <c r="AJ114" s="102"/>
      <c r="AK114" s="102"/>
      <c r="AL114" s="102"/>
      <c r="AM114" s="102"/>
      <c r="AN114" s="102">
        <v>1</v>
      </c>
      <c r="AO114" s="102"/>
      <c r="AP114" s="102"/>
      <c r="AQ114" s="102">
        <v>0</v>
      </c>
      <c r="AR114" s="102">
        <v>0</v>
      </c>
      <c r="AS114" s="102" t="s">
        <v>853</v>
      </c>
      <c r="AT114" s="102"/>
      <c r="AU114" s="102"/>
      <c r="AV114" s="102">
        <v>0</v>
      </c>
      <c r="AW114" s="102">
        <v>1</v>
      </c>
      <c r="AX114" s="102">
        <v>0</v>
      </c>
      <c r="AY114" s="102">
        <v>9</v>
      </c>
      <c r="AZ114" s="102">
        <v>4</v>
      </c>
      <c r="BA114" s="102">
        <v>0</v>
      </c>
      <c r="BB114" s="102">
        <v>0</v>
      </c>
      <c r="BC114" s="102">
        <v>0</v>
      </c>
      <c r="BD114" s="102">
        <v>0</v>
      </c>
      <c r="BE114" s="102">
        <v>1</v>
      </c>
      <c r="BF114" s="102">
        <v>0</v>
      </c>
      <c r="BG114" s="102">
        <v>0</v>
      </c>
      <c r="BH114" s="102">
        <v>0</v>
      </c>
      <c r="BI114" s="102">
        <v>0</v>
      </c>
      <c r="BJ114" s="102">
        <v>0</v>
      </c>
      <c r="BK114" s="102">
        <v>0</v>
      </c>
      <c r="BL114" s="102">
        <v>0</v>
      </c>
      <c r="BM114" s="102">
        <v>0</v>
      </c>
      <c r="BN114" s="102">
        <v>0</v>
      </c>
      <c r="BO114" s="102">
        <v>0</v>
      </c>
      <c r="BP114" s="102">
        <v>0</v>
      </c>
      <c r="BQ114" s="102">
        <v>0</v>
      </c>
      <c r="BR114" s="102">
        <v>0</v>
      </c>
      <c r="BS114" s="102">
        <v>0</v>
      </c>
      <c r="BT114" s="102">
        <v>0</v>
      </c>
      <c r="BU114" s="102"/>
      <c r="BV114" s="102">
        <v>0</v>
      </c>
      <c r="BW114" s="102">
        <v>0</v>
      </c>
      <c r="BX114" s="102">
        <v>0</v>
      </c>
      <c r="BY114" s="102">
        <v>0</v>
      </c>
      <c r="BZ114" s="102">
        <v>0</v>
      </c>
      <c r="CA114" s="102">
        <v>0</v>
      </c>
      <c r="CB114" s="102">
        <v>0</v>
      </c>
      <c r="CC114" s="102" t="s">
        <v>853</v>
      </c>
      <c r="CD114" s="102"/>
      <c r="CE114" s="102">
        <v>0</v>
      </c>
      <c r="CF114" s="102">
        <v>0</v>
      </c>
      <c r="CG114" s="102">
        <v>0</v>
      </c>
      <c r="CH114" s="102">
        <v>0</v>
      </c>
      <c r="CI114" s="102">
        <v>0</v>
      </c>
      <c r="CJ114" s="102">
        <v>0</v>
      </c>
      <c r="CK114" s="102">
        <v>0</v>
      </c>
      <c r="CL114" s="102">
        <v>0</v>
      </c>
      <c r="CM114" s="102">
        <v>0</v>
      </c>
      <c r="CN114" s="102">
        <v>0</v>
      </c>
      <c r="CO114" s="102">
        <v>0</v>
      </c>
      <c r="CP114" s="102">
        <v>0</v>
      </c>
      <c r="CQ114" s="102">
        <v>0</v>
      </c>
      <c r="CR114" s="102">
        <v>0</v>
      </c>
      <c r="CS114" s="102">
        <v>0</v>
      </c>
      <c r="CT114" s="102" t="s">
        <v>853</v>
      </c>
      <c r="CU114" s="102">
        <v>0</v>
      </c>
      <c r="CV114" s="102">
        <v>0</v>
      </c>
      <c r="CW114" s="102">
        <v>0</v>
      </c>
      <c r="CX114" s="102">
        <v>0</v>
      </c>
      <c r="CY114" s="102">
        <v>0</v>
      </c>
      <c r="CZ114" s="102">
        <v>0</v>
      </c>
      <c r="DA114" s="102" t="s">
        <v>853</v>
      </c>
      <c r="DB114" s="102">
        <v>0</v>
      </c>
      <c r="DC114" s="102">
        <v>0</v>
      </c>
      <c r="DD114" s="102">
        <v>0</v>
      </c>
      <c r="DE114" s="102">
        <v>0</v>
      </c>
      <c r="DF114" s="102">
        <v>0</v>
      </c>
      <c r="DG114" s="102">
        <v>0</v>
      </c>
      <c r="DH114" s="102">
        <v>0</v>
      </c>
      <c r="DI114" s="102">
        <v>0</v>
      </c>
      <c r="DJ114" s="102">
        <v>0</v>
      </c>
      <c r="DK114" s="102">
        <v>0</v>
      </c>
      <c r="DL114" s="102">
        <v>1</v>
      </c>
      <c r="DM114" s="102">
        <v>0</v>
      </c>
      <c r="DN114" s="102">
        <v>0</v>
      </c>
      <c r="DO114" s="102">
        <v>0</v>
      </c>
      <c r="DP114" s="102">
        <v>0</v>
      </c>
      <c r="DQ114" s="102">
        <v>0</v>
      </c>
      <c r="DR114" s="102">
        <v>0</v>
      </c>
      <c r="DS114" s="102" t="s">
        <v>853</v>
      </c>
      <c r="DT114" s="105" t="s">
        <v>853</v>
      </c>
      <c r="DU114" s="102" t="s">
        <v>853</v>
      </c>
      <c r="DV114" s="102">
        <v>0</v>
      </c>
      <c r="DW114" s="102">
        <v>0</v>
      </c>
      <c r="DX114" s="102" t="s">
        <v>853</v>
      </c>
      <c r="DY114" s="102">
        <v>0</v>
      </c>
      <c r="DZ114" s="102">
        <v>0</v>
      </c>
      <c r="EA114" s="102" t="s">
        <v>853</v>
      </c>
      <c r="EB114" s="102">
        <v>0</v>
      </c>
      <c r="EC114" s="102">
        <v>0</v>
      </c>
      <c r="ED114" s="102">
        <v>0</v>
      </c>
      <c r="EE114" s="102">
        <v>0</v>
      </c>
      <c r="EF114" s="102">
        <v>1</v>
      </c>
      <c r="EG114" s="102">
        <v>0</v>
      </c>
      <c r="EH114" s="102" t="s">
        <v>853</v>
      </c>
      <c r="EI114" s="102">
        <v>2</v>
      </c>
      <c r="EJ114" s="102">
        <v>1</v>
      </c>
      <c r="EK114" s="102">
        <v>0</v>
      </c>
      <c r="EL114" s="102">
        <v>2</v>
      </c>
      <c r="EM114" s="102"/>
    </row>
    <row r="115" spans="1:143" ht="15.75" customHeight="1" x14ac:dyDescent="0.55000000000000004">
      <c r="A115" s="99">
        <v>113</v>
      </c>
      <c r="B115" s="102" t="s">
        <v>1623</v>
      </c>
      <c r="C115" s="102" t="s">
        <v>1624</v>
      </c>
      <c r="D115" s="103">
        <v>40122</v>
      </c>
      <c r="E115" s="102" t="s">
        <v>995</v>
      </c>
      <c r="F115" s="102">
        <v>5</v>
      </c>
      <c r="G115" s="102">
        <v>11</v>
      </c>
      <c r="H115" s="102">
        <v>2009</v>
      </c>
      <c r="I115" s="102" t="s">
        <v>1625</v>
      </c>
      <c r="J115" s="102" t="s">
        <v>1149</v>
      </c>
      <c r="K115" s="102" t="s">
        <v>849</v>
      </c>
      <c r="L115" s="102">
        <v>43</v>
      </c>
      <c r="M115" s="102">
        <v>0</v>
      </c>
      <c r="N115" s="102">
        <v>0</v>
      </c>
      <c r="O115" s="106">
        <v>2</v>
      </c>
      <c r="P115" s="102">
        <v>1</v>
      </c>
      <c r="Q115" s="104">
        <v>1</v>
      </c>
      <c r="R115" s="102">
        <v>0</v>
      </c>
      <c r="S115" s="102" t="s">
        <v>853</v>
      </c>
      <c r="T115" s="102">
        <v>0</v>
      </c>
      <c r="U115" s="102">
        <v>0</v>
      </c>
      <c r="V115" s="102">
        <v>13</v>
      </c>
      <c r="W115" s="102">
        <v>32</v>
      </c>
      <c r="X115" s="102">
        <v>0</v>
      </c>
      <c r="Y115" s="102">
        <v>0</v>
      </c>
      <c r="Z115" s="102">
        <v>0</v>
      </c>
      <c r="AA115" s="102">
        <v>39</v>
      </c>
      <c r="AB115" s="102">
        <v>0</v>
      </c>
      <c r="AC115" s="102">
        <v>4</v>
      </c>
      <c r="AD115" s="102">
        <v>0</v>
      </c>
      <c r="AE115" s="102">
        <v>0</v>
      </c>
      <c r="AF115" s="102">
        <v>2</v>
      </c>
      <c r="AG115" s="102">
        <v>4</v>
      </c>
      <c r="AH115" s="102">
        <v>2</v>
      </c>
      <c r="AI115" s="102" t="s">
        <v>1626</v>
      </c>
      <c r="AJ115" s="102">
        <v>1</v>
      </c>
      <c r="AK115" s="102">
        <v>2</v>
      </c>
      <c r="AL115" s="102">
        <v>0</v>
      </c>
      <c r="AM115" s="102">
        <v>2</v>
      </c>
      <c r="AN115" s="102">
        <v>0</v>
      </c>
      <c r="AO115" s="102">
        <v>0</v>
      </c>
      <c r="AP115" s="102">
        <v>1</v>
      </c>
      <c r="AQ115" s="102">
        <v>1</v>
      </c>
      <c r="AR115" s="102">
        <v>1</v>
      </c>
      <c r="AS115" s="102">
        <v>0</v>
      </c>
      <c r="AT115" s="102">
        <v>2</v>
      </c>
      <c r="AU115" s="102" t="s">
        <v>1627</v>
      </c>
      <c r="AV115" s="102">
        <v>1</v>
      </c>
      <c r="AW115" s="102">
        <v>0</v>
      </c>
      <c r="AX115" s="102">
        <v>0</v>
      </c>
      <c r="AY115" s="102">
        <v>0</v>
      </c>
      <c r="AZ115" s="102">
        <v>0</v>
      </c>
      <c r="BA115" s="102">
        <v>0</v>
      </c>
      <c r="BB115" s="102">
        <v>0</v>
      </c>
      <c r="BC115" s="102">
        <v>0</v>
      </c>
      <c r="BD115" s="102">
        <v>0</v>
      </c>
      <c r="BE115" s="102">
        <v>0</v>
      </c>
      <c r="BF115" s="102">
        <v>0</v>
      </c>
      <c r="BG115" s="102">
        <v>1</v>
      </c>
      <c r="BH115" s="102">
        <v>3</v>
      </c>
      <c r="BI115" s="102">
        <v>0</v>
      </c>
      <c r="BJ115" s="102">
        <v>0</v>
      </c>
      <c r="BK115" s="102">
        <v>1</v>
      </c>
      <c r="BL115" s="102">
        <v>0</v>
      </c>
      <c r="BM115" s="102">
        <v>0</v>
      </c>
      <c r="BN115" s="102">
        <v>0</v>
      </c>
      <c r="BO115" s="102">
        <v>0</v>
      </c>
      <c r="BP115" s="102">
        <v>0</v>
      </c>
      <c r="BQ115" s="102">
        <v>0</v>
      </c>
      <c r="BR115" s="102">
        <v>0</v>
      </c>
      <c r="BS115" s="102">
        <v>0</v>
      </c>
      <c r="BT115" s="102">
        <v>0</v>
      </c>
      <c r="BU115" s="102">
        <v>1</v>
      </c>
      <c r="BV115" s="102">
        <v>0</v>
      </c>
      <c r="BW115" s="102">
        <v>0</v>
      </c>
      <c r="BX115" s="102">
        <v>0</v>
      </c>
      <c r="BY115" s="102">
        <v>0</v>
      </c>
      <c r="BZ115" s="102">
        <v>1</v>
      </c>
      <c r="CA115" s="102">
        <v>2</v>
      </c>
      <c r="CB115" s="102">
        <v>1</v>
      </c>
      <c r="CC115" s="102">
        <v>2</v>
      </c>
      <c r="CD115" s="102" t="s">
        <v>1628</v>
      </c>
      <c r="CE115" s="102">
        <v>0</v>
      </c>
      <c r="CF115" s="102">
        <v>0</v>
      </c>
      <c r="CG115" s="102">
        <v>0</v>
      </c>
      <c r="CH115" s="102">
        <v>0</v>
      </c>
      <c r="CI115" s="102">
        <v>1</v>
      </c>
      <c r="CJ115" s="102">
        <v>0</v>
      </c>
      <c r="CK115" s="102">
        <v>0</v>
      </c>
      <c r="CL115" s="102">
        <v>0</v>
      </c>
      <c r="CM115" s="102">
        <v>0</v>
      </c>
      <c r="CN115" s="102">
        <v>2</v>
      </c>
      <c r="CO115" s="102">
        <v>0</v>
      </c>
      <c r="CP115" s="102">
        <v>0</v>
      </c>
      <c r="CQ115" s="102">
        <v>1</v>
      </c>
      <c r="CR115" s="102">
        <v>1</v>
      </c>
      <c r="CS115" s="102">
        <v>0</v>
      </c>
      <c r="CT115" s="102" t="s">
        <v>853</v>
      </c>
      <c r="CU115" s="102">
        <v>0</v>
      </c>
      <c r="CV115" s="102">
        <v>4</v>
      </c>
      <c r="CW115" s="102">
        <v>0</v>
      </c>
      <c r="CX115" s="102">
        <v>0</v>
      </c>
      <c r="CY115" s="102">
        <v>0</v>
      </c>
      <c r="CZ115" s="102">
        <v>0</v>
      </c>
      <c r="DA115" s="102" t="s">
        <v>853</v>
      </c>
      <c r="DB115" s="102">
        <v>0</v>
      </c>
      <c r="DC115" s="102">
        <v>4</v>
      </c>
      <c r="DD115" s="102">
        <v>0</v>
      </c>
      <c r="DE115" s="102">
        <v>0</v>
      </c>
      <c r="DF115" s="102">
        <v>0</v>
      </c>
      <c r="DG115" s="102">
        <v>0</v>
      </c>
      <c r="DH115" s="102">
        <v>0</v>
      </c>
      <c r="DI115" s="102">
        <v>0</v>
      </c>
      <c r="DJ115" s="102">
        <v>0</v>
      </c>
      <c r="DK115" s="102">
        <v>0</v>
      </c>
      <c r="DL115" s="102">
        <v>0</v>
      </c>
      <c r="DM115" s="102">
        <v>0</v>
      </c>
      <c r="DN115" s="102">
        <v>1</v>
      </c>
      <c r="DO115" s="102">
        <v>0</v>
      </c>
      <c r="DP115" s="102">
        <v>0</v>
      </c>
      <c r="DQ115" s="102">
        <v>1</v>
      </c>
      <c r="DR115" s="102">
        <v>1</v>
      </c>
      <c r="DS115" s="102">
        <v>0</v>
      </c>
      <c r="DT115" s="105" t="s">
        <v>1080</v>
      </c>
      <c r="DU115" s="102">
        <v>0</v>
      </c>
      <c r="DV115" s="102">
        <v>1</v>
      </c>
      <c r="DW115" s="102">
        <v>0</v>
      </c>
      <c r="DX115" s="102" t="s">
        <v>853</v>
      </c>
      <c r="DY115" s="102">
        <v>0</v>
      </c>
      <c r="DZ115" s="102">
        <v>0</v>
      </c>
      <c r="EA115" s="102" t="s">
        <v>853</v>
      </c>
      <c r="EB115" s="102">
        <v>1</v>
      </c>
      <c r="EC115" s="102">
        <v>0</v>
      </c>
      <c r="ED115" s="102">
        <v>0</v>
      </c>
      <c r="EE115" s="102">
        <v>3</v>
      </c>
      <c r="EF115" s="102">
        <v>2</v>
      </c>
      <c r="EG115" s="102">
        <v>1</v>
      </c>
      <c r="EH115" s="102" t="s">
        <v>1629</v>
      </c>
      <c r="EI115" s="102">
        <v>2</v>
      </c>
      <c r="EJ115" s="102">
        <v>0</v>
      </c>
      <c r="EK115" s="102">
        <v>0</v>
      </c>
      <c r="EL115" s="102">
        <v>1</v>
      </c>
      <c r="EM115" s="102"/>
    </row>
    <row r="116" spans="1:143" ht="15.75" customHeight="1" x14ac:dyDescent="0.55000000000000004">
      <c r="A116" s="99">
        <v>114</v>
      </c>
      <c r="B116" s="102" t="s">
        <v>1630</v>
      </c>
      <c r="C116" s="102" t="s">
        <v>1631</v>
      </c>
      <c r="D116" s="103">
        <v>40146</v>
      </c>
      <c r="E116" s="102" t="s">
        <v>914</v>
      </c>
      <c r="F116" s="102">
        <v>29</v>
      </c>
      <c r="G116" s="102">
        <v>11</v>
      </c>
      <c r="H116" s="102">
        <v>2009</v>
      </c>
      <c r="I116" s="102" t="s">
        <v>1632</v>
      </c>
      <c r="J116" s="102" t="s">
        <v>1633</v>
      </c>
      <c r="K116" s="102" t="s">
        <v>1245</v>
      </c>
      <c r="L116" s="102">
        <v>47</v>
      </c>
      <c r="M116" s="102">
        <v>3</v>
      </c>
      <c r="N116" s="102">
        <v>1</v>
      </c>
      <c r="O116" s="102">
        <v>5</v>
      </c>
      <c r="P116" s="102">
        <v>0</v>
      </c>
      <c r="Q116" s="104">
        <v>0</v>
      </c>
      <c r="R116" s="102">
        <v>0</v>
      </c>
      <c r="S116" s="102" t="s">
        <v>853</v>
      </c>
      <c r="T116" s="102">
        <v>1</v>
      </c>
      <c r="U116" s="102">
        <v>1</v>
      </c>
      <c r="V116" s="102">
        <v>4</v>
      </c>
      <c r="W116" s="102">
        <v>0</v>
      </c>
      <c r="X116" s="102">
        <v>0</v>
      </c>
      <c r="Y116" s="102">
        <v>0</v>
      </c>
      <c r="Z116" s="102">
        <v>0</v>
      </c>
      <c r="AA116" s="102">
        <v>37</v>
      </c>
      <c r="AB116" s="102">
        <v>0</v>
      </c>
      <c r="AC116" s="102">
        <v>1</v>
      </c>
      <c r="AD116" s="102">
        <v>0</v>
      </c>
      <c r="AE116" s="102">
        <v>0</v>
      </c>
      <c r="AF116" s="102">
        <v>1</v>
      </c>
      <c r="AG116" s="102">
        <v>0</v>
      </c>
      <c r="AH116" s="102">
        <v>0</v>
      </c>
      <c r="AI116" s="102" t="s">
        <v>1634</v>
      </c>
      <c r="AJ116" s="102">
        <v>2</v>
      </c>
      <c r="AK116" s="102">
        <v>5</v>
      </c>
      <c r="AL116" s="102">
        <v>1</v>
      </c>
      <c r="AM116" s="102"/>
      <c r="AN116" s="102">
        <v>2</v>
      </c>
      <c r="AO116" s="102">
        <v>1</v>
      </c>
      <c r="AP116" s="102">
        <v>0</v>
      </c>
      <c r="AQ116" s="102">
        <v>0</v>
      </c>
      <c r="AR116" s="102">
        <v>0</v>
      </c>
      <c r="AS116" s="102" t="s">
        <v>853</v>
      </c>
      <c r="AT116" s="102">
        <v>0</v>
      </c>
      <c r="AU116" s="102"/>
      <c r="AV116" s="102">
        <v>1</v>
      </c>
      <c r="AW116" s="102">
        <v>1</v>
      </c>
      <c r="AX116" s="102" t="s">
        <v>1635</v>
      </c>
      <c r="AY116" s="102" t="s">
        <v>1636</v>
      </c>
      <c r="AZ116" s="102">
        <v>4</v>
      </c>
      <c r="BA116" s="102">
        <v>1</v>
      </c>
      <c r="BB116" s="102">
        <v>0</v>
      </c>
      <c r="BC116" s="102">
        <v>3</v>
      </c>
      <c r="BD116" s="102">
        <v>2</v>
      </c>
      <c r="BE116" s="102">
        <v>1</v>
      </c>
      <c r="BF116" s="102">
        <v>0</v>
      </c>
      <c r="BG116" s="102">
        <v>0</v>
      </c>
      <c r="BH116" s="102">
        <v>0</v>
      </c>
      <c r="BI116" s="102">
        <v>0</v>
      </c>
      <c r="BJ116" s="102">
        <v>0</v>
      </c>
      <c r="BK116" s="102">
        <v>0</v>
      </c>
      <c r="BL116" s="102">
        <v>1</v>
      </c>
      <c r="BM116" s="102">
        <v>1</v>
      </c>
      <c r="BN116" s="102">
        <v>0</v>
      </c>
      <c r="BO116" s="102">
        <v>0</v>
      </c>
      <c r="BP116" s="102">
        <v>1</v>
      </c>
      <c r="BQ116" s="102">
        <v>0</v>
      </c>
      <c r="BR116" s="102">
        <v>0</v>
      </c>
      <c r="BS116" s="102">
        <v>0</v>
      </c>
      <c r="BT116" s="102">
        <v>0</v>
      </c>
      <c r="BU116" s="102">
        <v>0</v>
      </c>
      <c r="BV116" s="102">
        <v>0</v>
      </c>
      <c r="BW116" s="102">
        <v>0</v>
      </c>
      <c r="BX116" s="102">
        <v>0</v>
      </c>
      <c r="BY116" s="102">
        <v>0</v>
      </c>
      <c r="BZ116" s="102">
        <v>0</v>
      </c>
      <c r="CA116" s="102" t="s">
        <v>1637</v>
      </c>
      <c r="CB116" s="102">
        <v>1</v>
      </c>
      <c r="CC116" s="102">
        <v>2</v>
      </c>
      <c r="CD116" s="102" t="s">
        <v>1638</v>
      </c>
      <c r="CE116" s="102">
        <v>0</v>
      </c>
      <c r="CF116" s="102">
        <v>0</v>
      </c>
      <c r="CG116" s="102">
        <v>0</v>
      </c>
      <c r="CH116" s="102">
        <v>0</v>
      </c>
      <c r="CI116" s="102">
        <v>1</v>
      </c>
      <c r="CJ116" s="102">
        <v>1</v>
      </c>
      <c r="CK116" s="102">
        <v>0</v>
      </c>
      <c r="CL116" s="102">
        <v>1</v>
      </c>
      <c r="CM116" s="102">
        <v>1</v>
      </c>
      <c r="CN116" s="102">
        <v>0</v>
      </c>
      <c r="CO116" s="102">
        <v>0</v>
      </c>
      <c r="CP116" s="102">
        <v>0</v>
      </c>
      <c r="CQ116" s="102">
        <v>1</v>
      </c>
      <c r="CR116" s="102">
        <v>1</v>
      </c>
      <c r="CS116" s="102">
        <v>0</v>
      </c>
      <c r="CT116" s="102" t="s">
        <v>853</v>
      </c>
      <c r="CU116" s="102">
        <v>1</v>
      </c>
      <c r="CV116" s="102">
        <v>2</v>
      </c>
      <c r="CW116" s="102">
        <v>0</v>
      </c>
      <c r="CX116" s="102">
        <v>0</v>
      </c>
      <c r="CY116" s="102">
        <v>2</v>
      </c>
      <c r="CZ116" s="102">
        <v>0</v>
      </c>
      <c r="DA116" s="102" t="s">
        <v>853</v>
      </c>
      <c r="DB116" s="102">
        <v>0</v>
      </c>
      <c r="DC116" s="102">
        <v>2</v>
      </c>
      <c r="DD116" s="102">
        <v>0</v>
      </c>
      <c r="DE116" s="102">
        <v>0</v>
      </c>
      <c r="DF116" s="102">
        <v>0</v>
      </c>
      <c r="DG116" s="102">
        <v>0</v>
      </c>
      <c r="DH116" s="102">
        <v>0</v>
      </c>
      <c r="DI116" s="102">
        <v>0</v>
      </c>
      <c r="DJ116" s="102">
        <v>1</v>
      </c>
      <c r="DK116" s="102">
        <v>0</v>
      </c>
      <c r="DL116" s="102">
        <v>0</v>
      </c>
      <c r="DM116" s="102">
        <v>0</v>
      </c>
      <c r="DN116" s="102">
        <v>0</v>
      </c>
      <c r="DO116" s="102">
        <v>0</v>
      </c>
      <c r="DP116" s="102">
        <v>0</v>
      </c>
      <c r="DQ116" s="102">
        <v>0</v>
      </c>
      <c r="DR116" s="102">
        <v>1</v>
      </c>
      <c r="DS116" s="102" t="s">
        <v>1639</v>
      </c>
      <c r="DT116" s="105" t="s">
        <v>1640</v>
      </c>
      <c r="DU116" s="102" t="s">
        <v>1595</v>
      </c>
      <c r="DV116" s="102">
        <v>0</v>
      </c>
      <c r="DW116" s="102">
        <v>0</v>
      </c>
      <c r="DX116" s="102" t="s">
        <v>853</v>
      </c>
      <c r="DY116" s="102">
        <v>0</v>
      </c>
      <c r="DZ116" s="102">
        <v>0</v>
      </c>
      <c r="EA116" s="102" t="s">
        <v>853</v>
      </c>
      <c r="EB116" s="102">
        <v>0</v>
      </c>
      <c r="EC116" s="102">
        <v>0</v>
      </c>
      <c r="ED116" s="102">
        <v>0</v>
      </c>
      <c r="EE116" s="102">
        <v>1</v>
      </c>
      <c r="EF116" s="102">
        <v>2</v>
      </c>
      <c r="EG116" s="102">
        <v>0</v>
      </c>
      <c r="EH116" s="102" t="s">
        <v>853</v>
      </c>
      <c r="EI116" s="102">
        <v>1</v>
      </c>
      <c r="EJ116" s="102">
        <v>1</v>
      </c>
      <c r="EK116" s="102">
        <v>2</v>
      </c>
      <c r="EL116" s="102">
        <v>0</v>
      </c>
      <c r="EM116" s="102"/>
    </row>
    <row r="117" spans="1:143" ht="15.75" customHeight="1" x14ac:dyDescent="0.55000000000000004">
      <c r="A117" s="99">
        <v>115</v>
      </c>
      <c r="B117" s="102" t="s">
        <v>1641</v>
      </c>
      <c r="C117" s="102" t="s">
        <v>1642</v>
      </c>
      <c r="D117" s="103">
        <v>40271</v>
      </c>
      <c r="E117" s="102" t="s">
        <v>860</v>
      </c>
      <c r="F117" s="102">
        <v>3</v>
      </c>
      <c r="G117" s="102">
        <v>4</v>
      </c>
      <c r="H117" s="102">
        <v>2010</v>
      </c>
      <c r="I117" s="102" t="s">
        <v>1643</v>
      </c>
      <c r="J117" s="102" t="s">
        <v>1258</v>
      </c>
      <c r="K117" s="102" t="s">
        <v>930</v>
      </c>
      <c r="L117" s="102">
        <v>5</v>
      </c>
      <c r="M117" s="102">
        <v>3</v>
      </c>
      <c r="N117" s="102">
        <v>0</v>
      </c>
      <c r="O117" s="102">
        <v>5</v>
      </c>
      <c r="P117" s="102">
        <v>0</v>
      </c>
      <c r="Q117" s="104">
        <v>0</v>
      </c>
      <c r="R117" s="102">
        <v>0</v>
      </c>
      <c r="S117" s="102" t="s">
        <v>853</v>
      </c>
      <c r="T117" s="102">
        <v>1</v>
      </c>
      <c r="U117" s="102">
        <v>2</v>
      </c>
      <c r="V117" s="102">
        <v>4</v>
      </c>
      <c r="W117" s="102">
        <v>2</v>
      </c>
      <c r="X117" s="102">
        <v>0</v>
      </c>
      <c r="Y117" s="102">
        <v>0</v>
      </c>
      <c r="Z117" s="102">
        <v>0</v>
      </c>
      <c r="AA117" s="102">
        <v>28</v>
      </c>
      <c r="AB117" s="102">
        <v>0</v>
      </c>
      <c r="AC117" s="102">
        <v>3</v>
      </c>
      <c r="AD117" s="102">
        <v>1</v>
      </c>
      <c r="AE117" s="102">
        <v>0</v>
      </c>
      <c r="AF117" s="102"/>
      <c r="AG117" s="102"/>
      <c r="AH117" s="102"/>
      <c r="AI117" s="102"/>
      <c r="AJ117" s="102">
        <v>1</v>
      </c>
      <c r="AK117" s="102">
        <v>1</v>
      </c>
      <c r="AL117" s="102">
        <v>0</v>
      </c>
      <c r="AM117" s="102">
        <v>1</v>
      </c>
      <c r="AN117" s="102">
        <v>0</v>
      </c>
      <c r="AO117" s="102">
        <v>0</v>
      </c>
      <c r="AP117" s="102">
        <v>0</v>
      </c>
      <c r="AQ117" s="102">
        <v>0</v>
      </c>
      <c r="AR117" s="102">
        <v>0</v>
      </c>
      <c r="AS117" s="102" t="s">
        <v>853</v>
      </c>
      <c r="AT117" s="102"/>
      <c r="AU117" s="102"/>
      <c r="AV117" s="102">
        <v>0</v>
      </c>
      <c r="AW117" s="102">
        <v>1</v>
      </c>
      <c r="AX117" s="102">
        <v>0</v>
      </c>
      <c r="AY117" s="102">
        <v>5</v>
      </c>
      <c r="AZ117" s="102">
        <v>3</v>
      </c>
      <c r="BA117" s="102">
        <v>0</v>
      </c>
      <c r="BB117" s="102">
        <v>0</v>
      </c>
      <c r="BC117" s="102">
        <v>0</v>
      </c>
      <c r="BD117" s="102">
        <v>0</v>
      </c>
      <c r="BE117" s="102">
        <v>0</v>
      </c>
      <c r="BF117" s="102">
        <v>0</v>
      </c>
      <c r="BG117" s="102">
        <v>0</v>
      </c>
      <c r="BH117" s="102">
        <v>0</v>
      </c>
      <c r="BI117" s="102">
        <v>0</v>
      </c>
      <c r="BJ117" s="102">
        <v>0</v>
      </c>
      <c r="BK117" s="102">
        <v>1</v>
      </c>
      <c r="BL117" s="102">
        <v>0</v>
      </c>
      <c r="BM117" s="102">
        <v>0</v>
      </c>
      <c r="BN117" s="102">
        <v>0</v>
      </c>
      <c r="BO117" s="102">
        <v>0</v>
      </c>
      <c r="BP117" s="102">
        <v>0</v>
      </c>
      <c r="BQ117" s="102">
        <v>0</v>
      </c>
      <c r="BR117" s="102">
        <v>0</v>
      </c>
      <c r="BS117" s="102">
        <v>0</v>
      </c>
      <c r="BT117" s="102">
        <v>0</v>
      </c>
      <c r="BU117" s="102"/>
      <c r="BV117" s="102">
        <v>0</v>
      </c>
      <c r="BW117" s="102">
        <v>0</v>
      </c>
      <c r="BX117" s="102">
        <v>0</v>
      </c>
      <c r="BY117" s="102">
        <v>0</v>
      </c>
      <c r="BZ117" s="102">
        <v>0</v>
      </c>
      <c r="CA117" s="102">
        <v>0</v>
      </c>
      <c r="CB117" s="102">
        <v>0</v>
      </c>
      <c r="CC117" s="102" t="s">
        <v>853</v>
      </c>
      <c r="CD117" s="102"/>
      <c r="CE117" s="102">
        <v>0</v>
      </c>
      <c r="CF117" s="102">
        <v>0</v>
      </c>
      <c r="CG117" s="102">
        <v>0</v>
      </c>
      <c r="CH117" s="102">
        <v>0</v>
      </c>
      <c r="CI117" s="102">
        <v>0</v>
      </c>
      <c r="CJ117" s="102">
        <v>0</v>
      </c>
      <c r="CK117" s="102">
        <v>0</v>
      </c>
      <c r="CL117" s="102">
        <v>0</v>
      </c>
      <c r="CM117" s="102">
        <v>0</v>
      </c>
      <c r="CN117" s="102">
        <v>0</v>
      </c>
      <c r="CO117" s="102">
        <v>0</v>
      </c>
      <c r="CP117" s="102">
        <v>0</v>
      </c>
      <c r="CQ117" s="102">
        <v>0</v>
      </c>
      <c r="CR117" s="102">
        <v>0</v>
      </c>
      <c r="CS117" s="102">
        <v>0</v>
      </c>
      <c r="CT117" s="102" t="s">
        <v>853</v>
      </c>
      <c r="CU117" s="102">
        <v>0</v>
      </c>
      <c r="CV117" s="102">
        <v>0</v>
      </c>
      <c r="CW117" s="102">
        <v>0</v>
      </c>
      <c r="CX117" s="102">
        <v>0</v>
      </c>
      <c r="CY117" s="102">
        <v>0</v>
      </c>
      <c r="CZ117" s="102">
        <v>0</v>
      </c>
      <c r="DA117" s="102" t="s">
        <v>853</v>
      </c>
      <c r="DB117" s="102">
        <v>0</v>
      </c>
      <c r="DC117" s="102">
        <v>0</v>
      </c>
      <c r="DD117" s="102">
        <v>0</v>
      </c>
      <c r="DE117" s="102">
        <v>0</v>
      </c>
      <c r="DF117" s="102">
        <v>0</v>
      </c>
      <c r="DG117" s="102">
        <v>0</v>
      </c>
      <c r="DH117" s="102">
        <v>0</v>
      </c>
      <c r="DI117" s="102">
        <v>0</v>
      </c>
      <c r="DJ117" s="102">
        <v>0</v>
      </c>
      <c r="DK117" s="102">
        <v>0</v>
      </c>
      <c r="DL117" s="102">
        <v>1</v>
      </c>
      <c r="DM117" s="102">
        <v>0</v>
      </c>
      <c r="DN117" s="102">
        <v>0</v>
      </c>
      <c r="DO117" s="102">
        <v>0</v>
      </c>
      <c r="DP117" s="102">
        <v>0</v>
      </c>
      <c r="DQ117" s="102">
        <v>0</v>
      </c>
      <c r="DR117" s="102">
        <v>0</v>
      </c>
      <c r="DS117" s="102" t="s">
        <v>853</v>
      </c>
      <c r="DT117" s="105" t="s">
        <v>853</v>
      </c>
      <c r="DU117" s="102" t="s">
        <v>853</v>
      </c>
      <c r="DV117" s="102">
        <v>0</v>
      </c>
      <c r="DW117" s="102">
        <v>0</v>
      </c>
      <c r="DX117" s="102" t="s">
        <v>853</v>
      </c>
      <c r="DY117" s="102">
        <v>0</v>
      </c>
      <c r="DZ117" s="102">
        <v>0</v>
      </c>
      <c r="EA117" s="102" t="s">
        <v>853</v>
      </c>
      <c r="EB117" s="102">
        <v>0</v>
      </c>
      <c r="EC117" s="102">
        <v>0</v>
      </c>
      <c r="ED117" s="102">
        <v>1</v>
      </c>
      <c r="EE117" s="102">
        <v>2</v>
      </c>
      <c r="EF117" s="102">
        <v>1</v>
      </c>
      <c r="EG117" s="102">
        <v>0</v>
      </c>
      <c r="EH117" s="102" t="s">
        <v>853</v>
      </c>
      <c r="EI117" s="102">
        <v>2</v>
      </c>
      <c r="EJ117" s="102">
        <v>1</v>
      </c>
      <c r="EK117" s="102">
        <v>0</v>
      </c>
      <c r="EL117" s="102">
        <v>2</v>
      </c>
      <c r="EM117" s="102"/>
    </row>
    <row r="118" spans="1:143" ht="15.75" customHeight="1" x14ac:dyDescent="0.55000000000000004">
      <c r="A118" s="99">
        <v>116</v>
      </c>
      <c r="B118" s="102" t="s">
        <v>1644</v>
      </c>
      <c r="C118" s="102" t="s">
        <v>1645</v>
      </c>
      <c r="D118" s="103">
        <v>40335</v>
      </c>
      <c r="E118" s="102" t="s">
        <v>914</v>
      </c>
      <c r="F118" s="102">
        <v>6</v>
      </c>
      <c r="G118" s="102">
        <v>6</v>
      </c>
      <c r="H118" s="102">
        <v>2010</v>
      </c>
      <c r="I118" s="102" t="s">
        <v>1646</v>
      </c>
      <c r="J118" s="102" t="s">
        <v>1647</v>
      </c>
      <c r="K118" s="102" t="s">
        <v>1022</v>
      </c>
      <c r="L118" s="102">
        <v>9</v>
      </c>
      <c r="M118" s="102">
        <v>0</v>
      </c>
      <c r="N118" s="102">
        <v>0</v>
      </c>
      <c r="O118" s="102">
        <v>5</v>
      </c>
      <c r="P118" s="102">
        <v>0</v>
      </c>
      <c r="Q118" s="104">
        <v>0</v>
      </c>
      <c r="R118" s="102">
        <v>0</v>
      </c>
      <c r="S118" s="102" t="s">
        <v>853</v>
      </c>
      <c r="T118" s="102">
        <v>0</v>
      </c>
      <c r="U118" s="102">
        <v>0</v>
      </c>
      <c r="V118" s="102">
        <v>4</v>
      </c>
      <c r="W118" s="102">
        <v>3</v>
      </c>
      <c r="X118" s="102">
        <v>0</v>
      </c>
      <c r="Y118" s="102">
        <v>1</v>
      </c>
      <c r="Z118" s="102">
        <v>0</v>
      </c>
      <c r="AA118" s="102">
        <v>38</v>
      </c>
      <c r="AB118" s="102">
        <v>0</v>
      </c>
      <c r="AC118" s="102">
        <v>2</v>
      </c>
      <c r="AD118" s="102">
        <v>1</v>
      </c>
      <c r="AE118" s="102">
        <v>0</v>
      </c>
      <c r="AF118" s="102"/>
      <c r="AG118" s="102"/>
      <c r="AH118" s="102"/>
      <c r="AI118" s="102"/>
      <c r="AJ118" s="102">
        <v>3</v>
      </c>
      <c r="AK118" s="102">
        <v>1</v>
      </c>
      <c r="AL118" s="102">
        <v>1</v>
      </c>
      <c r="AM118" s="102">
        <v>0</v>
      </c>
      <c r="AN118" s="102">
        <v>3</v>
      </c>
      <c r="AO118" s="102">
        <v>0</v>
      </c>
      <c r="AP118" s="102">
        <v>0</v>
      </c>
      <c r="AQ118" s="102">
        <v>0</v>
      </c>
      <c r="AR118" s="102">
        <v>0</v>
      </c>
      <c r="AS118" s="102" t="s">
        <v>853</v>
      </c>
      <c r="AT118" s="102">
        <v>1</v>
      </c>
      <c r="AU118" s="102" t="s">
        <v>1298</v>
      </c>
      <c r="AV118" s="102">
        <v>0</v>
      </c>
      <c r="AW118" s="102">
        <v>1</v>
      </c>
      <c r="AX118" s="102">
        <v>4</v>
      </c>
      <c r="AY118" s="102">
        <v>0</v>
      </c>
      <c r="AZ118" s="102">
        <v>4</v>
      </c>
      <c r="BA118" s="102">
        <v>0</v>
      </c>
      <c r="BB118" s="102">
        <v>0</v>
      </c>
      <c r="BC118" s="102">
        <v>1</v>
      </c>
      <c r="BD118" s="102" t="s">
        <v>1123</v>
      </c>
      <c r="BE118" s="102">
        <v>1</v>
      </c>
      <c r="BF118" s="102">
        <v>0</v>
      </c>
      <c r="BG118" s="102">
        <v>0</v>
      </c>
      <c r="BH118" s="102">
        <v>0</v>
      </c>
      <c r="BI118" s="102">
        <v>0</v>
      </c>
      <c r="BJ118" s="102">
        <v>0</v>
      </c>
      <c r="BK118" s="102">
        <v>0</v>
      </c>
      <c r="BL118" s="102">
        <v>0</v>
      </c>
      <c r="BM118" s="102">
        <v>0</v>
      </c>
      <c r="BN118" s="102">
        <v>0</v>
      </c>
      <c r="BO118" s="102">
        <v>0</v>
      </c>
      <c r="BP118" s="102">
        <v>0</v>
      </c>
      <c r="BQ118" s="102">
        <v>0</v>
      </c>
      <c r="BR118" s="102">
        <v>0</v>
      </c>
      <c r="BS118" s="102">
        <v>0</v>
      </c>
      <c r="BT118" s="102">
        <v>0</v>
      </c>
      <c r="BU118" s="102">
        <v>0</v>
      </c>
      <c r="BV118" s="102">
        <v>0</v>
      </c>
      <c r="BW118" s="102">
        <v>0</v>
      </c>
      <c r="BX118" s="102">
        <v>0</v>
      </c>
      <c r="BY118" s="102">
        <v>0</v>
      </c>
      <c r="BZ118" s="102">
        <v>0</v>
      </c>
      <c r="CA118" s="102">
        <v>1</v>
      </c>
      <c r="CB118" s="102">
        <v>1</v>
      </c>
      <c r="CC118" s="102">
        <v>1</v>
      </c>
      <c r="CD118" s="102" t="s">
        <v>1648</v>
      </c>
      <c r="CE118" s="102">
        <v>1</v>
      </c>
      <c r="CF118" s="102">
        <v>1</v>
      </c>
      <c r="CG118" s="102">
        <v>0</v>
      </c>
      <c r="CH118" s="102">
        <v>0</v>
      </c>
      <c r="CI118" s="102">
        <v>1</v>
      </c>
      <c r="CJ118" s="102">
        <v>0</v>
      </c>
      <c r="CK118" s="102">
        <v>0</v>
      </c>
      <c r="CL118" s="102">
        <v>0</v>
      </c>
      <c r="CM118" s="102">
        <v>0</v>
      </c>
      <c r="CN118" s="102">
        <v>2</v>
      </c>
      <c r="CO118" s="102">
        <v>0</v>
      </c>
      <c r="CP118" s="102">
        <v>0</v>
      </c>
      <c r="CQ118" s="102">
        <v>0</v>
      </c>
      <c r="CR118" s="102">
        <v>0</v>
      </c>
      <c r="CS118" s="102">
        <v>0</v>
      </c>
      <c r="CT118" s="102" t="s">
        <v>853</v>
      </c>
      <c r="CU118" s="102">
        <v>0</v>
      </c>
      <c r="CV118" s="102">
        <v>0</v>
      </c>
      <c r="CW118" s="102">
        <v>0</v>
      </c>
      <c r="CX118" s="102">
        <v>0</v>
      </c>
      <c r="CY118" s="102">
        <v>0</v>
      </c>
      <c r="CZ118" s="102">
        <v>0</v>
      </c>
      <c r="DA118" s="102" t="s">
        <v>853</v>
      </c>
      <c r="DB118" s="102">
        <v>0</v>
      </c>
      <c r="DC118" s="102">
        <v>2</v>
      </c>
      <c r="DD118" s="102">
        <v>0</v>
      </c>
      <c r="DE118" s="102">
        <v>0</v>
      </c>
      <c r="DF118" s="102">
        <v>1</v>
      </c>
      <c r="DG118" s="102">
        <v>0</v>
      </c>
      <c r="DH118" s="102">
        <v>0</v>
      </c>
      <c r="DI118" s="102">
        <v>0</v>
      </c>
      <c r="DJ118" s="102">
        <v>0</v>
      </c>
      <c r="DK118" s="102">
        <v>1</v>
      </c>
      <c r="DL118" s="102">
        <v>0</v>
      </c>
      <c r="DM118" s="102">
        <v>0</v>
      </c>
      <c r="DN118" s="102">
        <v>0</v>
      </c>
      <c r="DO118" s="102">
        <v>0</v>
      </c>
      <c r="DP118" s="102">
        <v>0</v>
      </c>
      <c r="DQ118" s="102">
        <v>1</v>
      </c>
      <c r="DR118" s="102">
        <v>0</v>
      </c>
      <c r="DS118" s="102" t="s">
        <v>853</v>
      </c>
      <c r="DT118" s="105" t="s">
        <v>853</v>
      </c>
      <c r="DU118" s="102" t="s">
        <v>853</v>
      </c>
      <c r="DV118" s="102">
        <v>0</v>
      </c>
      <c r="DW118" s="102">
        <v>0</v>
      </c>
      <c r="DX118" s="102" t="s">
        <v>853</v>
      </c>
      <c r="DY118" s="102">
        <v>0</v>
      </c>
      <c r="DZ118" s="102">
        <v>0</v>
      </c>
      <c r="EA118" s="102" t="s">
        <v>853</v>
      </c>
      <c r="EB118" s="102">
        <v>0</v>
      </c>
      <c r="EC118" s="102">
        <v>0</v>
      </c>
      <c r="ED118" s="102">
        <v>0</v>
      </c>
      <c r="EE118" s="102">
        <v>2</v>
      </c>
      <c r="EF118" s="102">
        <v>1</v>
      </c>
      <c r="EG118" s="102">
        <v>0</v>
      </c>
      <c r="EH118" s="102" t="s">
        <v>853</v>
      </c>
      <c r="EI118" s="102">
        <v>0</v>
      </c>
      <c r="EJ118" s="102">
        <v>0</v>
      </c>
      <c r="EK118" s="102">
        <v>2</v>
      </c>
      <c r="EL118" s="102">
        <v>0</v>
      </c>
      <c r="EM118" s="102"/>
    </row>
    <row r="119" spans="1:143" ht="15.75" customHeight="1" x14ac:dyDescent="0.55000000000000004">
      <c r="A119" s="99">
        <v>117</v>
      </c>
      <c r="B119" s="102" t="s">
        <v>1570</v>
      </c>
      <c r="C119" s="102" t="s">
        <v>1649</v>
      </c>
      <c r="D119" s="103">
        <v>40393</v>
      </c>
      <c r="E119" s="102" t="s">
        <v>1032</v>
      </c>
      <c r="F119" s="102">
        <v>3</v>
      </c>
      <c r="G119" s="102">
        <v>8</v>
      </c>
      <c r="H119" s="102">
        <v>2010</v>
      </c>
      <c r="I119" s="102" t="s">
        <v>1650</v>
      </c>
      <c r="J119" s="102" t="s">
        <v>1651</v>
      </c>
      <c r="K119" s="102" t="s">
        <v>1305</v>
      </c>
      <c r="L119" s="102">
        <v>7</v>
      </c>
      <c r="M119" s="102">
        <v>2</v>
      </c>
      <c r="N119" s="102">
        <v>1</v>
      </c>
      <c r="O119" s="106">
        <v>9</v>
      </c>
      <c r="P119" s="102">
        <v>1</v>
      </c>
      <c r="Q119" s="104">
        <v>1</v>
      </c>
      <c r="R119" s="102">
        <v>0</v>
      </c>
      <c r="S119" s="102" t="s">
        <v>853</v>
      </c>
      <c r="T119" s="102">
        <v>0</v>
      </c>
      <c r="U119" s="102">
        <v>0</v>
      </c>
      <c r="V119" s="102">
        <v>8</v>
      </c>
      <c r="W119" s="102">
        <v>2</v>
      </c>
      <c r="X119" s="102">
        <v>0</v>
      </c>
      <c r="Y119" s="102">
        <v>0</v>
      </c>
      <c r="Z119" s="102">
        <v>0</v>
      </c>
      <c r="AA119" s="102">
        <v>34</v>
      </c>
      <c r="AB119" s="102">
        <v>0</v>
      </c>
      <c r="AC119" s="102">
        <v>1</v>
      </c>
      <c r="AD119" s="102">
        <v>0</v>
      </c>
      <c r="AE119" s="102">
        <v>0</v>
      </c>
      <c r="AF119" s="102"/>
      <c r="AG119" s="102">
        <v>2</v>
      </c>
      <c r="AH119" s="102"/>
      <c r="AI119" s="102"/>
      <c r="AJ119" s="102">
        <v>3</v>
      </c>
      <c r="AK119" s="102">
        <v>2</v>
      </c>
      <c r="AL119" s="102">
        <v>2</v>
      </c>
      <c r="AM119" s="102">
        <v>0</v>
      </c>
      <c r="AN119" s="102">
        <v>1</v>
      </c>
      <c r="AO119" s="102">
        <v>0</v>
      </c>
      <c r="AP119" s="102">
        <v>0</v>
      </c>
      <c r="AQ119" s="102">
        <v>0</v>
      </c>
      <c r="AR119" s="102">
        <v>0</v>
      </c>
      <c r="AS119" s="102" t="s">
        <v>853</v>
      </c>
      <c r="AT119" s="102">
        <v>1</v>
      </c>
      <c r="AU119" s="102" t="s">
        <v>1652</v>
      </c>
      <c r="AV119" s="102">
        <v>0</v>
      </c>
      <c r="AW119" s="102">
        <v>0</v>
      </c>
      <c r="AX119" s="102">
        <v>3</v>
      </c>
      <c r="AY119" s="102">
        <v>0</v>
      </c>
      <c r="AZ119" s="102">
        <v>1</v>
      </c>
      <c r="BA119" s="102">
        <v>0</v>
      </c>
      <c r="BB119" s="102">
        <v>0</v>
      </c>
      <c r="BC119" s="102">
        <v>0</v>
      </c>
      <c r="BD119" s="102">
        <v>0</v>
      </c>
      <c r="BE119" s="102">
        <v>0</v>
      </c>
      <c r="BF119" s="102">
        <v>0</v>
      </c>
      <c r="BG119" s="102">
        <v>0</v>
      </c>
      <c r="BH119" s="102">
        <v>0</v>
      </c>
      <c r="BI119" s="102">
        <v>2</v>
      </c>
      <c r="BJ119" s="102">
        <v>0</v>
      </c>
      <c r="BK119" s="102">
        <v>1</v>
      </c>
      <c r="BL119" s="102">
        <v>0</v>
      </c>
      <c r="BM119" s="102">
        <v>0</v>
      </c>
      <c r="BN119" s="102">
        <v>0</v>
      </c>
      <c r="BO119" s="102">
        <v>0</v>
      </c>
      <c r="BP119" s="102">
        <v>0</v>
      </c>
      <c r="BQ119" s="102">
        <v>0</v>
      </c>
      <c r="BR119" s="102">
        <v>0</v>
      </c>
      <c r="BS119" s="102">
        <v>0</v>
      </c>
      <c r="BT119" s="102">
        <v>0</v>
      </c>
      <c r="BU119" s="102">
        <v>0</v>
      </c>
      <c r="BV119" s="102">
        <v>0</v>
      </c>
      <c r="BW119" s="102">
        <v>0</v>
      </c>
      <c r="BX119" s="102">
        <v>0</v>
      </c>
      <c r="BY119" s="102">
        <v>0</v>
      </c>
      <c r="BZ119" s="102">
        <v>0</v>
      </c>
      <c r="CA119" s="102">
        <v>2</v>
      </c>
      <c r="CB119" s="102">
        <v>1</v>
      </c>
      <c r="CC119" s="102">
        <v>0</v>
      </c>
      <c r="CD119" s="102" t="s">
        <v>1653</v>
      </c>
      <c r="CE119" s="102">
        <v>0</v>
      </c>
      <c r="CF119" s="102">
        <v>1</v>
      </c>
      <c r="CG119" s="102">
        <v>0</v>
      </c>
      <c r="CH119" s="102">
        <v>0</v>
      </c>
      <c r="CI119" s="102">
        <v>1</v>
      </c>
      <c r="CJ119" s="102">
        <v>0</v>
      </c>
      <c r="CK119" s="102">
        <v>0</v>
      </c>
      <c r="CL119" s="102">
        <v>0</v>
      </c>
      <c r="CM119" s="102">
        <v>0</v>
      </c>
      <c r="CN119" s="102">
        <v>2</v>
      </c>
      <c r="CO119" s="102">
        <v>0</v>
      </c>
      <c r="CP119" s="102">
        <v>0</v>
      </c>
      <c r="CQ119" s="102">
        <v>0</v>
      </c>
      <c r="CR119" s="102">
        <v>0</v>
      </c>
      <c r="CS119" s="102">
        <v>0</v>
      </c>
      <c r="CT119" s="102" t="s">
        <v>853</v>
      </c>
      <c r="CU119" s="102">
        <v>0</v>
      </c>
      <c r="CV119" s="102">
        <v>0</v>
      </c>
      <c r="CW119" s="102">
        <v>0</v>
      </c>
      <c r="CX119" s="102">
        <v>0</v>
      </c>
      <c r="CY119" s="102">
        <v>0</v>
      </c>
      <c r="CZ119" s="102">
        <v>0</v>
      </c>
      <c r="DA119" s="102" t="s">
        <v>853</v>
      </c>
      <c r="DB119" s="102">
        <v>0</v>
      </c>
      <c r="DC119" s="102">
        <v>0</v>
      </c>
      <c r="DD119" s="102">
        <v>2</v>
      </c>
      <c r="DE119" s="102">
        <v>0</v>
      </c>
      <c r="DF119" s="102">
        <v>0</v>
      </c>
      <c r="DG119" s="102">
        <v>0</v>
      </c>
      <c r="DH119" s="102">
        <v>1</v>
      </c>
      <c r="DI119" s="102">
        <v>0</v>
      </c>
      <c r="DJ119" s="102">
        <v>0</v>
      </c>
      <c r="DK119" s="102">
        <v>0</v>
      </c>
      <c r="DL119" s="102">
        <v>0</v>
      </c>
      <c r="DM119" s="102">
        <v>0</v>
      </c>
      <c r="DN119" s="102">
        <v>0</v>
      </c>
      <c r="DO119" s="102">
        <v>0</v>
      </c>
      <c r="DP119" s="102">
        <v>0</v>
      </c>
      <c r="DQ119" s="102">
        <v>1</v>
      </c>
      <c r="DR119" s="102">
        <v>1</v>
      </c>
      <c r="DS119" s="102">
        <v>0</v>
      </c>
      <c r="DT119" s="105" t="s">
        <v>1025</v>
      </c>
      <c r="DU119" s="102">
        <v>1</v>
      </c>
      <c r="DV119" s="102">
        <v>0</v>
      </c>
      <c r="DW119" s="102">
        <v>0</v>
      </c>
      <c r="DX119" s="102" t="s">
        <v>853</v>
      </c>
      <c r="DY119" s="102">
        <v>0</v>
      </c>
      <c r="DZ119" s="102">
        <v>0</v>
      </c>
      <c r="EA119" s="102" t="s">
        <v>853</v>
      </c>
      <c r="EB119" s="102">
        <v>0</v>
      </c>
      <c r="EC119" s="102">
        <v>0</v>
      </c>
      <c r="ED119" s="102">
        <v>0</v>
      </c>
      <c r="EE119" s="102">
        <v>1</v>
      </c>
      <c r="EF119" s="102">
        <v>3</v>
      </c>
      <c r="EG119" s="102">
        <v>0</v>
      </c>
      <c r="EH119" s="102" t="s">
        <v>853</v>
      </c>
      <c r="EI119" s="102">
        <v>0</v>
      </c>
      <c r="EJ119" s="102">
        <v>0</v>
      </c>
      <c r="EK119" s="102">
        <v>2</v>
      </c>
      <c r="EL119" s="102">
        <v>0</v>
      </c>
      <c r="EM119" s="102"/>
    </row>
    <row r="120" spans="1:143" ht="15.75" customHeight="1" x14ac:dyDescent="0.55000000000000004">
      <c r="A120" s="99">
        <v>118</v>
      </c>
      <c r="B120" s="102" t="s">
        <v>1654</v>
      </c>
      <c r="C120" s="102" t="s">
        <v>1655</v>
      </c>
      <c r="D120" s="103">
        <v>40404</v>
      </c>
      <c r="E120" s="102" t="s">
        <v>860</v>
      </c>
      <c r="F120" s="102">
        <v>14</v>
      </c>
      <c r="G120" s="102">
        <v>8</v>
      </c>
      <c r="H120" s="102">
        <v>2010</v>
      </c>
      <c r="I120" s="102" t="s">
        <v>1656</v>
      </c>
      <c r="J120" s="102" t="s">
        <v>1657</v>
      </c>
      <c r="K120" s="102" t="s">
        <v>894</v>
      </c>
      <c r="L120" s="102">
        <v>32</v>
      </c>
      <c r="M120" s="102">
        <v>2</v>
      </c>
      <c r="N120" s="102">
        <v>0</v>
      </c>
      <c r="O120" s="102">
        <v>5</v>
      </c>
      <c r="P120" s="102">
        <v>0</v>
      </c>
      <c r="Q120" s="104">
        <v>0</v>
      </c>
      <c r="R120" s="102">
        <v>0</v>
      </c>
      <c r="S120" s="102" t="s">
        <v>853</v>
      </c>
      <c r="T120" s="102">
        <v>1</v>
      </c>
      <c r="U120" s="102">
        <v>1</v>
      </c>
      <c r="V120" s="102">
        <v>4</v>
      </c>
      <c r="W120" s="102">
        <v>4</v>
      </c>
      <c r="X120" s="102">
        <v>0</v>
      </c>
      <c r="Y120" s="102">
        <v>0</v>
      </c>
      <c r="Z120" s="102">
        <v>0</v>
      </c>
      <c r="AA120" s="102">
        <v>23</v>
      </c>
      <c r="AB120" s="102">
        <v>0</v>
      </c>
      <c r="AC120" s="102">
        <v>1</v>
      </c>
      <c r="AD120" s="102">
        <v>0</v>
      </c>
      <c r="AE120" s="102">
        <v>0</v>
      </c>
      <c r="AF120" s="102"/>
      <c r="AG120" s="102">
        <v>1</v>
      </c>
      <c r="AH120" s="102">
        <v>0</v>
      </c>
      <c r="AI120" s="102" t="s">
        <v>1658</v>
      </c>
      <c r="AJ120" s="102"/>
      <c r="AK120" s="102">
        <v>1</v>
      </c>
      <c r="AL120" s="102"/>
      <c r="AM120" s="102"/>
      <c r="AN120" s="102">
        <v>1</v>
      </c>
      <c r="AO120" s="102">
        <v>1</v>
      </c>
      <c r="AP120" s="102"/>
      <c r="AQ120" s="102"/>
      <c r="AR120" s="102">
        <v>0</v>
      </c>
      <c r="AS120" s="102" t="s">
        <v>853</v>
      </c>
      <c r="AT120" s="102">
        <v>0</v>
      </c>
      <c r="AU120" s="102"/>
      <c r="AV120" s="102">
        <v>0</v>
      </c>
      <c r="AW120" s="102">
        <v>1</v>
      </c>
      <c r="AX120" s="102">
        <v>0</v>
      </c>
      <c r="AY120" s="102" t="s">
        <v>1239</v>
      </c>
      <c r="AZ120" s="102">
        <v>2</v>
      </c>
      <c r="BA120" s="102">
        <v>0</v>
      </c>
      <c r="BB120" s="102">
        <v>0</v>
      </c>
      <c r="BC120" s="102">
        <v>0</v>
      </c>
      <c r="BD120" s="102">
        <v>0</v>
      </c>
      <c r="BE120" s="102">
        <v>0</v>
      </c>
      <c r="BF120" s="102">
        <v>1</v>
      </c>
      <c r="BG120" s="102">
        <v>0</v>
      </c>
      <c r="BH120" s="102">
        <v>0</v>
      </c>
      <c r="BI120" s="102">
        <v>0</v>
      </c>
      <c r="BJ120" s="102">
        <v>0</v>
      </c>
      <c r="BK120" s="102">
        <v>0</v>
      </c>
      <c r="BL120" s="102">
        <v>0</v>
      </c>
      <c r="BM120" s="102">
        <v>1</v>
      </c>
      <c r="BN120" s="102">
        <v>0</v>
      </c>
      <c r="BO120" s="102">
        <v>0</v>
      </c>
      <c r="BP120" s="102">
        <v>0</v>
      </c>
      <c r="BQ120" s="102">
        <v>0</v>
      </c>
      <c r="BR120" s="102">
        <v>0</v>
      </c>
      <c r="BS120" s="102">
        <v>0</v>
      </c>
      <c r="BT120" s="102">
        <v>0</v>
      </c>
      <c r="BU120" s="102">
        <v>0</v>
      </c>
      <c r="BV120" s="102">
        <v>0</v>
      </c>
      <c r="BW120" s="102">
        <v>0</v>
      </c>
      <c r="BX120" s="102">
        <v>1</v>
      </c>
      <c r="BY120" s="102">
        <v>1</v>
      </c>
      <c r="BZ120" s="102">
        <v>0</v>
      </c>
      <c r="CA120" s="102">
        <v>0</v>
      </c>
      <c r="CB120" s="102">
        <v>0</v>
      </c>
      <c r="CC120" s="102" t="s">
        <v>853</v>
      </c>
      <c r="CD120" s="102"/>
      <c r="CE120" s="102">
        <v>0</v>
      </c>
      <c r="CF120" s="102">
        <v>0</v>
      </c>
      <c r="CG120" s="102">
        <v>0</v>
      </c>
      <c r="CH120" s="102">
        <v>0</v>
      </c>
      <c r="CI120" s="102">
        <v>0</v>
      </c>
      <c r="CJ120" s="102">
        <v>0</v>
      </c>
      <c r="CK120" s="102">
        <v>0</v>
      </c>
      <c r="CL120" s="102">
        <v>0</v>
      </c>
      <c r="CM120" s="102">
        <v>0</v>
      </c>
      <c r="CN120" s="102">
        <v>0</v>
      </c>
      <c r="CO120" s="102">
        <v>0</v>
      </c>
      <c r="CP120" s="102">
        <v>0</v>
      </c>
      <c r="CQ120" s="102">
        <v>0</v>
      </c>
      <c r="CR120" s="102">
        <v>0</v>
      </c>
      <c r="CS120" s="102">
        <v>0</v>
      </c>
      <c r="CT120" s="102" t="s">
        <v>853</v>
      </c>
      <c r="CU120" s="102">
        <v>0</v>
      </c>
      <c r="CV120" s="102">
        <v>0</v>
      </c>
      <c r="CW120" s="102">
        <v>0</v>
      </c>
      <c r="CX120" s="102">
        <v>0</v>
      </c>
      <c r="CY120" s="102">
        <v>3</v>
      </c>
      <c r="CZ120" s="102">
        <v>0</v>
      </c>
      <c r="DA120" s="102" t="s">
        <v>853</v>
      </c>
      <c r="DB120" s="102">
        <v>0</v>
      </c>
      <c r="DC120" s="102">
        <v>0</v>
      </c>
      <c r="DD120" s="102">
        <v>0</v>
      </c>
      <c r="DE120" s="102">
        <v>0</v>
      </c>
      <c r="DF120" s="102">
        <v>0</v>
      </c>
      <c r="DG120" s="102">
        <v>0</v>
      </c>
      <c r="DH120" s="102">
        <v>0</v>
      </c>
      <c r="DI120" s="102">
        <v>0</v>
      </c>
      <c r="DJ120" s="102">
        <v>0</v>
      </c>
      <c r="DK120" s="102">
        <v>0</v>
      </c>
      <c r="DL120" s="102">
        <v>1</v>
      </c>
      <c r="DM120" s="102">
        <v>0</v>
      </c>
      <c r="DN120" s="102">
        <v>0</v>
      </c>
      <c r="DO120" s="102">
        <v>1</v>
      </c>
      <c r="DP120" s="102">
        <v>0</v>
      </c>
      <c r="DQ120" s="102">
        <v>0</v>
      </c>
      <c r="DR120" s="102">
        <v>0</v>
      </c>
      <c r="DS120" s="102" t="s">
        <v>853</v>
      </c>
      <c r="DT120" s="105" t="s">
        <v>853</v>
      </c>
      <c r="DU120" s="102" t="s">
        <v>853</v>
      </c>
      <c r="DV120" s="102">
        <v>0</v>
      </c>
      <c r="DW120" s="102">
        <v>0</v>
      </c>
      <c r="DX120" s="102" t="s">
        <v>853</v>
      </c>
      <c r="DY120" s="102">
        <v>0</v>
      </c>
      <c r="DZ120" s="102">
        <v>0</v>
      </c>
      <c r="EA120" s="102" t="s">
        <v>853</v>
      </c>
      <c r="EB120" s="102">
        <v>0</v>
      </c>
      <c r="EC120" s="102">
        <v>0</v>
      </c>
      <c r="ED120" s="102">
        <v>0</v>
      </c>
      <c r="EE120" s="102">
        <v>1</v>
      </c>
      <c r="EF120" s="102">
        <v>1</v>
      </c>
      <c r="EG120" s="102">
        <v>0</v>
      </c>
      <c r="EH120" s="102" t="s">
        <v>853</v>
      </c>
      <c r="EI120" s="102">
        <v>2</v>
      </c>
      <c r="EJ120" s="102">
        <v>1</v>
      </c>
      <c r="EK120" s="102">
        <v>0</v>
      </c>
      <c r="EL120" s="102">
        <v>2</v>
      </c>
      <c r="EM120" s="102"/>
    </row>
    <row r="121" spans="1:143" ht="15.75" customHeight="1" x14ac:dyDescent="0.55000000000000004">
      <c r="A121" s="99">
        <v>119</v>
      </c>
      <c r="B121" s="102" t="s">
        <v>1659</v>
      </c>
      <c r="C121" s="102" t="s">
        <v>1660</v>
      </c>
      <c r="D121" s="103">
        <v>40432</v>
      </c>
      <c r="E121" s="102" t="s">
        <v>860</v>
      </c>
      <c r="F121" s="102">
        <v>11</v>
      </c>
      <c r="G121" s="102">
        <v>9</v>
      </c>
      <c r="H121" s="102">
        <v>2010</v>
      </c>
      <c r="I121" s="102" t="s">
        <v>1661</v>
      </c>
      <c r="J121" s="102" t="s">
        <v>1275</v>
      </c>
      <c r="K121" s="102" t="s">
        <v>1002</v>
      </c>
      <c r="L121" s="102">
        <v>17</v>
      </c>
      <c r="M121" s="102">
        <v>0</v>
      </c>
      <c r="N121" s="102">
        <v>2</v>
      </c>
      <c r="O121" s="102">
        <v>7</v>
      </c>
      <c r="P121" s="102">
        <v>0</v>
      </c>
      <c r="Q121" s="104">
        <v>0</v>
      </c>
      <c r="R121" s="102">
        <v>0</v>
      </c>
      <c r="S121" s="102" t="s">
        <v>853</v>
      </c>
      <c r="T121" s="102">
        <v>0</v>
      </c>
      <c r="U121" s="102">
        <v>0</v>
      </c>
      <c r="V121" s="102">
        <v>5</v>
      </c>
      <c r="W121" s="102">
        <v>0</v>
      </c>
      <c r="X121" s="102">
        <v>1</v>
      </c>
      <c r="Y121" s="102">
        <v>1</v>
      </c>
      <c r="Z121" s="102">
        <v>0</v>
      </c>
      <c r="AA121" s="102">
        <v>47</v>
      </c>
      <c r="AB121" s="102">
        <v>0</v>
      </c>
      <c r="AC121" s="102">
        <v>0</v>
      </c>
      <c r="AD121" s="102">
        <v>0</v>
      </c>
      <c r="AE121" s="102">
        <v>0</v>
      </c>
      <c r="AF121" s="102"/>
      <c r="AG121" s="102"/>
      <c r="AH121" s="102"/>
      <c r="AI121" s="102"/>
      <c r="AJ121" s="102"/>
      <c r="AK121" s="102">
        <v>1</v>
      </c>
      <c r="AL121" s="102"/>
      <c r="AM121" s="102"/>
      <c r="AN121" s="102">
        <v>2</v>
      </c>
      <c r="AO121" s="102">
        <v>1</v>
      </c>
      <c r="AP121" s="102">
        <v>0</v>
      </c>
      <c r="AQ121" s="102"/>
      <c r="AR121" s="102">
        <v>0</v>
      </c>
      <c r="AS121" s="102" t="s">
        <v>853</v>
      </c>
      <c r="AT121" s="102">
        <v>0</v>
      </c>
      <c r="AU121" s="102"/>
      <c r="AV121" s="102">
        <v>0</v>
      </c>
      <c r="AW121" s="102">
        <v>1</v>
      </c>
      <c r="AX121" s="102">
        <v>2</v>
      </c>
      <c r="AY121" s="102">
        <v>6</v>
      </c>
      <c r="AZ121" s="102">
        <v>4</v>
      </c>
      <c r="BA121" s="102">
        <v>0</v>
      </c>
      <c r="BB121" s="102">
        <v>0</v>
      </c>
      <c r="BC121" s="102">
        <v>1</v>
      </c>
      <c r="BD121" s="102">
        <v>3</v>
      </c>
      <c r="BE121" s="102">
        <v>1</v>
      </c>
      <c r="BF121" s="102">
        <v>0</v>
      </c>
      <c r="BG121" s="102">
        <v>0</v>
      </c>
      <c r="BH121" s="102">
        <v>0</v>
      </c>
      <c r="BI121" s="102">
        <v>0</v>
      </c>
      <c r="BJ121" s="102">
        <v>1</v>
      </c>
      <c r="BK121" s="102">
        <v>0</v>
      </c>
      <c r="BL121" s="102">
        <v>0</v>
      </c>
      <c r="BM121" s="102">
        <v>0</v>
      </c>
      <c r="BN121" s="102">
        <v>0</v>
      </c>
      <c r="BO121" s="102">
        <v>0</v>
      </c>
      <c r="BP121" s="102">
        <v>0</v>
      </c>
      <c r="BQ121" s="102">
        <v>0</v>
      </c>
      <c r="BR121" s="102">
        <v>0</v>
      </c>
      <c r="BS121" s="102">
        <v>0</v>
      </c>
      <c r="BT121" s="102">
        <v>0</v>
      </c>
      <c r="BU121" s="102"/>
      <c r="BV121" s="102">
        <v>0</v>
      </c>
      <c r="BW121" s="102">
        <v>0</v>
      </c>
      <c r="BX121" s="102">
        <v>0</v>
      </c>
      <c r="BY121" s="102">
        <v>0</v>
      </c>
      <c r="BZ121" s="102">
        <v>0</v>
      </c>
      <c r="CA121" s="102">
        <v>6</v>
      </c>
      <c r="CB121" s="102">
        <v>1</v>
      </c>
      <c r="CC121" s="102">
        <v>2</v>
      </c>
      <c r="CD121" s="102" t="s">
        <v>1662</v>
      </c>
      <c r="CE121" s="102">
        <v>0</v>
      </c>
      <c r="CF121" s="102">
        <v>0</v>
      </c>
      <c r="CG121" s="102">
        <v>0</v>
      </c>
      <c r="CH121" s="102">
        <v>1</v>
      </c>
      <c r="CI121" s="102">
        <v>1</v>
      </c>
      <c r="CJ121" s="102">
        <v>1</v>
      </c>
      <c r="CK121" s="102">
        <v>0</v>
      </c>
      <c r="CL121" s="102">
        <v>0</v>
      </c>
      <c r="CM121" s="102">
        <v>0</v>
      </c>
      <c r="CN121" s="102">
        <v>2</v>
      </c>
      <c r="CO121" s="102">
        <v>0</v>
      </c>
      <c r="CP121" s="102">
        <v>0</v>
      </c>
      <c r="CQ121" s="102">
        <v>0</v>
      </c>
      <c r="CR121" s="102">
        <v>0</v>
      </c>
      <c r="CS121" s="102">
        <v>0</v>
      </c>
      <c r="CT121" s="102" t="s">
        <v>853</v>
      </c>
      <c r="CU121" s="102">
        <v>0</v>
      </c>
      <c r="CV121" s="102">
        <v>4</v>
      </c>
      <c r="CW121" s="102">
        <v>0</v>
      </c>
      <c r="CX121" s="102">
        <v>0</v>
      </c>
      <c r="CY121" s="102">
        <v>0</v>
      </c>
      <c r="CZ121" s="102">
        <v>1</v>
      </c>
      <c r="DA121" s="102" t="s">
        <v>1663</v>
      </c>
      <c r="DB121" s="102">
        <v>0</v>
      </c>
      <c r="DC121" s="102">
        <v>0</v>
      </c>
      <c r="DD121" s="102">
        <v>0</v>
      </c>
      <c r="DE121" s="102">
        <v>0</v>
      </c>
      <c r="DF121" s="102">
        <v>0</v>
      </c>
      <c r="DG121" s="102">
        <v>0</v>
      </c>
      <c r="DH121" s="102">
        <v>0</v>
      </c>
      <c r="DI121" s="102">
        <v>0</v>
      </c>
      <c r="DJ121" s="102">
        <v>0</v>
      </c>
      <c r="DK121" s="102">
        <v>1</v>
      </c>
      <c r="DL121" s="102">
        <v>0</v>
      </c>
      <c r="DM121" s="102">
        <v>0</v>
      </c>
      <c r="DN121" s="102">
        <v>0</v>
      </c>
      <c r="DO121" s="102">
        <v>0</v>
      </c>
      <c r="DP121" s="102">
        <v>0</v>
      </c>
      <c r="DQ121" s="102">
        <v>0</v>
      </c>
      <c r="DR121" s="102">
        <v>1</v>
      </c>
      <c r="DS121" s="102">
        <v>0</v>
      </c>
      <c r="DT121" s="105" t="s">
        <v>1067</v>
      </c>
      <c r="DU121" s="102">
        <v>1</v>
      </c>
      <c r="DV121" s="102">
        <v>0</v>
      </c>
      <c r="DW121" s="102">
        <v>0</v>
      </c>
      <c r="DX121" s="102" t="s">
        <v>853</v>
      </c>
      <c r="DY121" s="102">
        <v>0</v>
      </c>
      <c r="DZ121" s="102">
        <v>0</v>
      </c>
      <c r="EA121" s="102" t="s">
        <v>853</v>
      </c>
      <c r="EB121" s="102">
        <v>0</v>
      </c>
      <c r="EC121" s="102">
        <v>0</v>
      </c>
      <c r="ED121" s="102">
        <v>0</v>
      </c>
      <c r="EE121" s="102">
        <v>1</v>
      </c>
      <c r="EF121" s="102">
        <v>1</v>
      </c>
      <c r="EG121" s="102">
        <v>0</v>
      </c>
      <c r="EH121" s="102" t="s">
        <v>853</v>
      </c>
      <c r="EI121" s="102">
        <v>0</v>
      </c>
      <c r="EJ121" s="102">
        <v>0</v>
      </c>
      <c r="EK121" s="102">
        <v>2</v>
      </c>
      <c r="EL121" s="102">
        <v>0</v>
      </c>
      <c r="EM121" s="102"/>
    </row>
    <row r="122" spans="1:143" ht="15.75" customHeight="1" x14ac:dyDescent="0.55000000000000004">
      <c r="A122" s="99">
        <v>120</v>
      </c>
      <c r="B122" s="102" t="s">
        <v>1664</v>
      </c>
      <c r="C122" s="102" t="s">
        <v>1665</v>
      </c>
      <c r="D122" s="103">
        <v>40551</v>
      </c>
      <c r="E122" s="102" t="s">
        <v>860</v>
      </c>
      <c r="F122" s="102">
        <v>8</v>
      </c>
      <c r="G122" s="102">
        <v>1</v>
      </c>
      <c r="H122" s="102">
        <v>2011</v>
      </c>
      <c r="I122" s="102" t="s">
        <v>1666</v>
      </c>
      <c r="J122" s="102" t="s">
        <v>1667</v>
      </c>
      <c r="K122" s="102" t="s">
        <v>863</v>
      </c>
      <c r="L122" s="102">
        <v>3</v>
      </c>
      <c r="M122" s="102">
        <v>3</v>
      </c>
      <c r="N122" s="102">
        <v>0</v>
      </c>
      <c r="O122" s="102">
        <v>4</v>
      </c>
      <c r="P122" s="102">
        <v>0</v>
      </c>
      <c r="Q122" s="104">
        <v>0</v>
      </c>
      <c r="R122" s="102">
        <v>0</v>
      </c>
      <c r="S122" s="102" t="s">
        <v>853</v>
      </c>
      <c r="T122" s="102">
        <v>0</v>
      </c>
      <c r="U122" s="102">
        <v>0</v>
      </c>
      <c r="V122" s="102">
        <v>6</v>
      </c>
      <c r="W122" s="102">
        <v>13</v>
      </c>
      <c r="X122" s="102">
        <v>0</v>
      </c>
      <c r="Y122" s="102">
        <v>0</v>
      </c>
      <c r="Z122" s="102">
        <v>0</v>
      </c>
      <c r="AA122" s="102">
        <v>22</v>
      </c>
      <c r="AB122" s="102">
        <v>0</v>
      </c>
      <c r="AC122" s="102">
        <v>0</v>
      </c>
      <c r="AD122" s="102">
        <v>0</v>
      </c>
      <c r="AE122" s="102">
        <v>0</v>
      </c>
      <c r="AF122" s="102">
        <v>0</v>
      </c>
      <c r="AG122" s="102">
        <v>2</v>
      </c>
      <c r="AH122" s="102">
        <v>1</v>
      </c>
      <c r="AI122" s="102" t="s">
        <v>1668</v>
      </c>
      <c r="AJ122" s="102">
        <v>0</v>
      </c>
      <c r="AK122" s="102">
        <v>0</v>
      </c>
      <c r="AL122" s="102">
        <v>0</v>
      </c>
      <c r="AM122" s="102">
        <v>0</v>
      </c>
      <c r="AN122" s="102">
        <v>0</v>
      </c>
      <c r="AO122" s="102">
        <v>0</v>
      </c>
      <c r="AP122" s="102">
        <v>0</v>
      </c>
      <c r="AQ122" s="102">
        <v>0</v>
      </c>
      <c r="AR122" s="102">
        <v>0</v>
      </c>
      <c r="AS122" s="102" t="s">
        <v>853</v>
      </c>
      <c r="AT122" s="102">
        <v>3</v>
      </c>
      <c r="AU122" s="102" t="s">
        <v>1669</v>
      </c>
      <c r="AV122" s="102">
        <v>1</v>
      </c>
      <c r="AW122" s="102">
        <v>1</v>
      </c>
      <c r="AX122" s="102">
        <v>0</v>
      </c>
      <c r="AY122" s="102" t="s">
        <v>1528</v>
      </c>
      <c r="AZ122" s="102">
        <v>4</v>
      </c>
      <c r="BA122" s="102">
        <v>0</v>
      </c>
      <c r="BB122" s="102">
        <v>0</v>
      </c>
      <c r="BC122" s="102">
        <v>0</v>
      </c>
      <c r="BD122" s="102">
        <v>0</v>
      </c>
      <c r="BE122" s="102">
        <v>0</v>
      </c>
      <c r="BF122" s="102">
        <v>0</v>
      </c>
      <c r="BG122" s="102">
        <v>0</v>
      </c>
      <c r="BH122" s="102">
        <v>0</v>
      </c>
      <c r="BI122" s="102">
        <v>1</v>
      </c>
      <c r="BJ122" s="102">
        <v>0</v>
      </c>
      <c r="BK122" s="102">
        <v>0</v>
      </c>
      <c r="BL122" s="102">
        <v>0</v>
      </c>
      <c r="BM122" s="102">
        <v>0</v>
      </c>
      <c r="BN122" s="102">
        <v>0</v>
      </c>
      <c r="BO122" s="102">
        <v>0</v>
      </c>
      <c r="BP122" s="102">
        <v>0</v>
      </c>
      <c r="BQ122" s="102">
        <v>0</v>
      </c>
      <c r="BR122" s="102">
        <v>0</v>
      </c>
      <c r="BS122" s="102">
        <v>0</v>
      </c>
      <c r="BT122" s="102">
        <v>0</v>
      </c>
      <c r="BU122" s="102">
        <v>1</v>
      </c>
      <c r="BV122" s="102">
        <v>0</v>
      </c>
      <c r="BW122" s="102">
        <v>0</v>
      </c>
      <c r="BX122" s="102">
        <v>0</v>
      </c>
      <c r="BY122" s="102">
        <v>0</v>
      </c>
      <c r="BZ122" s="102">
        <v>0</v>
      </c>
      <c r="CA122" s="102">
        <v>6</v>
      </c>
      <c r="CB122" s="102">
        <v>1</v>
      </c>
      <c r="CC122" s="102">
        <v>3</v>
      </c>
      <c r="CD122" s="102" t="s">
        <v>1670</v>
      </c>
      <c r="CE122" s="102">
        <v>1</v>
      </c>
      <c r="CF122" s="102">
        <v>0</v>
      </c>
      <c r="CG122" s="102">
        <v>0</v>
      </c>
      <c r="CH122" s="102">
        <v>1</v>
      </c>
      <c r="CI122" s="102">
        <v>1</v>
      </c>
      <c r="CJ122" s="102">
        <v>1</v>
      </c>
      <c r="CK122" s="102">
        <v>1</v>
      </c>
      <c r="CL122" s="102">
        <v>1</v>
      </c>
      <c r="CM122" s="102">
        <v>1</v>
      </c>
      <c r="CN122" s="102">
        <v>1</v>
      </c>
      <c r="CO122" s="102">
        <v>0</v>
      </c>
      <c r="CP122" s="102">
        <v>2</v>
      </c>
      <c r="CQ122" s="102">
        <v>1</v>
      </c>
      <c r="CR122" s="102">
        <v>1</v>
      </c>
      <c r="CS122" s="102">
        <v>0</v>
      </c>
      <c r="CT122" s="102" t="s">
        <v>853</v>
      </c>
      <c r="CU122" s="102">
        <v>0</v>
      </c>
      <c r="CV122" s="102">
        <v>2</v>
      </c>
      <c r="CW122" s="102">
        <v>2</v>
      </c>
      <c r="CX122" s="102">
        <v>0</v>
      </c>
      <c r="CY122" s="102" t="s">
        <v>1123</v>
      </c>
      <c r="CZ122" s="102">
        <v>0</v>
      </c>
      <c r="DA122" s="102" t="s">
        <v>853</v>
      </c>
      <c r="DB122" s="102">
        <v>0</v>
      </c>
      <c r="DC122" s="102" t="s">
        <v>866</v>
      </c>
      <c r="DD122" s="102">
        <v>0</v>
      </c>
      <c r="DE122" s="102">
        <v>0</v>
      </c>
      <c r="DF122" s="102">
        <v>0</v>
      </c>
      <c r="DG122" s="102">
        <v>0</v>
      </c>
      <c r="DH122" s="102">
        <v>0</v>
      </c>
      <c r="DI122" s="102">
        <v>0</v>
      </c>
      <c r="DJ122" s="102">
        <v>0</v>
      </c>
      <c r="DK122" s="102">
        <v>0</v>
      </c>
      <c r="DL122" s="102">
        <v>0</v>
      </c>
      <c r="DM122" s="102">
        <v>0</v>
      </c>
      <c r="DN122" s="102">
        <v>1</v>
      </c>
      <c r="DO122" s="102">
        <v>0</v>
      </c>
      <c r="DP122" s="102">
        <v>3</v>
      </c>
      <c r="DQ122" s="102">
        <v>1</v>
      </c>
      <c r="DR122" s="102">
        <v>1</v>
      </c>
      <c r="DS122" s="102">
        <v>4</v>
      </c>
      <c r="DT122" s="105" t="s">
        <v>1080</v>
      </c>
      <c r="DU122" s="102">
        <v>0</v>
      </c>
      <c r="DV122" s="102">
        <v>1</v>
      </c>
      <c r="DW122" s="102">
        <v>0</v>
      </c>
      <c r="DX122" s="102" t="s">
        <v>853</v>
      </c>
      <c r="DY122" s="102">
        <v>1</v>
      </c>
      <c r="DZ122" s="102">
        <v>0</v>
      </c>
      <c r="EA122" s="102" t="s">
        <v>853</v>
      </c>
      <c r="EB122" s="102">
        <v>1</v>
      </c>
      <c r="EC122" s="102">
        <v>1</v>
      </c>
      <c r="ED122" s="102">
        <v>1</v>
      </c>
      <c r="EE122" s="102">
        <v>2</v>
      </c>
      <c r="EF122" s="102">
        <v>1</v>
      </c>
      <c r="EG122" s="102">
        <v>1</v>
      </c>
      <c r="EH122" s="102" t="s">
        <v>1310</v>
      </c>
      <c r="EI122" s="102">
        <v>2</v>
      </c>
      <c r="EJ122" s="102">
        <v>0</v>
      </c>
      <c r="EK122" s="102">
        <v>0</v>
      </c>
      <c r="EL122" s="102">
        <v>2</v>
      </c>
      <c r="EM122" s="102"/>
    </row>
    <row r="123" spans="1:143" ht="15.75" customHeight="1" x14ac:dyDescent="0.55000000000000004">
      <c r="A123" s="99">
        <v>121</v>
      </c>
      <c r="B123" s="102" t="s">
        <v>1671</v>
      </c>
      <c r="C123" s="102" t="s">
        <v>1046</v>
      </c>
      <c r="D123" s="103">
        <v>40762</v>
      </c>
      <c r="E123" s="102" t="s">
        <v>914</v>
      </c>
      <c r="F123" s="102">
        <v>7</v>
      </c>
      <c r="G123" s="102">
        <v>8</v>
      </c>
      <c r="H123" s="102">
        <v>2011</v>
      </c>
      <c r="I123" s="102" t="s">
        <v>1672</v>
      </c>
      <c r="J123" s="102" t="s">
        <v>1673</v>
      </c>
      <c r="K123" s="102" t="s">
        <v>1478</v>
      </c>
      <c r="L123" s="102">
        <v>35</v>
      </c>
      <c r="M123" s="102">
        <v>1</v>
      </c>
      <c r="N123" s="102">
        <v>1</v>
      </c>
      <c r="O123" s="102">
        <v>7</v>
      </c>
      <c r="P123" s="102">
        <v>0</v>
      </c>
      <c r="Q123" s="104">
        <v>0</v>
      </c>
      <c r="R123" s="102">
        <v>1</v>
      </c>
      <c r="S123" s="102">
        <v>7</v>
      </c>
      <c r="T123" s="102">
        <v>1</v>
      </c>
      <c r="U123" s="102">
        <v>2</v>
      </c>
      <c r="V123" s="102">
        <v>7</v>
      </c>
      <c r="W123" s="102">
        <v>1</v>
      </c>
      <c r="X123" s="102">
        <v>0</v>
      </c>
      <c r="Y123" s="102">
        <v>1</v>
      </c>
      <c r="Z123" s="102">
        <v>0</v>
      </c>
      <c r="AA123" s="102">
        <v>51</v>
      </c>
      <c r="AB123" s="102">
        <v>0</v>
      </c>
      <c r="AC123" s="102">
        <v>0</v>
      </c>
      <c r="AD123" s="102">
        <v>0</v>
      </c>
      <c r="AE123" s="102">
        <v>0</v>
      </c>
      <c r="AF123" s="102"/>
      <c r="AG123" s="102">
        <v>1</v>
      </c>
      <c r="AH123" s="102"/>
      <c r="AI123" s="102"/>
      <c r="AJ123" s="102"/>
      <c r="AK123" s="102">
        <v>1</v>
      </c>
      <c r="AL123" s="102"/>
      <c r="AM123" s="102"/>
      <c r="AN123" s="102">
        <v>1</v>
      </c>
      <c r="AO123" s="102">
        <v>0</v>
      </c>
      <c r="AP123" s="102">
        <v>0</v>
      </c>
      <c r="AQ123" s="102"/>
      <c r="AR123" s="102">
        <v>0</v>
      </c>
      <c r="AS123" s="102" t="s">
        <v>853</v>
      </c>
      <c r="AT123" s="102">
        <v>1</v>
      </c>
      <c r="AU123" s="102" t="s">
        <v>1674</v>
      </c>
      <c r="AV123" s="102">
        <v>1</v>
      </c>
      <c r="AW123" s="102">
        <v>0</v>
      </c>
      <c r="AX123" s="102">
        <v>0</v>
      </c>
      <c r="AY123" s="102">
        <v>0</v>
      </c>
      <c r="AZ123" s="102">
        <v>0</v>
      </c>
      <c r="BA123" s="102">
        <v>0</v>
      </c>
      <c r="BB123" s="102">
        <v>0</v>
      </c>
      <c r="BC123" s="102">
        <v>0</v>
      </c>
      <c r="BD123" s="102">
        <v>0</v>
      </c>
      <c r="BE123" s="102">
        <v>0</v>
      </c>
      <c r="BF123" s="102">
        <v>0</v>
      </c>
      <c r="BG123" s="102">
        <v>0</v>
      </c>
      <c r="BH123" s="102">
        <v>0</v>
      </c>
      <c r="BI123" s="102">
        <v>0</v>
      </c>
      <c r="BJ123" s="102">
        <v>0</v>
      </c>
      <c r="BK123" s="102">
        <v>0</v>
      </c>
      <c r="BL123" s="102">
        <v>0</v>
      </c>
      <c r="BM123" s="102">
        <v>0</v>
      </c>
      <c r="BN123" s="102">
        <v>0</v>
      </c>
      <c r="BO123" s="102">
        <v>0</v>
      </c>
      <c r="BP123" s="102">
        <v>0</v>
      </c>
      <c r="BQ123" s="102">
        <v>0</v>
      </c>
      <c r="BR123" s="102">
        <v>0</v>
      </c>
      <c r="BS123" s="102">
        <v>0</v>
      </c>
      <c r="BT123" s="102">
        <v>0</v>
      </c>
      <c r="BU123" s="102">
        <v>1</v>
      </c>
      <c r="BV123" s="102">
        <v>0</v>
      </c>
      <c r="BW123" s="102">
        <v>0</v>
      </c>
      <c r="BX123" s="102">
        <v>0</v>
      </c>
      <c r="BY123" s="102">
        <v>0</v>
      </c>
      <c r="BZ123" s="102">
        <v>0</v>
      </c>
      <c r="CA123" s="102">
        <v>2</v>
      </c>
      <c r="CB123" s="102">
        <v>1</v>
      </c>
      <c r="CC123" s="102">
        <v>0</v>
      </c>
      <c r="CD123" s="102" t="s">
        <v>1675</v>
      </c>
      <c r="CE123" s="102">
        <v>0</v>
      </c>
      <c r="CF123" s="102">
        <v>1</v>
      </c>
      <c r="CG123" s="102">
        <v>0</v>
      </c>
      <c r="CH123" s="102">
        <v>0</v>
      </c>
      <c r="CI123" s="102">
        <v>1</v>
      </c>
      <c r="CJ123" s="102">
        <v>0</v>
      </c>
      <c r="CK123" s="102">
        <v>0</v>
      </c>
      <c r="CL123" s="102">
        <v>1</v>
      </c>
      <c r="CM123" s="102">
        <v>0</v>
      </c>
      <c r="CN123" s="102">
        <v>2</v>
      </c>
      <c r="CO123" s="102">
        <v>0</v>
      </c>
      <c r="CP123" s="102">
        <v>0</v>
      </c>
      <c r="CQ123" s="102">
        <v>0</v>
      </c>
      <c r="CR123" s="102">
        <v>0</v>
      </c>
      <c r="CS123" s="102">
        <v>0</v>
      </c>
      <c r="CT123" s="102" t="s">
        <v>853</v>
      </c>
      <c r="CU123" s="102">
        <v>0</v>
      </c>
      <c r="CV123" s="102">
        <v>4</v>
      </c>
      <c r="CW123" s="102">
        <v>0</v>
      </c>
      <c r="CX123" s="102">
        <v>0</v>
      </c>
      <c r="CY123" s="102">
        <v>0</v>
      </c>
      <c r="CZ123" s="102">
        <v>0</v>
      </c>
      <c r="DA123" s="102" t="s">
        <v>853</v>
      </c>
      <c r="DB123" s="102">
        <v>0</v>
      </c>
      <c r="DC123" s="102">
        <v>0</v>
      </c>
      <c r="DD123" s="102">
        <v>0</v>
      </c>
      <c r="DE123" s="102">
        <v>0</v>
      </c>
      <c r="DF123" s="102">
        <v>0</v>
      </c>
      <c r="DG123" s="102">
        <v>0</v>
      </c>
      <c r="DH123" s="102">
        <v>0</v>
      </c>
      <c r="DI123" s="102">
        <v>0</v>
      </c>
      <c r="DJ123" s="102">
        <v>1</v>
      </c>
      <c r="DK123" s="102">
        <v>0</v>
      </c>
      <c r="DL123" s="102">
        <v>1</v>
      </c>
      <c r="DM123" s="102">
        <v>0</v>
      </c>
      <c r="DN123" s="102">
        <v>0</v>
      </c>
      <c r="DO123" s="102">
        <v>0</v>
      </c>
      <c r="DP123" s="102">
        <v>0</v>
      </c>
      <c r="DQ123" s="102">
        <v>0</v>
      </c>
      <c r="DR123" s="102">
        <v>0</v>
      </c>
      <c r="DS123" s="102" t="s">
        <v>853</v>
      </c>
      <c r="DT123" s="105" t="s">
        <v>853</v>
      </c>
      <c r="DU123" s="102" t="s">
        <v>853</v>
      </c>
      <c r="DV123" s="102">
        <v>0</v>
      </c>
      <c r="DW123" s="102">
        <v>0</v>
      </c>
      <c r="DX123" s="102" t="s">
        <v>853</v>
      </c>
      <c r="DY123" s="102">
        <v>0</v>
      </c>
      <c r="DZ123" s="102">
        <v>0</v>
      </c>
      <c r="EA123" s="102" t="s">
        <v>853</v>
      </c>
      <c r="EB123" s="102">
        <v>0</v>
      </c>
      <c r="EC123" s="102">
        <v>0</v>
      </c>
      <c r="ED123" s="102">
        <v>0</v>
      </c>
      <c r="EE123" s="102">
        <v>0</v>
      </c>
      <c r="EF123" s="102">
        <v>2</v>
      </c>
      <c r="EG123" s="102">
        <v>0</v>
      </c>
      <c r="EH123" s="102" t="s">
        <v>853</v>
      </c>
      <c r="EI123" s="102">
        <v>1</v>
      </c>
      <c r="EJ123" s="102">
        <v>0</v>
      </c>
      <c r="EK123" s="102">
        <v>2</v>
      </c>
      <c r="EL123" s="102">
        <v>0</v>
      </c>
      <c r="EM123" s="102"/>
    </row>
    <row r="124" spans="1:143" ht="15.75" customHeight="1" x14ac:dyDescent="0.55000000000000004">
      <c r="A124" s="99">
        <v>122</v>
      </c>
      <c r="B124" s="102" t="s">
        <v>1676</v>
      </c>
      <c r="C124" s="102" t="s">
        <v>1677</v>
      </c>
      <c r="D124" s="103">
        <v>40792</v>
      </c>
      <c r="E124" s="102" t="s">
        <v>1032</v>
      </c>
      <c r="F124" s="102">
        <v>6</v>
      </c>
      <c r="G124" s="102">
        <v>9</v>
      </c>
      <c r="H124" s="102">
        <v>2011</v>
      </c>
      <c r="I124" s="102" t="s">
        <v>1678</v>
      </c>
      <c r="J124" s="102" t="s">
        <v>1679</v>
      </c>
      <c r="K124" s="102" t="s">
        <v>1358</v>
      </c>
      <c r="L124" s="102">
        <v>28</v>
      </c>
      <c r="M124" s="102">
        <v>3</v>
      </c>
      <c r="N124" s="102">
        <v>1</v>
      </c>
      <c r="O124" s="102">
        <v>5</v>
      </c>
      <c r="P124" s="102">
        <v>0</v>
      </c>
      <c r="Q124" s="104">
        <v>0</v>
      </c>
      <c r="R124" s="102">
        <v>0</v>
      </c>
      <c r="S124" s="102" t="s">
        <v>853</v>
      </c>
      <c r="T124" s="102">
        <v>1</v>
      </c>
      <c r="U124" s="102">
        <v>1</v>
      </c>
      <c r="V124" s="102">
        <v>4</v>
      </c>
      <c r="W124" s="102">
        <v>7</v>
      </c>
      <c r="X124" s="102">
        <v>0</v>
      </c>
      <c r="Y124" s="102">
        <v>0</v>
      </c>
      <c r="Z124" s="102">
        <v>0</v>
      </c>
      <c r="AA124" s="102">
        <v>32</v>
      </c>
      <c r="AB124" s="102">
        <v>0</v>
      </c>
      <c r="AC124" s="102">
        <v>2</v>
      </c>
      <c r="AD124" s="102">
        <v>1</v>
      </c>
      <c r="AE124" s="102">
        <v>0</v>
      </c>
      <c r="AF124" s="102">
        <v>1</v>
      </c>
      <c r="AG124" s="102">
        <v>1</v>
      </c>
      <c r="AH124" s="102"/>
      <c r="AI124" s="102"/>
      <c r="AJ124" s="102">
        <v>3</v>
      </c>
      <c r="AK124" s="102">
        <v>3</v>
      </c>
      <c r="AL124" s="102">
        <v>3</v>
      </c>
      <c r="AM124" s="102">
        <v>0</v>
      </c>
      <c r="AN124" s="102">
        <v>0</v>
      </c>
      <c r="AO124" s="102">
        <v>0</v>
      </c>
      <c r="AP124" s="102">
        <v>1</v>
      </c>
      <c r="AQ124" s="102">
        <v>0</v>
      </c>
      <c r="AR124" s="102">
        <v>0</v>
      </c>
      <c r="AS124" s="102" t="s">
        <v>853</v>
      </c>
      <c r="AT124" s="102">
        <v>0</v>
      </c>
      <c r="AU124" s="102"/>
      <c r="AV124" s="102">
        <v>1</v>
      </c>
      <c r="AW124" s="102">
        <v>0</v>
      </c>
      <c r="AX124" s="102">
        <v>0</v>
      </c>
      <c r="AY124" s="102">
        <v>0</v>
      </c>
      <c r="AZ124" s="102">
        <v>0</v>
      </c>
      <c r="BA124" s="102">
        <v>0</v>
      </c>
      <c r="BB124" s="102">
        <v>0</v>
      </c>
      <c r="BC124" s="102">
        <v>0</v>
      </c>
      <c r="BD124" s="102">
        <v>0</v>
      </c>
      <c r="BE124" s="102">
        <v>0</v>
      </c>
      <c r="BF124" s="102">
        <v>0</v>
      </c>
      <c r="BG124" s="102">
        <v>0</v>
      </c>
      <c r="BH124" s="102">
        <v>0</v>
      </c>
      <c r="BI124" s="102">
        <v>0</v>
      </c>
      <c r="BJ124" s="102">
        <v>0</v>
      </c>
      <c r="BK124" s="102">
        <v>0</v>
      </c>
      <c r="BL124" s="102">
        <v>0</v>
      </c>
      <c r="BM124" s="102">
        <v>0</v>
      </c>
      <c r="BN124" s="102">
        <v>0</v>
      </c>
      <c r="BO124" s="102">
        <v>0</v>
      </c>
      <c r="BP124" s="102">
        <v>0</v>
      </c>
      <c r="BQ124" s="102">
        <v>0</v>
      </c>
      <c r="BR124" s="102">
        <v>0</v>
      </c>
      <c r="BS124" s="102">
        <v>0</v>
      </c>
      <c r="BT124" s="102">
        <v>0</v>
      </c>
      <c r="BU124" s="102">
        <v>1</v>
      </c>
      <c r="BV124" s="102">
        <v>0</v>
      </c>
      <c r="BW124" s="102">
        <v>0</v>
      </c>
      <c r="BX124" s="102">
        <v>0</v>
      </c>
      <c r="BY124" s="102">
        <v>0</v>
      </c>
      <c r="BZ124" s="102">
        <v>0</v>
      </c>
      <c r="CA124" s="102">
        <v>0</v>
      </c>
      <c r="CB124" s="102">
        <v>1</v>
      </c>
      <c r="CC124" s="102">
        <v>2</v>
      </c>
      <c r="CD124" s="102" t="s">
        <v>1680</v>
      </c>
      <c r="CE124" s="102">
        <v>0</v>
      </c>
      <c r="CF124" s="102">
        <v>0</v>
      </c>
      <c r="CG124" s="102">
        <v>0</v>
      </c>
      <c r="CH124" s="102">
        <v>0</v>
      </c>
      <c r="CI124" s="102">
        <v>1</v>
      </c>
      <c r="CJ124" s="102">
        <v>0</v>
      </c>
      <c r="CK124" s="102">
        <v>0</v>
      </c>
      <c r="CL124" s="102">
        <v>1</v>
      </c>
      <c r="CM124" s="102">
        <v>1</v>
      </c>
      <c r="CN124" s="102">
        <v>0</v>
      </c>
      <c r="CO124" s="102">
        <v>1</v>
      </c>
      <c r="CP124" s="102">
        <v>2</v>
      </c>
      <c r="CQ124" s="102">
        <v>0</v>
      </c>
      <c r="CR124" s="102">
        <v>0</v>
      </c>
      <c r="CS124" s="102">
        <v>1</v>
      </c>
      <c r="CT124" s="102" t="s">
        <v>955</v>
      </c>
      <c r="CU124" s="102">
        <v>1</v>
      </c>
      <c r="CV124" s="102">
        <v>2</v>
      </c>
      <c r="CW124" s="102">
        <v>0</v>
      </c>
      <c r="CX124" s="102">
        <v>0</v>
      </c>
      <c r="CY124" s="102">
        <v>0</v>
      </c>
      <c r="CZ124" s="102">
        <v>0</v>
      </c>
      <c r="DA124" s="102" t="s">
        <v>853</v>
      </c>
      <c r="DB124" s="102">
        <v>0</v>
      </c>
      <c r="DC124" s="102">
        <v>0</v>
      </c>
      <c r="DD124" s="102">
        <v>0</v>
      </c>
      <c r="DE124" s="102">
        <v>0</v>
      </c>
      <c r="DF124" s="102">
        <v>0</v>
      </c>
      <c r="DG124" s="102">
        <v>0</v>
      </c>
      <c r="DH124" s="102">
        <v>0</v>
      </c>
      <c r="DI124" s="102">
        <v>0</v>
      </c>
      <c r="DJ124" s="102">
        <v>0</v>
      </c>
      <c r="DK124" s="102">
        <v>0</v>
      </c>
      <c r="DL124" s="102">
        <v>0</v>
      </c>
      <c r="DM124" s="102">
        <v>0</v>
      </c>
      <c r="DN124" s="102">
        <v>0</v>
      </c>
      <c r="DO124" s="102">
        <v>1</v>
      </c>
      <c r="DP124" s="102">
        <v>1</v>
      </c>
      <c r="DQ124" s="102">
        <v>0</v>
      </c>
      <c r="DR124" s="102">
        <v>0</v>
      </c>
      <c r="DS124" s="102" t="s">
        <v>853</v>
      </c>
      <c r="DT124" s="105" t="s">
        <v>853</v>
      </c>
      <c r="DU124" s="102" t="s">
        <v>853</v>
      </c>
      <c r="DV124" s="102">
        <v>0</v>
      </c>
      <c r="DW124" s="102">
        <v>0</v>
      </c>
      <c r="DX124" s="102" t="s">
        <v>853</v>
      </c>
      <c r="DY124" s="102">
        <v>0</v>
      </c>
      <c r="DZ124" s="102">
        <v>0</v>
      </c>
      <c r="EA124" s="102" t="s">
        <v>853</v>
      </c>
      <c r="EB124" s="102">
        <v>0</v>
      </c>
      <c r="EC124" s="102">
        <v>0</v>
      </c>
      <c r="ED124" s="102">
        <v>0</v>
      </c>
      <c r="EE124" s="102">
        <v>1</v>
      </c>
      <c r="EF124" s="102">
        <v>4</v>
      </c>
      <c r="EG124" s="102">
        <v>0</v>
      </c>
      <c r="EH124" s="102" t="s">
        <v>853</v>
      </c>
      <c r="EI124" s="102">
        <v>0</v>
      </c>
      <c r="EJ124" s="102">
        <v>0</v>
      </c>
      <c r="EK124" s="102">
        <v>2</v>
      </c>
      <c r="EL124" s="102">
        <v>0</v>
      </c>
      <c r="EM124" s="102"/>
    </row>
    <row r="125" spans="1:143" ht="15.75" customHeight="1" x14ac:dyDescent="0.55000000000000004">
      <c r="A125" s="99">
        <v>123</v>
      </c>
      <c r="B125" s="102" t="s">
        <v>1681</v>
      </c>
      <c r="C125" s="102" t="s">
        <v>1682</v>
      </c>
      <c r="D125" s="103">
        <v>40828</v>
      </c>
      <c r="E125" s="102" t="s">
        <v>891</v>
      </c>
      <c r="F125" s="102">
        <v>12</v>
      </c>
      <c r="G125" s="102">
        <v>10</v>
      </c>
      <c r="H125" s="102">
        <v>2011</v>
      </c>
      <c r="I125" s="102" t="s">
        <v>1683</v>
      </c>
      <c r="J125" s="102" t="s">
        <v>1684</v>
      </c>
      <c r="K125" s="102" t="s">
        <v>930</v>
      </c>
      <c r="L125" s="102">
        <v>5</v>
      </c>
      <c r="M125" s="102">
        <v>3</v>
      </c>
      <c r="N125" s="102">
        <v>1</v>
      </c>
      <c r="O125" s="102">
        <v>4</v>
      </c>
      <c r="P125" s="102">
        <v>0</v>
      </c>
      <c r="Q125" s="104">
        <v>0</v>
      </c>
      <c r="R125" s="102">
        <v>0</v>
      </c>
      <c r="S125" s="102" t="s">
        <v>853</v>
      </c>
      <c r="T125" s="102">
        <v>0</v>
      </c>
      <c r="U125" s="102">
        <v>0</v>
      </c>
      <c r="V125" s="102">
        <v>8</v>
      </c>
      <c r="W125" s="102">
        <v>1</v>
      </c>
      <c r="X125" s="102">
        <v>0</v>
      </c>
      <c r="Y125" s="102">
        <v>1</v>
      </c>
      <c r="Z125" s="102">
        <v>0</v>
      </c>
      <c r="AA125" s="102">
        <v>41</v>
      </c>
      <c r="AB125" s="102">
        <v>0</v>
      </c>
      <c r="AC125" s="102">
        <v>0</v>
      </c>
      <c r="AD125" s="102">
        <v>0</v>
      </c>
      <c r="AE125" s="102">
        <v>0</v>
      </c>
      <c r="AF125" s="102"/>
      <c r="AG125" s="102">
        <v>1</v>
      </c>
      <c r="AH125" s="102"/>
      <c r="AI125" s="102"/>
      <c r="AJ125" s="102">
        <v>0</v>
      </c>
      <c r="AK125" s="102">
        <v>0</v>
      </c>
      <c r="AL125" s="102">
        <v>0</v>
      </c>
      <c r="AM125" s="102">
        <v>0</v>
      </c>
      <c r="AN125" s="102">
        <v>3</v>
      </c>
      <c r="AO125" s="102">
        <v>1</v>
      </c>
      <c r="AP125" s="102">
        <v>0</v>
      </c>
      <c r="AQ125" s="102">
        <v>0</v>
      </c>
      <c r="AR125" s="102">
        <v>0</v>
      </c>
      <c r="AS125" s="102" t="s">
        <v>853</v>
      </c>
      <c r="AT125" s="102">
        <v>3</v>
      </c>
      <c r="AU125" s="102" t="s">
        <v>1685</v>
      </c>
      <c r="AV125" s="102">
        <v>0</v>
      </c>
      <c r="AW125" s="102">
        <v>1</v>
      </c>
      <c r="AX125" s="102">
        <v>0</v>
      </c>
      <c r="AY125" s="102">
        <v>1</v>
      </c>
      <c r="AZ125" s="102">
        <v>4</v>
      </c>
      <c r="BA125" s="102">
        <v>0</v>
      </c>
      <c r="BB125" s="102">
        <v>0</v>
      </c>
      <c r="BC125" s="102">
        <v>3</v>
      </c>
      <c r="BD125" s="102" t="s">
        <v>1353</v>
      </c>
      <c r="BE125" s="102">
        <v>1</v>
      </c>
      <c r="BF125" s="102">
        <v>0</v>
      </c>
      <c r="BG125" s="102">
        <v>0</v>
      </c>
      <c r="BH125" s="102">
        <v>0</v>
      </c>
      <c r="BI125" s="102">
        <v>0</v>
      </c>
      <c r="BJ125" s="102">
        <v>0</v>
      </c>
      <c r="BK125" s="102">
        <v>0</v>
      </c>
      <c r="BL125" s="102">
        <v>0</v>
      </c>
      <c r="BM125" s="102">
        <v>1</v>
      </c>
      <c r="BN125" s="102">
        <v>0</v>
      </c>
      <c r="BO125" s="102">
        <v>0</v>
      </c>
      <c r="BP125" s="102">
        <v>1</v>
      </c>
      <c r="BQ125" s="102">
        <v>0</v>
      </c>
      <c r="BR125" s="102">
        <v>0</v>
      </c>
      <c r="BS125" s="102">
        <v>0</v>
      </c>
      <c r="BT125" s="102">
        <v>0</v>
      </c>
      <c r="BU125" s="102">
        <v>2</v>
      </c>
      <c r="BV125" s="102">
        <v>0</v>
      </c>
      <c r="BW125" s="102">
        <v>0</v>
      </c>
      <c r="BX125" s="102">
        <v>0</v>
      </c>
      <c r="BY125" s="102">
        <v>0</v>
      </c>
      <c r="BZ125" s="102">
        <v>5</v>
      </c>
      <c r="CA125" s="102" t="s">
        <v>964</v>
      </c>
      <c r="CB125" s="102">
        <v>1</v>
      </c>
      <c r="CC125" s="102">
        <v>2</v>
      </c>
      <c r="CD125" s="102" t="s">
        <v>1686</v>
      </c>
      <c r="CE125" s="102">
        <v>0</v>
      </c>
      <c r="CF125" s="102">
        <v>0</v>
      </c>
      <c r="CG125" s="102">
        <v>0</v>
      </c>
      <c r="CH125" s="102">
        <v>1</v>
      </c>
      <c r="CI125" s="102">
        <v>1</v>
      </c>
      <c r="CJ125" s="102">
        <v>1</v>
      </c>
      <c r="CK125" s="102">
        <v>0</v>
      </c>
      <c r="CL125" s="102">
        <v>0</v>
      </c>
      <c r="CM125" s="102">
        <v>0</v>
      </c>
      <c r="CN125" s="102">
        <v>1</v>
      </c>
      <c r="CO125" s="102">
        <v>0</v>
      </c>
      <c r="CP125" s="102">
        <v>0</v>
      </c>
      <c r="CQ125" s="102">
        <v>1</v>
      </c>
      <c r="CR125" s="102">
        <v>2</v>
      </c>
      <c r="CS125" s="102">
        <v>1</v>
      </c>
      <c r="CT125" s="102" t="s">
        <v>955</v>
      </c>
      <c r="CU125" s="102">
        <v>1</v>
      </c>
      <c r="CV125" s="102">
        <v>1</v>
      </c>
      <c r="CW125" s="102">
        <v>1</v>
      </c>
      <c r="CX125" s="102">
        <v>0</v>
      </c>
      <c r="CY125" s="102">
        <v>3</v>
      </c>
      <c r="CZ125" s="102">
        <v>1</v>
      </c>
      <c r="DA125" s="102" t="s">
        <v>1687</v>
      </c>
      <c r="DB125" s="102">
        <v>0</v>
      </c>
      <c r="DC125" s="102">
        <v>0</v>
      </c>
      <c r="DD125" s="102">
        <v>0</v>
      </c>
      <c r="DE125" s="102">
        <v>0</v>
      </c>
      <c r="DF125" s="102">
        <v>0</v>
      </c>
      <c r="DG125" s="102">
        <v>0</v>
      </c>
      <c r="DH125" s="102">
        <v>0</v>
      </c>
      <c r="DI125" s="102">
        <v>0</v>
      </c>
      <c r="DJ125" s="102">
        <v>1</v>
      </c>
      <c r="DK125" s="102">
        <v>1</v>
      </c>
      <c r="DL125" s="102">
        <v>0</v>
      </c>
      <c r="DM125" s="102">
        <v>0</v>
      </c>
      <c r="DN125" s="102">
        <v>0</v>
      </c>
      <c r="DO125" s="102">
        <v>0</v>
      </c>
      <c r="DP125" s="102">
        <v>0</v>
      </c>
      <c r="DQ125" s="102">
        <v>0</v>
      </c>
      <c r="DR125" s="102">
        <v>1</v>
      </c>
      <c r="DS125" s="102">
        <v>0</v>
      </c>
      <c r="DT125" s="105" t="s">
        <v>1067</v>
      </c>
      <c r="DU125" s="102">
        <v>1</v>
      </c>
      <c r="DV125" s="102">
        <v>0</v>
      </c>
      <c r="DW125" s="102">
        <v>0</v>
      </c>
      <c r="DX125" s="102" t="s">
        <v>853</v>
      </c>
      <c r="DY125" s="102">
        <v>0</v>
      </c>
      <c r="DZ125" s="102">
        <v>0</v>
      </c>
      <c r="EA125" s="102" t="s">
        <v>853</v>
      </c>
      <c r="EB125" s="102">
        <v>0</v>
      </c>
      <c r="EC125" s="102">
        <v>0</v>
      </c>
      <c r="ED125" s="102">
        <v>0</v>
      </c>
      <c r="EE125" s="102">
        <v>1</v>
      </c>
      <c r="EF125" s="102">
        <v>3</v>
      </c>
      <c r="EG125" s="102">
        <v>1</v>
      </c>
      <c r="EH125" s="102" t="s">
        <v>1688</v>
      </c>
      <c r="EI125" s="102">
        <v>2</v>
      </c>
      <c r="EJ125" s="102">
        <v>0</v>
      </c>
      <c r="EK125" s="102">
        <v>0</v>
      </c>
      <c r="EL125" s="102">
        <v>2</v>
      </c>
      <c r="EM125" s="102"/>
    </row>
    <row r="126" spans="1:143" ht="15.75" customHeight="1" x14ac:dyDescent="0.55000000000000004">
      <c r="A126" s="99">
        <v>124</v>
      </c>
      <c r="B126" s="102" t="s">
        <v>1689</v>
      </c>
      <c r="C126" s="102" t="s">
        <v>1690</v>
      </c>
      <c r="D126" s="103">
        <v>41001</v>
      </c>
      <c r="E126" s="102" t="s">
        <v>846</v>
      </c>
      <c r="F126" s="102">
        <v>2</v>
      </c>
      <c r="G126" s="102">
        <v>4</v>
      </c>
      <c r="H126" s="102">
        <v>2012</v>
      </c>
      <c r="I126" s="102" t="s">
        <v>1691</v>
      </c>
      <c r="J126" s="102" t="s">
        <v>1692</v>
      </c>
      <c r="K126" s="102" t="s">
        <v>930</v>
      </c>
      <c r="L126" s="102">
        <v>5</v>
      </c>
      <c r="M126" s="102">
        <v>3</v>
      </c>
      <c r="N126" s="102">
        <v>0</v>
      </c>
      <c r="O126" s="102">
        <v>1</v>
      </c>
      <c r="P126" s="102">
        <v>1</v>
      </c>
      <c r="Q126" s="104">
        <v>0</v>
      </c>
      <c r="R126" s="102">
        <v>0</v>
      </c>
      <c r="S126" s="102" t="s">
        <v>853</v>
      </c>
      <c r="T126" s="102">
        <v>0</v>
      </c>
      <c r="U126" s="102">
        <v>0</v>
      </c>
      <c r="V126" s="102">
        <v>7</v>
      </c>
      <c r="W126" s="102">
        <v>3</v>
      </c>
      <c r="X126" s="102">
        <v>0</v>
      </c>
      <c r="Y126" s="102">
        <v>0</v>
      </c>
      <c r="Z126" s="102">
        <v>1</v>
      </c>
      <c r="AA126" s="102">
        <v>43</v>
      </c>
      <c r="AB126" s="102">
        <v>0</v>
      </c>
      <c r="AC126" s="102">
        <v>3</v>
      </c>
      <c r="AD126" s="102">
        <v>1</v>
      </c>
      <c r="AE126" s="102">
        <v>0</v>
      </c>
      <c r="AF126" s="102">
        <v>0</v>
      </c>
      <c r="AG126" s="102">
        <v>2</v>
      </c>
      <c r="AH126" s="102">
        <v>2</v>
      </c>
      <c r="AI126" s="102" t="s">
        <v>1465</v>
      </c>
      <c r="AJ126" s="102">
        <v>3</v>
      </c>
      <c r="AK126" s="102">
        <v>2</v>
      </c>
      <c r="AL126" s="102">
        <v>2</v>
      </c>
      <c r="AM126" s="102">
        <v>0</v>
      </c>
      <c r="AN126" s="102">
        <v>3</v>
      </c>
      <c r="AO126" s="102">
        <v>1</v>
      </c>
      <c r="AP126" s="102">
        <v>0</v>
      </c>
      <c r="AQ126" s="102">
        <v>0</v>
      </c>
      <c r="AR126" s="102">
        <v>0</v>
      </c>
      <c r="AS126" s="102" t="s">
        <v>853</v>
      </c>
      <c r="AT126" s="102">
        <v>0</v>
      </c>
      <c r="AU126" s="102"/>
      <c r="AV126" s="102">
        <v>0</v>
      </c>
      <c r="AW126" s="102">
        <v>0</v>
      </c>
      <c r="AX126" s="102">
        <v>0</v>
      </c>
      <c r="AY126" s="102">
        <v>0</v>
      </c>
      <c r="AZ126" s="102">
        <v>0</v>
      </c>
      <c r="BA126" s="102">
        <v>1</v>
      </c>
      <c r="BB126" s="102">
        <v>0</v>
      </c>
      <c r="BC126" s="102">
        <v>0</v>
      </c>
      <c r="BD126" s="102">
        <v>0</v>
      </c>
      <c r="BE126" s="102">
        <v>0</v>
      </c>
      <c r="BF126" s="102">
        <v>0</v>
      </c>
      <c r="BG126" s="102">
        <v>0</v>
      </c>
      <c r="BH126" s="102">
        <v>0</v>
      </c>
      <c r="BI126" s="102">
        <v>0</v>
      </c>
      <c r="BJ126" s="102">
        <v>0</v>
      </c>
      <c r="BK126" s="102">
        <v>0</v>
      </c>
      <c r="BL126" s="102">
        <v>0</v>
      </c>
      <c r="BM126" s="102">
        <v>0</v>
      </c>
      <c r="BN126" s="102">
        <v>0</v>
      </c>
      <c r="BO126" s="102">
        <v>0</v>
      </c>
      <c r="BP126" s="102">
        <v>0</v>
      </c>
      <c r="BQ126" s="102">
        <v>0</v>
      </c>
      <c r="BR126" s="102">
        <v>0</v>
      </c>
      <c r="BS126" s="102">
        <v>0</v>
      </c>
      <c r="BT126" s="102">
        <v>0</v>
      </c>
      <c r="BU126" s="102">
        <v>0</v>
      </c>
      <c r="BV126" s="102">
        <v>0</v>
      </c>
      <c r="BW126" s="102">
        <v>0</v>
      </c>
      <c r="BX126" s="102">
        <v>0</v>
      </c>
      <c r="BY126" s="102">
        <v>0</v>
      </c>
      <c r="BZ126" s="102" t="s">
        <v>954</v>
      </c>
      <c r="CA126" s="102" t="s">
        <v>1361</v>
      </c>
      <c r="CB126" s="102">
        <v>1</v>
      </c>
      <c r="CC126" s="102">
        <v>2</v>
      </c>
      <c r="CD126" s="102" t="s">
        <v>1693</v>
      </c>
      <c r="CE126" s="102">
        <v>0</v>
      </c>
      <c r="CF126" s="102">
        <v>0</v>
      </c>
      <c r="CG126" s="102">
        <v>0</v>
      </c>
      <c r="CH126" s="102">
        <v>0</v>
      </c>
      <c r="CI126" s="102">
        <v>1</v>
      </c>
      <c r="CJ126" s="102">
        <v>0</v>
      </c>
      <c r="CK126" s="102">
        <v>1</v>
      </c>
      <c r="CL126" s="102">
        <v>1</v>
      </c>
      <c r="CM126" s="102">
        <v>1</v>
      </c>
      <c r="CN126" s="102">
        <v>2</v>
      </c>
      <c r="CO126" s="102">
        <v>0</v>
      </c>
      <c r="CP126" s="102">
        <v>0</v>
      </c>
      <c r="CQ126" s="102">
        <v>0</v>
      </c>
      <c r="CR126" s="102">
        <v>0</v>
      </c>
      <c r="CS126" s="102">
        <v>0</v>
      </c>
      <c r="CT126" s="102" t="s">
        <v>853</v>
      </c>
      <c r="CU126" s="102">
        <v>0</v>
      </c>
      <c r="CV126" s="102">
        <v>2</v>
      </c>
      <c r="CW126" s="102">
        <v>0</v>
      </c>
      <c r="CX126" s="102">
        <v>0</v>
      </c>
      <c r="CY126" s="102">
        <v>0</v>
      </c>
      <c r="CZ126" s="102">
        <v>0</v>
      </c>
      <c r="DA126" s="102" t="s">
        <v>853</v>
      </c>
      <c r="DB126" s="102">
        <v>0</v>
      </c>
      <c r="DC126" s="102">
        <v>0</v>
      </c>
      <c r="DD126" s="102">
        <v>0</v>
      </c>
      <c r="DE126" s="102">
        <v>0</v>
      </c>
      <c r="DF126" s="102">
        <v>0</v>
      </c>
      <c r="DG126" s="102">
        <v>0</v>
      </c>
      <c r="DH126" s="102">
        <v>0</v>
      </c>
      <c r="DI126" s="102">
        <v>1</v>
      </c>
      <c r="DJ126" s="102">
        <v>0</v>
      </c>
      <c r="DK126" s="102">
        <v>0</v>
      </c>
      <c r="DL126" s="102">
        <v>0</v>
      </c>
      <c r="DM126" s="102">
        <v>0</v>
      </c>
      <c r="DN126" s="102">
        <v>1</v>
      </c>
      <c r="DO126" s="102">
        <v>0</v>
      </c>
      <c r="DP126" s="102">
        <v>2</v>
      </c>
      <c r="DQ126" s="102">
        <v>0</v>
      </c>
      <c r="DR126" s="102">
        <v>0</v>
      </c>
      <c r="DS126" s="102" t="s">
        <v>853</v>
      </c>
      <c r="DT126" s="105" t="s">
        <v>853</v>
      </c>
      <c r="DU126" s="102" t="s">
        <v>853</v>
      </c>
      <c r="DV126" s="102">
        <v>0</v>
      </c>
      <c r="DW126" s="102">
        <v>0</v>
      </c>
      <c r="DX126" s="102" t="s">
        <v>853</v>
      </c>
      <c r="DY126" s="102">
        <v>0</v>
      </c>
      <c r="DZ126" s="102">
        <v>0</v>
      </c>
      <c r="EA126" s="102" t="s">
        <v>853</v>
      </c>
      <c r="EB126" s="102">
        <v>0</v>
      </c>
      <c r="EC126" s="102">
        <v>0</v>
      </c>
      <c r="ED126" s="102">
        <v>0</v>
      </c>
      <c r="EE126" s="102">
        <v>0</v>
      </c>
      <c r="EF126" s="102">
        <v>1</v>
      </c>
      <c r="EG126" s="102">
        <v>0</v>
      </c>
      <c r="EH126" s="102" t="s">
        <v>853</v>
      </c>
      <c r="EI126" s="102">
        <v>2</v>
      </c>
      <c r="EJ126" s="102">
        <v>0</v>
      </c>
      <c r="EK126" s="102">
        <v>0</v>
      </c>
      <c r="EL126" s="102">
        <v>2</v>
      </c>
      <c r="EM126" s="102"/>
    </row>
    <row r="127" spans="1:143" ht="15.75" customHeight="1" x14ac:dyDescent="0.55000000000000004">
      <c r="A127" s="99">
        <v>125</v>
      </c>
      <c r="B127" s="102" t="s">
        <v>1694</v>
      </c>
      <c r="C127" s="102" t="s">
        <v>1695</v>
      </c>
      <c r="D127" s="103">
        <v>41059</v>
      </c>
      <c r="E127" s="102" t="s">
        <v>891</v>
      </c>
      <c r="F127" s="102">
        <v>30</v>
      </c>
      <c r="G127" s="102">
        <v>5</v>
      </c>
      <c r="H127" s="102">
        <v>2012</v>
      </c>
      <c r="I127" s="102" t="s">
        <v>1696</v>
      </c>
      <c r="J127" s="102" t="s">
        <v>1697</v>
      </c>
      <c r="K127" s="102" t="s">
        <v>1245</v>
      </c>
      <c r="L127" s="102">
        <v>47</v>
      </c>
      <c r="M127" s="102">
        <v>3</v>
      </c>
      <c r="N127" s="102">
        <v>0</v>
      </c>
      <c r="O127" s="102">
        <v>5</v>
      </c>
      <c r="P127" s="102">
        <v>0</v>
      </c>
      <c r="Q127" s="104">
        <v>0</v>
      </c>
      <c r="R127" s="102">
        <v>1</v>
      </c>
      <c r="S127" s="102">
        <v>8</v>
      </c>
      <c r="T127" s="102">
        <v>0</v>
      </c>
      <c r="U127" s="102">
        <v>0</v>
      </c>
      <c r="V127" s="102">
        <v>5</v>
      </c>
      <c r="W127" s="102">
        <v>1</v>
      </c>
      <c r="X127" s="102">
        <v>0</v>
      </c>
      <c r="Y127" s="102">
        <v>0</v>
      </c>
      <c r="Z127" s="102">
        <v>0</v>
      </c>
      <c r="AA127" s="102">
        <v>40</v>
      </c>
      <c r="AB127" s="102">
        <v>0</v>
      </c>
      <c r="AC127" s="102">
        <v>0</v>
      </c>
      <c r="AD127" s="102">
        <v>0</v>
      </c>
      <c r="AE127" s="102">
        <v>0</v>
      </c>
      <c r="AF127" s="102"/>
      <c r="AG127" s="102">
        <v>1</v>
      </c>
      <c r="AH127" s="102">
        <v>0</v>
      </c>
      <c r="AI127" s="102" t="s">
        <v>1698</v>
      </c>
      <c r="AJ127" s="102">
        <v>1</v>
      </c>
      <c r="AK127" s="102">
        <v>2</v>
      </c>
      <c r="AL127" s="102">
        <v>0</v>
      </c>
      <c r="AM127" s="102">
        <v>2</v>
      </c>
      <c r="AN127" s="102">
        <v>1</v>
      </c>
      <c r="AO127" s="102">
        <v>0</v>
      </c>
      <c r="AP127" s="102">
        <v>0</v>
      </c>
      <c r="AQ127" s="102">
        <v>0</v>
      </c>
      <c r="AR127" s="102">
        <v>2</v>
      </c>
      <c r="AS127" s="102">
        <v>0</v>
      </c>
      <c r="AT127" s="102">
        <v>1</v>
      </c>
      <c r="AU127" s="102" t="s">
        <v>1699</v>
      </c>
      <c r="AV127" s="102">
        <v>0</v>
      </c>
      <c r="AW127" s="102">
        <v>1</v>
      </c>
      <c r="AX127" s="102">
        <v>0</v>
      </c>
      <c r="AY127" s="102" t="s">
        <v>1636</v>
      </c>
      <c r="AZ127" s="102">
        <v>3</v>
      </c>
      <c r="BA127" s="102">
        <v>1</v>
      </c>
      <c r="BB127" s="102">
        <v>0</v>
      </c>
      <c r="BC127" s="102">
        <v>3</v>
      </c>
      <c r="BD127" s="102">
        <v>1</v>
      </c>
      <c r="BE127" s="102">
        <v>0</v>
      </c>
      <c r="BF127" s="102">
        <v>0</v>
      </c>
      <c r="BG127" s="102">
        <v>0</v>
      </c>
      <c r="BH127" s="102">
        <v>0</v>
      </c>
      <c r="BI127" s="102">
        <v>0</v>
      </c>
      <c r="BJ127" s="102">
        <v>1</v>
      </c>
      <c r="BK127" s="102">
        <v>0</v>
      </c>
      <c r="BL127" s="102">
        <v>0</v>
      </c>
      <c r="BM127" s="102">
        <v>0</v>
      </c>
      <c r="BN127" s="102">
        <v>0</v>
      </c>
      <c r="BO127" s="102">
        <v>0</v>
      </c>
      <c r="BP127" s="102">
        <v>0</v>
      </c>
      <c r="BQ127" s="102">
        <v>0</v>
      </c>
      <c r="BR127" s="102">
        <v>0</v>
      </c>
      <c r="BS127" s="102">
        <v>0</v>
      </c>
      <c r="BT127" s="102">
        <v>0</v>
      </c>
      <c r="BU127" s="102">
        <v>1</v>
      </c>
      <c r="BV127" s="102">
        <v>0</v>
      </c>
      <c r="BW127" s="102">
        <v>0</v>
      </c>
      <c r="BX127" s="102">
        <v>0</v>
      </c>
      <c r="BY127" s="102">
        <v>0</v>
      </c>
      <c r="BZ127" s="102">
        <v>0</v>
      </c>
      <c r="CA127" s="102">
        <v>0</v>
      </c>
      <c r="CB127" s="102">
        <v>1</v>
      </c>
      <c r="CC127" s="102">
        <v>0</v>
      </c>
      <c r="CD127" s="102" t="s">
        <v>1700</v>
      </c>
      <c r="CE127" s="102">
        <v>0</v>
      </c>
      <c r="CF127" s="102">
        <v>0</v>
      </c>
      <c r="CG127" s="102">
        <v>1</v>
      </c>
      <c r="CH127" s="102">
        <v>1</v>
      </c>
      <c r="CI127" s="102">
        <v>1</v>
      </c>
      <c r="CJ127" s="102">
        <v>1</v>
      </c>
      <c r="CK127" s="102">
        <v>0</v>
      </c>
      <c r="CL127" s="102">
        <v>1</v>
      </c>
      <c r="CM127" s="102">
        <v>0</v>
      </c>
      <c r="CN127" s="102">
        <v>2</v>
      </c>
      <c r="CO127" s="102">
        <v>0</v>
      </c>
      <c r="CP127" s="102">
        <v>0</v>
      </c>
      <c r="CQ127" s="102">
        <v>0</v>
      </c>
      <c r="CR127" s="102">
        <v>0</v>
      </c>
      <c r="CS127" s="102">
        <v>0</v>
      </c>
      <c r="CT127" s="102" t="s">
        <v>853</v>
      </c>
      <c r="CU127" s="102">
        <v>0</v>
      </c>
      <c r="CV127" s="102">
        <v>2</v>
      </c>
      <c r="CW127" s="102">
        <v>0</v>
      </c>
      <c r="CX127" s="102">
        <v>1</v>
      </c>
      <c r="CY127" s="102">
        <v>0</v>
      </c>
      <c r="CZ127" s="102">
        <v>1</v>
      </c>
      <c r="DA127" s="102" t="s">
        <v>1701</v>
      </c>
      <c r="DB127" s="102">
        <v>1</v>
      </c>
      <c r="DC127" s="102">
        <v>0</v>
      </c>
      <c r="DD127" s="102">
        <v>0</v>
      </c>
      <c r="DE127" s="102">
        <v>0</v>
      </c>
      <c r="DF127" s="102">
        <v>0</v>
      </c>
      <c r="DG127" s="102">
        <v>0</v>
      </c>
      <c r="DH127" s="102">
        <v>0</v>
      </c>
      <c r="DI127" s="102">
        <v>0</v>
      </c>
      <c r="DJ127" s="102">
        <v>0</v>
      </c>
      <c r="DK127" s="102">
        <v>0</v>
      </c>
      <c r="DL127" s="102">
        <v>1</v>
      </c>
      <c r="DM127" s="102">
        <v>0</v>
      </c>
      <c r="DN127" s="102">
        <v>0</v>
      </c>
      <c r="DO127" s="102">
        <v>0</v>
      </c>
      <c r="DP127" s="102">
        <v>1</v>
      </c>
      <c r="DQ127" s="102">
        <v>0</v>
      </c>
      <c r="DR127" s="102">
        <v>0</v>
      </c>
      <c r="DS127" s="102" t="s">
        <v>853</v>
      </c>
      <c r="DT127" s="105" t="s">
        <v>853</v>
      </c>
      <c r="DU127" s="102" t="s">
        <v>853</v>
      </c>
      <c r="DV127" s="102">
        <v>0</v>
      </c>
      <c r="DW127" s="102">
        <v>0</v>
      </c>
      <c r="DX127" s="102" t="s">
        <v>853</v>
      </c>
      <c r="DY127" s="102">
        <v>1</v>
      </c>
      <c r="DZ127" s="102">
        <v>0</v>
      </c>
      <c r="EA127" s="102" t="s">
        <v>853</v>
      </c>
      <c r="EB127" s="102">
        <v>0</v>
      </c>
      <c r="EC127" s="102">
        <v>0</v>
      </c>
      <c r="ED127" s="102">
        <v>1</v>
      </c>
      <c r="EE127" s="102">
        <v>3</v>
      </c>
      <c r="EF127" s="102">
        <v>2</v>
      </c>
      <c r="EG127" s="102">
        <v>0</v>
      </c>
      <c r="EH127" s="102" t="s">
        <v>853</v>
      </c>
      <c r="EI127" s="102">
        <v>0</v>
      </c>
      <c r="EJ127" s="102">
        <v>0</v>
      </c>
      <c r="EK127" s="102">
        <v>2</v>
      </c>
      <c r="EL127" s="102">
        <v>0</v>
      </c>
      <c r="EM127" s="102"/>
    </row>
    <row r="128" spans="1:143" ht="15.75" customHeight="1" x14ac:dyDescent="0.55000000000000004">
      <c r="A128" s="99">
        <v>126</v>
      </c>
      <c r="B128" s="102" t="s">
        <v>1702</v>
      </c>
      <c r="C128" s="102" t="s">
        <v>1061</v>
      </c>
      <c r="D128" s="103">
        <v>41110</v>
      </c>
      <c r="E128" s="102" t="s">
        <v>959</v>
      </c>
      <c r="F128" s="102">
        <v>20</v>
      </c>
      <c r="G128" s="102">
        <v>7</v>
      </c>
      <c r="H128" s="102">
        <v>2012</v>
      </c>
      <c r="I128" s="102" t="s">
        <v>1703</v>
      </c>
      <c r="J128" s="102" t="s">
        <v>1236</v>
      </c>
      <c r="K128" s="102" t="s">
        <v>1237</v>
      </c>
      <c r="L128" s="102">
        <v>6</v>
      </c>
      <c r="M128" s="102">
        <v>3</v>
      </c>
      <c r="N128" s="102">
        <v>0</v>
      </c>
      <c r="O128" s="102">
        <v>4</v>
      </c>
      <c r="P128" s="102">
        <v>0</v>
      </c>
      <c r="Q128" s="104">
        <v>0</v>
      </c>
      <c r="R128" s="102">
        <v>0</v>
      </c>
      <c r="S128" s="102" t="s">
        <v>853</v>
      </c>
      <c r="T128" s="102">
        <v>0</v>
      </c>
      <c r="U128" s="102">
        <v>0</v>
      </c>
      <c r="V128" s="102">
        <v>12</v>
      </c>
      <c r="W128" s="102">
        <v>70</v>
      </c>
      <c r="X128" s="102">
        <v>0</v>
      </c>
      <c r="Y128" s="102">
        <v>0</v>
      </c>
      <c r="Z128" s="102">
        <v>0</v>
      </c>
      <c r="AA128" s="102">
        <v>24</v>
      </c>
      <c r="AB128" s="102">
        <v>0</v>
      </c>
      <c r="AC128" s="102">
        <v>0</v>
      </c>
      <c r="AD128" s="102">
        <v>0</v>
      </c>
      <c r="AE128" s="102">
        <v>0</v>
      </c>
      <c r="AF128" s="102">
        <v>1</v>
      </c>
      <c r="AG128" s="102">
        <v>4</v>
      </c>
      <c r="AH128" s="102">
        <v>2</v>
      </c>
      <c r="AI128" s="102" t="s">
        <v>1704</v>
      </c>
      <c r="AJ128" s="102">
        <v>1</v>
      </c>
      <c r="AK128" s="102">
        <v>1</v>
      </c>
      <c r="AL128" s="102">
        <v>0</v>
      </c>
      <c r="AM128" s="102">
        <v>1</v>
      </c>
      <c r="AN128" s="102">
        <v>0</v>
      </c>
      <c r="AO128" s="102">
        <v>0</v>
      </c>
      <c r="AP128" s="102">
        <v>0</v>
      </c>
      <c r="AQ128" s="102">
        <v>1</v>
      </c>
      <c r="AR128" s="102">
        <v>0</v>
      </c>
      <c r="AS128" s="102" t="s">
        <v>853</v>
      </c>
      <c r="AT128" s="102">
        <v>1</v>
      </c>
      <c r="AU128" s="102" t="s">
        <v>1705</v>
      </c>
      <c r="AV128" s="102">
        <v>0</v>
      </c>
      <c r="AW128" s="102">
        <v>0</v>
      </c>
      <c r="AX128" s="102">
        <v>0</v>
      </c>
      <c r="AY128" s="102">
        <v>0</v>
      </c>
      <c r="AZ128" s="102">
        <v>0</v>
      </c>
      <c r="BA128" s="102">
        <v>0</v>
      </c>
      <c r="BB128" s="102">
        <v>0</v>
      </c>
      <c r="BC128" s="102">
        <v>0</v>
      </c>
      <c r="BD128" s="102">
        <v>0</v>
      </c>
      <c r="BE128" s="102">
        <v>0</v>
      </c>
      <c r="BF128" s="102">
        <v>0</v>
      </c>
      <c r="BG128" s="102">
        <v>0</v>
      </c>
      <c r="BH128" s="102">
        <v>0</v>
      </c>
      <c r="BI128" s="102">
        <v>1</v>
      </c>
      <c r="BJ128" s="102">
        <v>0</v>
      </c>
      <c r="BK128" s="102">
        <v>0</v>
      </c>
      <c r="BL128" s="102">
        <v>0</v>
      </c>
      <c r="BM128" s="102">
        <v>0</v>
      </c>
      <c r="BN128" s="102">
        <v>0</v>
      </c>
      <c r="BO128" s="102">
        <v>0</v>
      </c>
      <c r="BP128" s="102">
        <v>0</v>
      </c>
      <c r="BQ128" s="102">
        <v>0</v>
      </c>
      <c r="BR128" s="102">
        <v>0</v>
      </c>
      <c r="BS128" s="102">
        <v>0</v>
      </c>
      <c r="BT128" s="102">
        <v>0</v>
      </c>
      <c r="BU128" s="102">
        <v>1</v>
      </c>
      <c r="BV128" s="102">
        <v>0</v>
      </c>
      <c r="BW128" s="102">
        <v>0</v>
      </c>
      <c r="BX128" s="102">
        <v>0</v>
      </c>
      <c r="BY128" s="102">
        <v>0</v>
      </c>
      <c r="BZ128" s="102">
        <v>0</v>
      </c>
      <c r="CA128" s="102" t="s">
        <v>937</v>
      </c>
      <c r="CB128" s="102">
        <v>1</v>
      </c>
      <c r="CC128" s="102">
        <v>2</v>
      </c>
      <c r="CD128" s="102" t="s">
        <v>1706</v>
      </c>
      <c r="CE128" s="102">
        <v>1</v>
      </c>
      <c r="CF128" s="102">
        <v>1</v>
      </c>
      <c r="CG128" s="102">
        <v>0</v>
      </c>
      <c r="CH128" s="102">
        <v>0</v>
      </c>
      <c r="CI128" s="102">
        <v>0</v>
      </c>
      <c r="CJ128" s="102">
        <v>0</v>
      </c>
      <c r="CK128" s="102">
        <v>1</v>
      </c>
      <c r="CL128" s="102">
        <v>1</v>
      </c>
      <c r="CM128" s="102">
        <v>0</v>
      </c>
      <c r="CN128" s="102">
        <v>1</v>
      </c>
      <c r="CO128" s="102">
        <v>0</v>
      </c>
      <c r="CP128" s="102">
        <v>0</v>
      </c>
      <c r="CQ128" s="102">
        <v>1</v>
      </c>
      <c r="CR128" s="102">
        <v>1</v>
      </c>
      <c r="CS128" s="102">
        <v>1</v>
      </c>
      <c r="CT128" s="102" t="s">
        <v>1707</v>
      </c>
      <c r="CU128" s="102">
        <v>1</v>
      </c>
      <c r="CV128" s="102" t="s">
        <v>937</v>
      </c>
      <c r="CW128" s="102">
        <v>2</v>
      </c>
      <c r="CX128" s="102">
        <v>1</v>
      </c>
      <c r="CY128" s="102">
        <v>3</v>
      </c>
      <c r="CZ128" s="102">
        <v>0</v>
      </c>
      <c r="DA128" s="102" t="s">
        <v>853</v>
      </c>
      <c r="DB128" s="102">
        <v>0</v>
      </c>
      <c r="DC128" s="102">
        <v>0</v>
      </c>
      <c r="DD128" s="102">
        <v>0</v>
      </c>
      <c r="DE128" s="102">
        <v>0</v>
      </c>
      <c r="DF128" s="102">
        <v>0</v>
      </c>
      <c r="DG128" s="102">
        <v>0</v>
      </c>
      <c r="DH128" s="102">
        <v>0</v>
      </c>
      <c r="DI128" s="102">
        <v>0</v>
      </c>
      <c r="DJ128" s="102">
        <v>0</v>
      </c>
      <c r="DK128" s="102">
        <v>0</v>
      </c>
      <c r="DL128" s="102">
        <v>0</v>
      </c>
      <c r="DM128" s="102">
        <v>0</v>
      </c>
      <c r="DN128" s="102">
        <v>1</v>
      </c>
      <c r="DO128" s="102">
        <v>0</v>
      </c>
      <c r="DP128" s="102">
        <v>3</v>
      </c>
      <c r="DQ128" s="102">
        <v>0</v>
      </c>
      <c r="DR128" s="102">
        <v>1</v>
      </c>
      <c r="DS128" s="102">
        <v>0</v>
      </c>
      <c r="DT128" s="105" t="s">
        <v>1317</v>
      </c>
      <c r="DU128" s="102">
        <v>1</v>
      </c>
      <c r="DV128" s="102">
        <v>0</v>
      </c>
      <c r="DW128" s="102">
        <v>1</v>
      </c>
      <c r="DX128" s="102" t="s">
        <v>1708</v>
      </c>
      <c r="DY128" s="102">
        <v>1</v>
      </c>
      <c r="DZ128" s="102">
        <v>0</v>
      </c>
      <c r="EA128" s="102" t="s">
        <v>1709</v>
      </c>
      <c r="EB128" s="102">
        <v>1</v>
      </c>
      <c r="EC128" s="102">
        <v>1</v>
      </c>
      <c r="ED128" s="102">
        <v>0</v>
      </c>
      <c r="EE128" s="102">
        <v>1</v>
      </c>
      <c r="EF128" s="102">
        <v>4</v>
      </c>
      <c r="EG128" s="102">
        <v>1</v>
      </c>
      <c r="EH128" s="102" t="s">
        <v>1710</v>
      </c>
      <c r="EI128" s="102">
        <v>2</v>
      </c>
      <c r="EJ128" s="102">
        <v>0</v>
      </c>
      <c r="EK128" s="102">
        <v>1</v>
      </c>
      <c r="EL128" s="102">
        <v>2</v>
      </c>
      <c r="EM128" s="102"/>
    </row>
    <row r="129" spans="1:143" ht="15.75" customHeight="1" x14ac:dyDescent="0.55000000000000004">
      <c r="A129" s="99">
        <v>127</v>
      </c>
      <c r="B129" s="102" t="s">
        <v>1711</v>
      </c>
      <c r="C129" s="102" t="s">
        <v>1712</v>
      </c>
      <c r="D129" s="103">
        <v>41126</v>
      </c>
      <c r="E129" s="102" t="s">
        <v>914</v>
      </c>
      <c r="F129" s="102">
        <v>5</v>
      </c>
      <c r="G129" s="102">
        <v>8</v>
      </c>
      <c r="H129" s="102">
        <v>2012</v>
      </c>
      <c r="I129" s="102" t="s">
        <v>1713</v>
      </c>
      <c r="J129" s="102" t="s">
        <v>1714</v>
      </c>
      <c r="K129" s="102" t="s">
        <v>1471</v>
      </c>
      <c r="L129" s="102">
        <v>49</v>
      </c>
      <c r="M129" s="102">
        <v>1</v>
      </c>
      <c r="N129" s="102">
        <v>1</v>
      </c>
      <c r="O129" s="102">
        <v>3</v>
      </c>
      <c r="P129" s="102">
        <v>0</v>
      </c>
      <c r="Q129" s="104">
        <v>0</v>
      </c>
      <c r="R129" s="102">
        <v>0</v>
      </c>
      <c r="S129" s="102" t="s">
        <v>853</v>
      </c>
      <c r="T129" s="102">
        <v>0</v>
      </c>
      <c r="U129" s="102">
        <v>0</v>
      </c>
      <c r="V129" s="102">
        <v>6</v>
      </c>
      <c r="W129" s="102">
        <v>3</v>
      </c>
      <c r="X129" s="102">
        <v>0</v>
      </c>
      <c r="Y129" s="102">
        <v>0</v>
      </c>
      <c r="Z129" s="102">
        <v>0</v>
      </c>
      <c r="AA129" s="102">
        <v>40</v>
      </c>
      <c r="AB129" s="102">
        <v>0</v>
      </c>
      <c r="AC129" s="102">
        <v>0</v>
      </c>
      <c r="AD129" s="102">
        <v>0</v>
      </c>
      <c r="AE129" s="102">
        <v>0</v>
      </c>
      <c r="AF129" s="102"/>
      <c r="AG129" s="102">
        <v>1</v>
      </c>
      <c r="AH129" s="102"/>
      <c r="AI129" s="102"/>
      <c r="AJ129" s="102"/>
      <c r="AK129" s="102">
        <v>2</v>
      </c>
      <c r="AL129" s="102"/>
      <c r="AM129" s="102"/>
      <c r="AN129" s="102">
        <v>0</v>
      </c>
      <c r="AO129" s="102">
        <v>0</v>
      </c>
      <c r="AP129" s="102">
        <v>0</v>
      </c>
      <c r="AQ129" s="102">
        <v>0</v>
      </c>
      <c r="AR129" s="102">
        <v>1</v>
      </c>
      <c r="AS129" s="102">
        <v>0</v>
      </c>
      <c r="AT129" s="102">
        <v>1</v>
      </c>
      <c r="AU129" s="102" t="s">
        <v>1715</v>
      </c>
      <c r="AV129" s="102">
        <v>0</v>
      </c>
      <c r="AW129" s="102">
        <v>1</v>
      </c>
      <c r="AX129" s="102">
        <v>0</v>
      </c>
      <c r="AY129" s="102" t="s">
        <v>1383</v>
      </c>
      <c r="AZ129" s="102">
        <v>4</v>
      </c>
      <c r="BA129" s="102">
        <v>2</v>
      </c>
      <c r="BB129" s="102">
        <v>0</v>
      </c>
      <c r="BC129" s="102">
        <v>0</v>
      </c>
      <c r="BD129" s="102">
        <v>0</v>
      </c>
      <c r="BE129" s="102">
        <v>0</v>
      </c>
      <c r="BF129" s="102">
        <v>1</v>
      </c>
      <c r="BG129" s="102">
        <v>1</v>
      </c>
      <c r="BH129" s="102">
        <v>1</v>
      </c>
      <c r="BI129" s="102">
        <v>0</v>
      </c>
      <c r="BJ129" s="102">
        <v>0</v>
      </c>
      <c r="BK129" s="102">
        <v>0</v>
      </c>
      <c r="BL129" s="102">
        <v>0</v>
      </c>
      <c r="BM129" s="102">
        <v>1</v>
      </c>
      <c r="BN129" s="102">
        <v>0</v>
      </c>
      <c r="BO129" s="102">
        <v>0</v>
      </c>
      <c r="BP129" s="102">
        <v>1</v>
      </c>
      <c r="BQ129" s="102">
        <v>0</v>
      </c>
      <c r="BR129" s="102">
        <v>0</v>
      </c>
      <c r="BS129" s="102">
        <v>0</v>
      </c>
      <c r="BT129" s="102">
        <v>0</v>
      </c>
      <c r="BU129" s="102">
        <v>1</v>
      </c>
      <c r="BV129" s="102">
        <v>0</v>
      </c>
      <c r="BW129" s="102">
        <v>0</v>
      </c>
      <c r="BX129" s="102">
        <v>0</v>
      </c>
      <c r="BY129" s="102">
        <v>0</v>
      </c>
      <c r="BZ129" s="102">
        <v>0</v>
      </c>
      <c r="CA129" s="102" t="s">
        <v>1123</v>
      </c>
      <c r="CB129" s="102">
        <v>0</v>
      </c>
      <c r="CC129" s="102" t="s">
        <v>853</v>
      </c>
      <c r="CD129" s="102"/>
      <c r="CE129" s="102">
        <v>0</v>
      </c>
      <c r="CF129" s="102">
        <v>0</v>
      </c>
      <c r="CG129" s="102">
        <v>0</v>
      </c>
      <c r="CH129" s="102">
        <v>0</v>
      </c>
      <c r="CI129" s="102">
        <v>0</v>
      </c>
      <c r="CJ129" s="102">
        <v>0</v>
      </c>
      <c r="CK129" s="102">
        <v>0</v>
      </c>
      <c r="CL129" s="102">
        <v>0</v>
      </c>
      <c r="CM129" s="102">
        <v>0</v>
      </c>
      <c r="CN129" s="102">
        <v>2</v>
      </c>
      <c r="CO129" s="102">
        <v>0</v>
      </c>
      <c r="CP129" s="102">
        <v>0</v>
      </c>
      <c r="CQ129" s="102">
        <v>0</v>
      </c>
      <c r="CR129" s="102">
        <v>0</v>
      </c>
      <c r="CS129" s="102">
        <v>0</v>
      </c>
      <c r="CT129" s="102" t="s">
        <v>853</v>
      </c>
      <c r="CU129" s="102">
        <v>0</v>
      </c>
      <c r="CV129" s="102">
        <v>0</v>
      </c>
      <c r="CW129" s="102">
        <v>0</v>
      </c>
      <c r="CX129" s="102">
        <v>0</v>
      </c>
      <c r="CY129" s="102">
        <v>1</v>
      </c>
      <c r="CZ129" s="102">
        <v>0</v>
      </c>
      <c r="DA129" s="102" t="s">
        <v>853</v>
      </c>
      <c r="DB129" s="102">
        <v>0</v>
      </c>
      <c r="DC129" s="102" t="s">
        <v>922</v>
      </c>
      <c r="DD129" s="102">
        <v>1</v>
      </c>
      <c r="DE129" s="102">
        <v>2</v>
      </c>
      <c r="DF129" s="102">
        <v>0</v>
      </c>
      <c r="DG129" s="102">
        <v>0</v>
      </c>
      <c r="DH129" s="102">
        <v>0</v>
      </c>
      <c r="DI129" s="102">
        <v>0</v>
      </c>
      <c r="DJ129" s="102">
        <v>0</v>
      </c>
      <c r="DK129" s="102">
        <v>0</v>
      </c>
      <c r="DL129" s="102">
        <v>0</v>
      </c>
      <c r="DM129" s="102">
        <v>0</v>
      </c>
      <c r="DN129" s="102">
        <v>0</v>
      </c>
      <c r="DO129" s="102">
        <v>0</v>
      </c>
      <c r="DP129" s="102">
        <v>0</v>
      </c>
      <c r="DQ129" s="102">
        <v>1</v>
      </c>
      <c r="DR129" s="102">
        <v>0</v>
      </c>
      <c r="DS129" s="102">
        <v>0</v>
      </c>
      <c r="DT129" s="105" t="s">
        <v>1059</v>
      </c>
      <c r="DU129" s="102">
        <v>0</v>
      </c>
      <c r="DV129" s="102">
        <v>1</v>
      </c>
      <c r="DW129" s="102">
        <v>0</v>
      </c>
      <c r="DX129" s="102" t="s">
        <v>853</v>
      </c>
      <c r="DY129" s="102">
        <v>0</v>
      </c>
      <c r="DZ129" s="102">
        <v>0</v>
      </c>
      <c r="EA129" s="102" t="s">
        <v>853</v>
      </c>
      <c r="EB129" s="102">
        <v>0</v>
      </c>
      <c r="EC129" s="102">
        <v>0</v>
      </c>
      <c r="ED129" s="102">
        <v>0</v>
      </c>
      <c r="EE129" s="102">
        <v>3</v>
      </c>
      <c r="EF129" s="102">
        <v>1</v>
      </c>
      <c r="EG129" s="102">
        <v>0</v>
      </c>
      <c r="EH129" s="102" t="s">
        <v>853</v>
      </c>
      <c r="EI129" s="102">
        <v>0</v>
      </c>
      <c r="EJ129" s="102">
        <v>0</v>
      </c>
      <c r="EK129" s="102">
        <v>2</v>
      </c>
      <c r="EL129" s="102">
        <v>0</v>
      </c>
      <c r="EM129" s="102"/>
    </row>
    <row r="130" spans="1:143" ht="15.75" customHeight="1" x14ac:dyDescent="0.55000000000000004">
      <c r="A130" s="99">
        <v>128</v>
      </c>
      <c r="B130" s="102" t="s">
        <v>1716</v>
      </c>
      <c r="C130" s="102" t="s">
        <v>1312</v>
      </c>
      <c r="D130" s="103">
        <v>41179</v>
      </c>
      <c r="E130" s="102" t="s">
        <v>995</v>
      </c>
      <c r="F130" s="102">
        <v>27</v>
      </c>
      <c r="G130" s="102">
        <v>9</v>
      </c>
      <c r="H130" s="102">
        <v>2012</v>
      </c>
      <c r="I130" s="102" t="s">
        <v>1717</v>
      </c>
      <c r="J130" s="102" t="s">
        <v>1718</v>
      </c>
      <c r="K130" s="102" t="s">
        <v>1500</v>
      </c>
      <c r="L130" s="102">
        <v>23</v>
      </c>
      <c r="M130" s="102">
        <v>1</v>
      </c>
      <c r="N130" s="102">
        <v>0</v>
      </c>
      <c r="O130" s="106">
        <v>9</v>
      </c>
      <c r="P130" s="102">
        <v>1</v>
      </c>
      <c r="Q130" s="104">
        <v>1</v>
      </c>
      <c r="R130" s="102">
        <v>0</v>
      </c>
      <c r="S130" s="102" t="s">
        <v>853</v>
      </c>
      <c r="T130" s="102">
        <v>0</v>
      </c>
      <c r="U130" s="102">
        <v>0</v>
      </c>
      <c r="V130" s="102">
        <v>6</v>
      </c>
      <c r="W130" s="102">
        <v>2</v>
      </c>
      <c r="X130" s="102">
        <v>0</v>
      </c>
      <c r="Y130" s="102">
        <v>0</v>
      </c>
      <c r="Z130" s="102">
        <v>0</v>
      </c>
      <c r="AA130" s="102">
        <v>36</v>
      </c>
      <c r="AB130" s="102">
        <v>0</v>
      </c>
      <c r="AC130" s="102">
        <v>0</v>
      </c>
      <c r="AD130" s="102">
        <v>0</v>
      </c>
      <c r="AE130" s="102">
        <v>0</v>
      </c>
      <c r="AF130" s="102"/>
      <c r="AG130" s="102">
        <v>1</v>
      </c>
      <c r="AH130" s="102"/>
      <c r="AI130" s="102"/>
      <c r="AJ130" s="102">
        <v>2</v>
      </c>
      <c r="AK130" s="102">
        <v>2</v>
      </c>
      <c r="AL130" s="102">
        <v>1</v>
      </c>
      <c r="AM130" s="102">
        <v>1</v>
      </c>
      <c r="AN130" s="102">
        <v>0</v>
      </c>
      <c r="AO130" s="102">
        <v>0</v>
      </c>
      <c r="AP130" s="102">
        <v>0</v>
      </c>
      <c r="AQ130" s="102">
        <v>0</v>
      </c>
      <c r="AR130" s="102">
        <v>0</v>
      </c>
      <c r="AS130" s="102" t="s">
        <v>853</v>
      </c>
      <c r="AT130" s="102">
        <v>0</v>
      </c>
      <c r="AU130" s="102"/>
      <c r="AV130" s="102">
        <v>0</v>
      </c>
      <c r="AW130" s="102">
        <v>1</v>
      </c>
      <c r="AX130" s="102">
        <v>0</v>
      </c>
      <c r="AY130" s="102">
        <v>9</v>
      </c>
      <c r="AZ130" s="102">
        <v>4</v>
      </c>
      <c r="BA130" s="102">
        <v>0</v>
      </c>
      <c r="BB130" s="102">
        <v>0</v>
      </c>
      <c r="BC130" s="102">
        <v>0</v>
      </c>
      <c r="BD130" s="102">
        <v>0</v>
      </c>
      <c r="BE130" s="102">
        <v>0</v>
      </c>
      <c r="BF130" s="102">
        <v>0</v>
      </c>
      <c r="BG130" s="102">
        <v>0</v>
      </c>
      <c r="BH130" s="102">
        <v>0</v>
      </c>
      <c r="BI130" s="102">
        <v>0</v>
      </c>
      <c r="BJ130" s="102">
        <v>0</v>
      </c>
      <c r="BK130" s="102">
        <v>0</v>
      </c>
      <c r="BL130" s="102">
        <v>0</v>
      </c>
      <c r="BM130" s="102">
        <v>0</v>
      </c>
      <c r="BN130" s="102">
        <v>0</v>
      </c>
      <c r="BO130" s="102">
        <v>0</v>
      </c>
      <c r="BP130" s="102">
        <v>0</v>
      </c>
      <c r="BQ130" s="102">
        <v>0</v>
      </c>
      <c r="BR130" s="102">
        <v>0</v>
      </c>
      <c r="BS130" s="102">
        <v>0</v>
      </c>
      <c r="BT130" s="102">
        <v>0</v>
      </c>
      <c r="BU130" s="102">
        <v>1</v>
      </c>
      <c r="BV130" s="102">
        <v>0</v>
      </c>
      <c r="BW130" s="102">
        <v>0</v>
      </c>
      <c r="BX130" s="102">
        <v>0</v>
      </c>
      <c r="BY130" s="102">
        <v>0</v>
      </c>
      <c r="BZ130" s="102">
        <v>0</v>
      </c>
      <c r="CA130" s="102">
        <v>2</v>
      </c>
      <c r="CB130" s="102">
        <v>1</v>
      </c>
      <c r="CC130" s="102">
        <v>3</v>
      </c>
      <c r="CD130" s="102" t="s">
        <v>1719</v>
      </c>
      <c r="CE130" s="102">
        <v>1</v>
      </c>
      <c r="CF130" s="102">
        <v>1</v>
      </c>
      <c r="CG130" s="102">
        <v>0</v>
      </c>
      <c r="CH130" s="102">
        <v>0</v>
      </c>
      <c r="CI130" s="102">
        <v>1</v>
      </c>
      <c r="CJ130" s="102">
        <v>0</v>
      </c>
      <c r="CK130" s="102">
        <v>1</v>
      </c>
      <c r="CL130" s="102">
        <v>1</v>
      </c>
      <c r="CM130" s="102">
        <v>1</v>
      </c>
      <c r="CN130" s="102">
        <v>2</v>
      </c>
      <c r="CO130" s="102">
        <v>0</v>
      </c>
      <c r="CP130" s="102">
        <v>0</v>
      </c>
      <c r="CQ130" s="102">
        <v>1</v>
      </c>
      <c r="CR130" s="102">
        <v>1</v>
      </c>
      <c r="CS130" s="102">
        <v>1</v>
      </c>
      <c r="CT130" s="102" t="s">
        <v>1720</v>
      </c>
      <c r="CU130" s="102">
        <v>1</v>
      </c>
      <c r="CV130" s="102" t="s">
        <v>937</v>
      </c>
      <c r="CW130" s="102">
        <v>2</v>
      </c>
      <c r="CX130" s="102">
        <v>0</v>
      </c>
      <c r="CY130" s="102" t="s">
        <v>937</v>
      </c>
      <c r="CZ130" s="102">
        <v>0</v>
      </c>
      <c r="DA130" s="102" t="s">
        <v>853</v>
      </c>
      <c r="DB130" s="102">
        <v>0</v>
      </c>
      <c r="DC130" s="102">
        <v>0</v>
      </c>
      <c r="DD130" s="102">
        <v>0</v>
      </c>
      <c r="DE130" s="102">
        <v>0</v>
      </c>
      <c r="DF130" s="102">
        <v>0</v>
      </c>
      <c r="DG130" s="102">
        <v>0</v>
      </c>
      <c r="DH130" s="102">
        <v>1</v>
      </c>
      <c r="DI130" s="102">
        <v>0</v>
      </c>
      <c r="DJ130" s="102">
        <v>0</v>
      </c>
      <c r="DK130" s="102">
        <v>0</v>
      </c>
      <c r="DL130" s="102">
        <v>0</v>
      </c>
      <c r="DM130" s="102">
        <v>0</v>
      </c>
      <c r="DN130" s="102">
        <v>0</v>
      </c>
      <c r="DO130" s="102">
        <v>0</v>
      </c>
      <c r="DP130" s="102">
        <v>1</v>
      </c>
      <c r="DQ130" s="102">
        <v>0</v>
      </c>
      <c r="DR130" s="102">
        <v>0</v>
      </c>
      <c r="DS130" s="102" t="s">
        <v>853</v>
      </c>
      <c r="DT130" s="105" t="s">
        <v>853</v>
      </c>
      <c r="DU130" s="102" t="s">
        <v>853</v>
      </c>
      <c r="DV130" s="102">
        <v>0</v>
      </c>
      <c r="DW130" s="102">
        <v>0</v>
      </c>
      <c r="DX130" s="102" t="s">
        <v>853</v>
      </c>
      <c r="DY130" s="102">
        <v>0</v>
      </c>
      <c r="DZ130" s="102">
        <v>0</v>
      </c>
      <c r="EA130" s="102" t="s">
        <v>853</v>
      </c>
      <c r="EB130" s="102">
        <v>0</v>
      </c>
      <c r="EC130" s="102">
        <v>0</v>
      </c>
      <c r="ED130" s="102">
        <v>1</v>
      </c>
      <c r="EE130" s="102">
        <v>2</v>
      </c>
      <c r="EF130" s="102">
        <v>1</v>
      </c>
      <c r="EG130" s="102">
        <v>0</v>
      </c>
      <c r="EH130" s="102" t="s">
        <v>853</v>
      </c>
      <c r="EI130" s="102">
        <v>0</v>
      </c>
      <c r="EJ130" s="102">
        <v>0</v>
      </c>
      <c r="EK130" s="102">
        <v>2</v>
      </c>
      <c r="EL130" s="102">
        <v>0</v>
      </c>
      <c r="EM130" s="102"/>
    </row>
    <row r="131" spans="1:143" ht="15.75" customHeight="1" x14ac:dyDescent="0.55000000000000004">
      <c r="A131" s="99">
        <v>129</v>
      </c>
      <c r="B131" s="102" t="s">
        <v>1721</v>
      </c>
      <c r="C131" s="102" t="s">
        <v>1722</v>
      </c>
      <c r="D131" s="103">
        <v>41257</v>
      </c>
      <c r="E131" s="102" t="s">
        <v>959</v>
      </c>
      <c r="F131" s="102">
        <v>14</v>
      </c>
      <c r="G131" s="102">
        <v>12</v>
      </c>
      <c r="H131" s="102">
        <v>2012</v>
      </c>
      <c r="I131" s="102" t="s">
        <v>1723</v>
      </c>
      <c r="J131" s="102" t="s">
        <v>1724</v>
      </c>
      <c r="K131" s="102" t="s">
        <v>1305</v>
      </c>
      <c r="L131" s="102">
        <v>7</v>
      </c>
      <c r="M131" s="102">
        <v>2</v>
      </c>
      <c r="N131" s="102">
        <v>1</v>
      </c>
      <c r="O131" s="102">
        <v>0</v>
      </c>
      <c r="P131" s="102">
        <v>1</v>
      </c>
      <c r="Q131" s="104">
        <v>0</v>
      </c>
      <c r="R131" s="102">
        <v>1</v>
      </c>
      <c r="S131" s="102">
        <v>7</v>
      </c>
      <c r="T131" s="102">
        <v>0</v>
      </c>
      <c r="U131" s="102">
        <v>0</v>
      </c>
      <c r="V131" s="102">
        <v>27</v>
      </c>
      <c r="W131" s="102">
        <v>1</v>
      </c>
      <c r="X131" s="102">
        <v>1</v>
      </c>
      <c r="Y131" s="102">
        <v>0</v>
      </c>
      <c r="Z131" s="102">
        <v>0</v>
      </c>
      <c r="AA131" s="102">
        <v>20</v>
      </c>
      <c r="AB131" s="102">
        <v>0</v>
      </c>
      <c r="AC131" s="102">
        <v>0</v>
      </c>
      <c r="AD131" s="102">
        <v>0</v>
      </c>
      <c r="AE131" s="102">
        <v>0</v>
      </c>
      <c r="AF131" s="102">
        <v>1</v>
      </c>
      <c r="AG131" s="102">
        <v>2</v>
      </c>
      <c r="AH131" s="102">
        <v>1</v>
      </c>
      <c r="AI131" s="102" t="s">
        <v>1725</v>
      </c>
      <c r="AJ131" s="102">
        <v>3</v>
      </c>
      <c r="AK131" s="102">
        <v>1</v>
      </c>
      <c r="AL131" s="102">
        <v>1</v>
      </c>
      <c r="AM131" s="102">
        <v>0</v>
      </c>
      <c r="AN131" s="102">
        <v>0</v>
      </c>
      <c r="AO131" s="102">
        <v>0</v>
      </c>
      <c r="AP131" s="102">
        <v>0</v>
      </c>
      <c r="AQ131" s="102">
        <v>0</v>
      </c>
      <c r="AR131" s="102">
        <v>0</v>
      </c>
      <c r="AS131" s="102" t="s">
        <v>853</v>
      </c>
      <c r="AT131" s="102">
        <v>0</v>
      </c>
      <c r="AU131" s="102"/>
      <c r="AV131" s="102">
        <v>0</v>
      </c>
      <c r="AW131" s="102">
        <v>0</v>
      </c>
      <c r="AX131" s="102">
        <v>0</v>
      </c>
      <c r="AY131" s="102">
        <v>9</v>
      </c>
      <c r="AZ131" s="102">
        <v>1</v>
      </c>
      <c r="BA131" s="102">
        <v>0</v>
      </c>
      <c r="BB131" s="102">
        <v>0</v>
      </c>
      <c r="BC131" s="102">
        <v>0</v>
      </c>
      <c r="BD131" s="102">
        <v>0</v>
      </c>
      <c r="BE131" s="102">
        <v>0</v>
      </c>
      <c r="BF131" s="102">
        <v>0</v>
      </c>
      <c r="BG131" s="102">
        <v>0</v>
      </c>
      <c r="BH131" s="102">
        <v>0</v>
      </c>
      <c r="BI131" s="102">
        <v>1</v>
      </c>
      <c r="BJ131" s="102">
        <v>0</v>
      </c>
      <c r="BK131" s="102">
        <v>1</v>
      </c>
      <c r="BL131" s="102">
        <v>0</v>
      </c>
      <c r="BM131" s="102">
        <v>1</v>
      </c>
      <c r="BN131" s="102">
        <v>0</v>
      </c>
      <c r="BO131" s="102">
        <v>0</v>
      </c>
      <c r="BP131" s="102">
        <v>1</v>
      </c>
      <c r="BQ131" s="102">
        <v>0</v>
      </c>
      <c r="BR131" s="102">
        <v>0</v>
      </c>
      <c r="BS131" s="102">
        <v>0</v>
      </c>
      <c r="BT131" s="102">
        <v>0</v>
      </c>
      <c r="BU131" s="102">
        <v>2</v>
      </c>
      <c r="BV131" s="102">
        <v>0</v>
      </c>
      <c r="BW131" s="102">
        <v>0</v>
      </c>
      <c r="BX131" s="102">
        <v>0</v>
      </c>
      <c r="BY131" s="102">
        <v>0</v>
      </c>
      <c r="BZ131" s="102">
        <v>0</v>
      </c>
      <c r="CA131" s="102">
        <v>4</v>
      </c>
      <c r="CB131" s="102">
        <v>1</v>
      </c>
      <c r="CC131" s="102">
        <v>3</v>
      </c>
      <c r="CD131" s="102" t="s">
        <v>1726</v>
      </c>
      <c r="CE131" s="102">
        <v>1</v>
      </c>
      <c r="CF131" s="102">
        <v>1</v>
      </c>
      <c r="CG131" s="102">
        <v>0</v>
      </c>
      <c r="CH131" s="102">
        <v>0</v>
      </c>
      <c r="CI131" s="102">
        <v>0</v>
      </c>
      <c r="CJ131" s="102">
        <v>0</v>
      </c>
      <c r="CK131" s="102">
        <v>1</v>
      </c>
      <c r="CL131" s="102">
        <v>1</v>
      </c>
      <c r="CM131" s="102">
        <v>0</v>
      </c>
      <c r="CN131" s="102">
        <v>1</v>
      </c>
      <c r="CO131" s="102">
        <v>0</v>
      </c>
      <c r="CP131" s="102">
        <v>0</v>
      </c>
      <c r="CQ131" s="102">
        <v>0</v>
      </c>
      <c r="CR131" s="102">
        <v>0</v>
      </c>
      <c r="CS131" s="102">
        <v>0</v>
      </c>
      <c r="CT131" s="102" t="s">
        <v>853</v>
      </c>
      <c r="CU131" s="102">
        <v>0</v>
      </c>
      <c r="CV131" s="102">
        <v>3</v>
      </c>
      <c r="CW131" s="102">
        <v>0</v>
      </c>
      <c r="CX131" s="102">
        <v>1</v>
      </c>
      <c r="CY131" s="102">
        <v>0</v>
      </c>
      <c r="CZ131" s="102">
        <v>1</v>
      </c>
      <c r="DA131" s="102" t="s">
        <v>1727</v>
      </c>
      <c r="DB131" s="102">
        <v>1</v>
      </c>
      <c r="DC131" s="102">
        <v>2</v>
      </c>
      <c r="DD131" s="102">
        <v>0</v>
      </c>
      <c r="DE131" s="102">
        <v>0</v>
      </c>
      <c r="DF131" s="102">
        <v>0</v>
      </c>
      <c r="DG131" s="102">
        <v>0</v>
      </c>
      <c r="DH131" s="102">
        <v>0</v>
      </c>
      <c r="DI131" s="102">
        <v>0</v>
      </c>
      <c r="DJ131" s="102">
        <v>0</v>
      </c>
      <c r="DK131" s="102">
        <v>0</v>
      </c>
      <c r="DL131" s="102">
        <v>0</v>
      </c>
      <c r="DM131" s="102">
        <v>0</v>
      </c>
      <c r="DN131" s="102">
        <v>0</v>
      </c>
      <c r="DO131" s="102">
        <v>1</v>
      </c>
      <c r="DP131" s="102">
        <v>0</v>
      </c>
      <c r="DQ131" s="102">
        <v>1</v>
      </c>
      <c r="DR131" s="102">
        <v>1</v>
      </c>
      <c r="DS131" s="102">
        <v>0</v>
      </c>
      <c r="DT131" s="105"/>
      <c r="DU131" s="102">
        <v>1</v>
      </c>
      <c r="DV131" s="102">
        <v>1</v>
      </c>
      <c r="DW131" s="102">
        <v>0</v>
      </c>
      <c r="DX131" s="102" t="s">
        <v>853</v>
      </c>
      <c r="DY131" s="102">
        <v>0</v>
      </c>
      <c r="DZ131" s="102">
        <v>0</v>
      </c>
      <c r="EA131" s="102" t="s">
        <v>853</v>
      </c>
      <c r="EB131" s="102">
        <v>1</v>
      </c>
      <c r="EC131" s="102">
        <v>0</v>
      </c>
      <c r="ED131" s="102">
        <v>1</v>
      </c>
      <c r="EE131" s="102">
        <v>3</v>
      </c>
      <c r="EF131" s="102">
        <v>5</v>
      </c>
      <c r="EG131" s="102">
        <v>1</v>
      </c>
      <c r="EH131" s="102" t="s">
        <v>1688</v>
      </c>
      <c r="EI131" s="102">
        <v>0</v>
      </c>
      <c r="EJ131" s="102">
        <v>0</v>
      </c>
      <c r="EK131" s="102">
        <v>2</v>
      </c>
      <c r="EL131" s="102">
        <v>0</v>
      </c>
      <c r="EM131" s="102"/>
    </row>
    <row r="132" spans="1:143" ht="15.75" customHeight="1" x14ac:dyDescent="0.55000000000000004">
      <c r="A132" s="99">
        <v>130</v>
      </c>
      <c r="B132" s="102" t="s">
        <v>1728</v>
      </c>
      <c r="C132" s="102" t="s">
        <v>1729</v>
      </c>
      <c r="D132" s="103">
        <v>41346</v>
      </c>
      <c r="E132" s="102" t="s">
        <v>891</v>
      </c>
      <c r="F132" s="102">
        <v>13</v>
      </c>
      <c r="G132" s="102">
        <v>3</v>
      </c>
      <c r="H132" s="102">
        <v>2013</v>
      </c>
      <c r="I132" s="102" t="s">
        <v>1730</v>
      </c>
      <c r="J132" s="102" t="s">
        <v>1731</v>
      </c>
      <c r="K132" s="102" t="s">
        <v>894</v>
      </c>
      <c r="L132" s="102">
        <v>32</v>
      </c>
      <c r="M132" s="102">
        <v>2</v>
      </c>
      <c r="N132" s="102">
        <v>2</v>
      </c>
      <c r="O132" s="102">
        <v>4</v>
      </c>
      <c r="P132" s="102">
        <v>0</v>
      </c>
      <c r="Q132" s="104">
        <v>0</v>
      </c>
      <c r="R132" s="102">
        <v>1</v>
      </c>
      <c r="S132" s="102">
        <v>4</v>
      </c>
      <c r="T132" s="102">
        <v>0</v>
      </c>
      <c r="U132" s="102">
        <v>0</v>
      </c>
      <c r="V132" s="102">
        <v>4</v>
      </c>
      <c r="W132" s="102">
        <v>2</v>
      </c>
      <c r="X132" s="102">
        <v>0</v>
      </c>
      <c r="Y132" s="102">
        <v>0</v>
      </c>
      <c r="Z132" s="102">
        <v>0</v>
      </c>
      <c r="AA132" s="102">
        <v>64</v>
      </c>
      <c r="AB132" s="102">
        <v>0</v>
      </c>
      <c r="AC132" s="102">
        <v>0</v>
      </c>
      <c r="AD132" s="102">
        <v>0</v>
      </c>
      <c r="AE132" s="102">
        <v>0</v>
      </c>
      <c r="AF132" s="102"/>
      <c r="AG132" s="102">
        <v>2</v>
      </c>
      <c r="AH132" s="102"/>
      <c r="AI132" s="102"/>
      <c r="AJ132" s="102"/>
      <c r="AK132" s="102">
        <v>2</v>
      </c>
      <c r="AL132" s="102"/>
      <c r="AM132" s="102"/>
      <c r="AN132" s="102">
        <v>0</v>
      </c>
      <c r="AO132" s="102">
        <v>0</v>
      </c>
      <c r="AP132" s="102">
        <v>0</v>
      </c>
      <c r="AQ132" s="102">
        <v>0</v>
      </c>
      <c r="AR132" s="102">
        <v>0</v>
      </c>
      <c r="AS132" s="102" t="s">
        <v>853</v>
      </c>
      <c r="AT132" s="102">
        <v>0</v>
      </c>
      <c r="AU132" s="102"/>
      <c r="AV132" s="102">
        <v>0</v>
      </c>
      <c r="AW132" s="102">
        <v>1</v>
      </c>
      <c r="AX132" s="102">
        <v>0</v>
      </c>
      <c r="AY132" s="102">
        <v>8</v>
      </c>
      <c r="AZ132" s="102">
        <v>0</v>
      </c>
      <c r="BA132" s="102">
        <v>0</v>
      </c>
      <c r="BB132" s="102">
        <v>0</v>
      </c>
      <c r="BC132" s="102">
        <v>0</v>
      </c>
      <c r="BD132" s="102">
        <v>0</v>
      </c>
      <c r="BE132" s="102">
        <v>0</v>
      </c>
      <c r="BF132" s="102">
        <v>0</v>
      </c>
      <c r="BG132" s="102">
        <v>0</v>
      </c>
      <c r="BH132" s="102">
        <v>0</v>
      </c>
      <c r="BI132" s="102">
        <v>0</v>
      </c>
      <c r="BJ132" s="102">
        <v>0</v>
      </c>
      <c r="BK132" s="102">
        <v>0</v>
      </c>
      <c r="BL132" s="102">
        <v>0</v>
      </c>
      <c r="BM132" s="102">
        <v>0</v>
      </c>
      <c r="BN132" s="102">
        <v>0</v>
      </c>
      <c r="BO132" s="102">
        <v>0</v>
      </c>
      <c r="BP132" s="102">
        <v>0</v>
      </c>
      <c r="BQ132" s="102">
        <v>0</v>
      </c>
      <c r="BR132" s="102">
        <v>0</v>
      </c>
      <c r="BS132" s="102">
        <v>0</v>
      </c>
      <c r="BT132" s="102">
        <v>0</v>
      </c>
      <c r="BU132" s="102"/>
      <c r="BV132" s="102">
        <v>0</v>
      </c>
      <c r="BW132" s="102">
        <v>0</v>
      </c>
      <c r="BX132" s="102">
        <v>0</v>
      </c>
      <c r="BY132" s="102">
        <v>0</v>
      </c>
      <c r="BZ132" s="102">
        <v>0</v>
      </c>
      <c r="CA132" s="102">
        <v>3</v>
      </c>
      <c r="CB132" s="102">
        <v>1</v>
      </c>
      <c r="CC132" s="102">
        <v>3</v>
      </c>
      <c r="CD132" s="102" t="s">
        <v>1732</v>
      </c>
      <c r="CE132" s="102">
        <v>0</v>
      </c>
      <c r="CF132" s="102">
        <v>0</v>
      </c>
      <c r="CG132" s="102">
        <v>0</v>
      </c>
      <c r="CH132" s="102">
        <v>0</v>
      </c>
      <c r="CI132" s="102">
        <v>0</v>
      </c>
      <c r="CJ132" s="102">
        <v>0</v>
      </c>
      <c r="CK132" s="102">
        <v>1</v>
      </c>
      <c r="CL132" s="102">
        <v>0</v>
      </c>
      <c r="CM132" s="102">
        <v>0</v>
      </c>
      <c r="CN132" s="102">
        <v>0</v>
      </c>
      <c r="CO132" s="102">
        <v>0</v>
      </c>
      <c r="CP132" s="102">
        <v>0</v>
      </c>
      <c r="CQ132" s="102">
        <v>0</v>
      </c>
      <c r="CR132" s="102">
        <v>0</v>
      </c>
      <c r="CS132" s="102">
        <v>0</v>
      </c>
      <c r="CT132" s="102" t="s">
        <v>853</v>
      </c>
      <c r="CU132" s="102">
        <v>0</v>
      </c>
      <c r="CV132" s="102">
        <v>0</v>
      </c>
      <c r="CW132" s="102">
        <v>0</v>
      </c>
      <c r="CX132" s="102">
        <v>0</v>
      </c>
      <c r="CY132" s="102">
        <v>1</v>
      </c>
      <c r="CZ132" s="102">
        <v>0</v>
      </c>
      <c r="DA132" s="102" t="s">
        <v>853</v>
      </c>
      <c r="DB132" s="102">
        <v>0</v>
      </c>
      <c r="DC132" s="102">
        <v>0</v>
      </c>
      <c r="DD132" s="102">
        <v>0</v>
      </c>
      <c r="DE132" s="102">
        <v>0</v>
      </c>
      <c r="DF132" s="102">
        <v>0</v>
      </c>
      <c r="DG132" s="102">
        <v>0</v>
      </c>
      <c r="DH132" s="102">
        <v>0</v>
      </c>
      <c r="DI132" s="102">
        <v>1</v>
      </c>
      <c r="DJ132" s="102">
        <v>0</v>
      </c>
      <c r="DK132" s="102">
        <v>0</v>
      </c>
      <c r="DL132" s="102">
        <v>0</v>
      </c>
      <c r="DM132" s="102">
        <v>0</v>
      </c>
      <c r="DN132" s="102">
        <v>0</v>
      </c>
      <c r="DO132" s="102">
        <v>0</v>
      </c>
      <c r="DP132" s="102">
        <v>0</v>
      </c>
      <c r="DQ132" s="102">
        <v>0</v>
      </c>
      <c r="DR132" s="102">
        <v>0</v>
      </c>
      <c r="DS132" s="102" t="s">
        <v>853</v>
      </c>
      <c r="DT132" s="105" t="s">
        <v>853</v>
      </c>
      <c r="DU132" s="102" t="s">
        <v>853</v>
      </c>
      <c r="DV132" s="102">
        <v>0</v>
      </c>
      <c r="DW132" s="102">
        <v>0</v>
      </c>
      <c r="DX132" s="102" t="s">
        <v>853</v>
      </c>
      <c r="DY132" s="102">
        <v>0</v>
      </c>
      <c r="DZ132" s="102">
        <v>0</v>
      </c>
      <c r="EA132" s="102" t="s">
        <v>853</v>
      </c>
      <c r="EB132" s="102">
        <v>0</v>
      </c>
      <c r="EC132" s="102">
        <v>0</v>
      </c>
      <c r="ED132" s="102">
        <v>0</v>
      </c>
      <c r="EE132" s="102">
        <v>0</v>
      </c>
      <c r="EF132" s="102">
        <v>1</v>
      </c>
      <c r="EG132" s="102">
        <v>0</v>
      </c>
      <c r="EH132" s="102" t="s">
        <v>853</v>
      </c>
      <c r="EI132" s="102">
        <v>1</v>
      </c>
      <c r="EJ132" s="102">
        <v>0</v>
      </c>
      <c r="EK132" s="102">
        <v>2</v>
      </c>
      <c r="EL132" s="102">
        <v>0</v>
      </c>
      <c r="EM132" s="102"/>
    </row>
    <row r="133" spans="1:143" ht="15.75" customHeight="1" x14ac:dyDescent="0.55000000000000004">
      <c r="A133" s="99">
        <v>131</v>
      </c>
      <c r="B133" s="102" t="s">
        <v>1733</v>
      </c>
      <c r="C133" s="102" t="s">
        <v>1734</v>
      </c>
      <c r="D133" s="103">
        <v>41385</v>
      </c>
      <c r="E133" s="102" t="s">
        <v>914</v>
      </c>
      <c r="F133" s="102">
        <v>21</v>
      </c>
      <c r="G133" s="102">
        <v>4</v>
      </c>
      <c r="H133" s="102">
        <v>2013</v>
      </c>
      <c r="I133" s="102" t="s">
        <v>1735</v>
      </c>
      <c r="J133" s="102" t="s">
        <v>1736</v>
      </c>
      <c r="K133" s="102" t="s">
        <v>1245</v>
      </c>
      <c r="L133" s="102">
        <v>47</v>
      </c>
      <c r="M133" s="102">
        <v>3</v>
      </c>
      <c r="N133" s="102">
        <v>0</v>
      </c>
      <c r="O133" s="102">
        <v>7</v>
      </c>
      <c r="P133" s="102">
        <v>1</v>
      </c>
      <c r="Q133" s="104">
        <v>0</v>
      </c>
      <c r="R133" s="102">
        <v>0</v>
      </c>
      <c r="S133" s="102" t="s">
        <v>853</v>
      </c>
      <c r="T133" s="102">
        <v>0</v>
      </c>
      <c r="U133" s="102">
        <v>0</v>
      </c>
      <c r="V133" s="102">
        <v>4</v>
      </c>
      <c r="W133" s="102">
        <v>0</v>
      </c>
      <c r="X133" s="102">
        <v>0</v>
      </c>
      <c r="Y133" s="102">
        <v>1</v>
      </c>
      <c r="Z133" s="102">
        <v>0</v>
      </c>
      <c r="AA133" s="102">
        <v>27</v>
      </c>
      <c r="AB133" s="102">
        <v>0</v>
      </c>
      <c r="AC133" s="102">
        <v>1</v>
      </c>
      <c r="AD133" s="102">
        <v>0</v>
      </c>
      <c r="AE133" s="102">
        <v>0</v>
      </c>
      <c r="AF133" s="102"/>
      <c r="AG133" s="102">
        <v>2</v>
      </c>
      <c r="AH133" s="102"/>
      <c r="AI133" s="102"/>
      <c r="AJ133" s="102"/>
      <c r="AK133" s="102"/>
      <c r="AL133" s="102"/>
      <c r="AM133" s="102"/>
      <c r="AN133" s="102">
        <v>1</v>
      </c>
      <c r="AO133" s="102">
        <v>0</v>
      </c>
      <c r="AP133" s="102"/>
      <c r="AQ133" s="102"/>
      <c r="AR133" s="102">
        <v>0</v>
      </c>
      <c r="AS133" s="102" t="s">
        <v>853</v>
      </c>
      <c r="AT133" s="102"/>
      <c r="AU133" s="102"/>
      <c r="AV133" s="102">
        <v>0</v>
      </c>
      <c r="AW133" s="102">
        <v>1</v>
      </c>
      <c r="AX133" s="102">
        <v>4</v>
      </c>
      <c r="AY133" s="102">
        <v>9</v>
      </c>
      <c r="AZ133" s="102">
        <v>4</v>
      </c>
      <c r="BA133" s="102">
        <v>0</v>
      </c>
      <c r="BB133" s="102">
        <v>0</v>
      </c>
      <c r="BC133" s="102">
        <v>1</v>
      </c>
      <c r="BD133" s="102" t="s">
        <v>1123</v>
      </c>
      <c r="BE133" s="102">
        <v>1</v>
      </c>
      <c r="BF133" s="102">
        <v>0</v>
      </c>
      <c r="BG133" s="102">
        <v>0</v>
      </c>
      <c r="BH133" s="102">
        <v>0</v>
      </c>
      <c r="BI133" s="102">
        <v>0</v>
      </c>
      <c r="BJ133" s="102">
        <v>0</v>
      </c>
      <c r="BK133" s="102">
        <v>0</v>
      </c>
      <c r="BL133" s="102">
        <v>1</v>
      </c>
      <c r="BM133" s="102">
        <v>1</v>
      </c>
      <c r="BN133" s="102">
        <v>0</v>
      </c>
      <c r="BO133" s="102">
        <v>0</v>
      </c>
      <c r="BP133" s="102">
        <v>0</v>
      </c>
      <c r="BQ133" s="102">
        <v>0</v>
      </c>
      <c r="BR133" s="102">
        <v>0</v>
      </c>
      <c r="BS133" s="102">
        <v>0</v>
      </c>
      <c r="BT133" s="102">
        <v>0</v>
      </c>
      <c r="BU133" s="102"/>
      <c r="BV133" s="102">
        <v>0</v>
      </c>
      <c r="BW133" s="102">
        <v>0</v>
      </c>
      <c r="BX133" s="102">
        <v>0</v>
      </c>
      <c r="BY133" s="102">
        <v>0</v>
      </c>
      <c r="BZ133" s="102">
        <v>0</v>
      </c>
      <c r="CA133" s="102">
        <v>0</v>
      </c>
      <c r="CB133" s="102">
        <v>1</v>
      </c>
      <c r="CC133" s="102">
        <v>3</v>
      </c>
      <c r="CD133" s="102" t="s">
        <v>1737</v>
      </c>
      <c r="CE133" s="102">
        <v>0</v>
      </c>
      <c r="CF133" s="102">
        <v>0</v>
      </c>
      <c r="CG133" s="102">
        <v>0</v>
      </c>
      <c r="CH133" s="102">
        <v>1</v>
      </c>
      <c r="CI133" s="102">
        <v>0</v>
      </c>
      <c r="CJ133" s="102">
        <v>1</v>
      </c>
      <c r="CK133" s="102">
        <v>0</v>
      </c>
      <c r="CL133" s="102">
        <v>0</v>
      </c>
      <c r="CM133" s="102">
        <v>0</v>
      </c>
      <c r="CN133" s="102">
        <v>0</v>
      </c>
      <c r="CO133" s="102">
        <v>0</v>
      </c>
      <c r="CP133" s="102">
        <v>0</v>
      </c>
      <c r="CQ133" s="102">
        <v>0</v>
      </c>
      <c r="CR133" s="102">
        <v>0</v>
      </c>
      <c r="CS133" s="102">
        <v>0</v>
      </c>
      <c r="CT133" s="102" t="s">
        <v>853</v>
      </c>
      <c r="CU133" s="102">
        <v>0</v>
      </c>
      <c r="CV133" s="102">
        <v>0</v>
      </c>
      <c r="CW133" s="102">
        <v>0</v>
      </c>
      <c r="CX133" s="102">
        <v>0</v>
      </c>
      <c r="CY133" s="102">
        <v>0</v>
      </c>
      <c r="CZ133" s="102">
        <v>0</v>
      </c>
      <c r="DA133" s="102" t="s">
        <v>853</v>
      </c>
      <c r="DB133" s="102">
        <v>0</v>
      </c>
      <c r="DC133" s="102">
        <v>0</v>
      </c>
      <c r="DD133" s="102">
        <v>0</v>
      </c>
      <c r="DE133" s="102">
        <v>0</v>
      </c>
      <c r="DF133" s="102">
        <v>0</v>
      </c>
      <c r="DG133" s="102">
        <v>0</v>
      </c>
      <c r="DH133" s="102">
        <v>0</v>
      </c>
      <c r="DI133" s="102">
        <v>0</v>
      </c>
      <c r="DJ133" s="102">
        <v>0</v>
      </c>
      <c r="DK133" s="102">
        <v>1</v>
      </c>
      <c r="DL133" s="102">
        <v>0</v>
      </c>
      <c r="DM133" s="102">
        <v>0</v>
      </c>
      <c r="DN133" s="102">
        <v>0</v>
      </c>
      <c r="DO133" s="102">
        <v>0</v>
      </c>
      <c r="DP133" s="102">
        <v>0</v>
      </c>
      <c r="DQ133" s="102">
        <v>0</v>
      </c>
      <c r="DR133" s="102">
        <v>0</v>
      </c>
      <c r="DS133" s="102" t="s">
        <v>853</v>
      </c>
      <c r="DT133" s="105" t="s">
        <v>853</v>
      </c>
      <c r="DU133" s="102" t="s">
        <v>853</v>
      </c>
      <c r="DV133" s="102">
        <v>0</v>
      </c>
      <c r="DW133" s="102">
        <v>0</v>
      </c>
      <c r="DX133" s="102" t="s">
        <v>853</v>
      </c>
      <c r="DY133" s="102">
        <v>0</v>
      </c>
      <c r="DZ133" s="102">
        <v>0</v>
      </c>
      <c r="EA133" s="102" t="s">
        <v>853</v>
      </c>
      <c r="EB133" s="102">
        <v>0</v>
      </c>
      <c r="EC133" s="102">
        <v>0</v>
      </c>
      <c r="ED133" s="102">
        <v>0</v>
      </c>
      <c r="EE133" s="102">
        <v>1</v>
      </c>
      <c r="EF133" s="102">
        <v>2</v>
      </c>
      <c r="EG133" s="102">
        <v>0</v>
      </c>
      <c r="EH133" s="102" t="s">
        <v>853</v>
      </c>
      <c r="EI133" s="102">
        <v>1</v>
      </c>
      <c r="EJ133" s="102">
        <v>1</v>
      </c>
      <c r="EK133" s="102">
        <v>2</v>
      </c>
      <c r="EL133" s="102">
        <v>0</v>
      </c>
      <c r="EM133" s="102"/>
    </row>
    <row r="134" spans="1:143" ht="15.75" customHeight="1" x14ac:dyDescent="0.55000000000000004">
      <c r="A134" s="99">
        <v>132</v>
      </c>
      <c r="B134" s="102" t="s">
        <v>1738</v>
      </c>
      <c r="C134" s="102" t="s">
        <v>1014</v>
      </c>
      <c r="D134" s="103">
        <v>41432</v>
      </c>
      <c r="E134" s="102" t="s">
        <v>959</v>
      </c>
      <c r="F134" s="102">
        <v>7</v>
      </c>
      <c r="G134" s="102">
        <v>6</v>
      </c>
      <c r="H134" s="102">
        <v>2013</v>
      </c>
      <c r="I134" s="102" t="s">
        <v>1739</v>
      </c>
      <c r="J134" s="102" t="s">
        <v>1740</v>
      </c>
      <c r="K134" s="102" t="s">
        <v>930</v>
      </c>
      <c r="L134" s="102">
        <v>5</v>
      </c>
      <c r="M134" s="102">
        <v>3</v>
      </c>
      <c r="N134" s="102">
        <v>0</v>
      </c>
      <c r="O134" s="102">
        <v>1</v>
      </c>
      <c r="P134" s="102">
        <v>1</v>
      </c>
      <c r="Q134" s="104">
        <v>0</v>
      </c>
      <c r="R134" s="102">
        <v>1</v>
      </c>
      <c r="S134" s="102">
        <v>7</v>
      </c>
      <c r="T134" s="102">
        <v>0</v>
      </c>
      <c r="U134" s="102">
        <v>0</v>
      </c>
      <c r="V134" s="102">
        <v>5</v>
      </c>
      <c r="W134" s="102">
        <v>3</v>
      </c>
      <c r="X134" s="102">
        <v>1</v>
      </c>
      <c r="Y134" s="102">
        <v>0</v>
      </c>
      <c r="Z134" s="102">
        <v>1</v>
      </c>
      <c r="AA134" s="102">
        <v>23</v>
      </c>
      <c r="AB134" s="102">
        <v>0</v>
      </c>
      <c r="AC134" s="102">
        <v>4</v>
      </c>
      <c r="AD134" s="102">
        <v>1</v>
      </c>
      <c r="AE134" s="102">
        <v>0</v>
      </c>
      <c r="AF134" s="102"/>
      <c r="AG134" s="102">
        <v>2</v>
      </c>
      <c r="AH134" s="102">
        <v>0</v>
      </c>
      <c r="AI134" s="102" t="s">
        <v>1741</v>
      </c>
      <c r="AJ134" s="102">
        <v>3</v>
      </c>
      <c r="AK134" s="102">
        <v>1</v>
      </c>
      <c r="AL134" s="102">
        <v>1</v>
      </c>
      <c r="AM134" s="102">
        <v>0</v>
      </c>
      <c r="AN134" s="102">
        <v>0</v>
      </c>
      <c r="AO134" s="102">
        <v>0</v>
      </c>
      <c r="AP134" s="102">
        <v>0</v>
      </c>
      <c r="AQ134" s="102"/>
      <c r="AR134" s="102">
        <v>0</v>
      </c>
      <c r="AS134" s="102" t="s">
        <v>853</v>
      </c>
      <c r="AT134" s="102">
        <v>0</v>
      </c>
      <c r="AU134" s="102"/>
      <c r="AV134" s="102">
        <v>0</v>
      </c>
      <c r="AW134" s="102">
        <v>1</v>
      </c>
      <c r="AX134" s="102">
        <v>4</v>
      </c>
      <c r="AY134" s="102">
        <v>5</v>
      </c>
      <c r="AZ134" s="102">
        <v>2</v>
      </c>
      <c r="BA134" s="102">
        <v>0</v>
      </c>
      <c r="BB134" s="102">
        <v>0</v>
      </c>
      <c r="BC134" s="102">
        <v>2</v>
      </c>
      <c r="BD134" s="102" t="s">
        <v>922</v>
      </c>
      <c r="BE134" s="102">
        <v>0</v>
      </c>
      <c r="BF134" s="102">
        <v>0</v>
      </c>
      <c r="BG134" s="102">
        <v>0</v>
      </c>
      <c r="BH134" s="102">
        <v>0</v>
      </c>
      <c r="BI134" s="102">
        <v>2</v>
      </c>
      <c r="BJ134" s="102">
        <v>0</v>
      </c>
      <c r="BK134" s="102">
        <v>0</v>
      </c>
      <c r="BL134" s="102">
        <v>0</v>
      </c>
      <c r="BM134" s="102">
        <v>1</v>
      </c>
      <c r="BN134" s="102">
        <v>0</v>
      </c>
      <c r="BO134" s="102">
        <v>0</v>
      </c>
      <c r="BP134" s="102">
        <v>1</v>
      </c>
      <c r="BQ134" s="102">
        <v>0</v>
      </c>
      <c r="BR134" s="102">
        <v>0</v>
      </c>
      <c r="BS134" s="102">
        <v>1</v>
      </c>
      <c r="BT134" s="102">
        <v>0</v>
      </c>
      <c r="BU134" s="102">
        <v>2</v>
      </c>
      <c r="BV134" s="102">
        <v>1</v>
      </c>
      <c r="BW134" s="102">
        <v>0</v>
      </c>
      <c r="BX134" s="102">
        <v>1</v>
      </c>
      <c r="BY134" s="102">
        <v>0</v>
      </c>
      <c r="BZ134" s="102">
        <v>0</v>
      </c>
      <c r="CA134" s="102">
        <v>4</v>
      </c>
      <c r="CB134" s="102">
        <v>1</v>
      </c>
      <c r="CC134" s="102">
        <v>3</v>
      </c>
      <c r="CD134" s="102" t="s">
        <v>1742</v>
      </c>
      <c r="CE134" s="102">
        <v>0</v>
      </c>
      <c r="CF134" s="102">
        <v>0</v>
      </c>
      <c r="CG134" s="102">
        <v>0</v>
      </c>
      <c r="CH134" s="102">
        <v>1</v>
      </c>
      <c r="CI134" s="102">
        <v>1</v>
      </c>
      <c r="CJ134" s="102">
        <v>1</v>
      </c>
      <c r="CK134" s="102">
        <v>1</v>
      </c>
      <c r="CL134" s="102">
        <v>0</v>
      </c>
      <c r="CM134" s="102">
        <v>0</v>
      </c>
      <c r="CN134" s="102">
        <v>2</v>
      </c>
      <c r="CO134" s="102">
        <v>1</v>
      </c>
      <c r="CP134" s="102">
        <v>2</v>
      </c>
      <c r="CQ134" s="102">
        <v>0</v>
      </c>
      <c r="CR134" s="102">
        <v>0</v>
      </c>
      <c r="CS134" s="102">
        <v>0</v>
      </c>
      <c r="CT134" s="102" t="s">
        <v>853</v>
      </c>
      <c r="CU134" s="102">
        <v>0</v>
      </c>
      <c r="CV134" s="102">
        <v>4</v>
      </c>
      <c r="CW134" s="102">
        <v>1</v>
      </c>
      <c r="CX134" s="102">
        <v>0</v>
      </c>
      <c r="CY134" s="102">
        <v>0</v>
      </c>
      <c r="CZ134" s="102">
        <v>0</v>
      </c>
      <c r="DA134" s="102" t="s">
        <v>853</v>
      </c>
      <c r="DB134" s="102">
        <v>0</v>
      </c>
      <c r="DC134" s="102">
        <v>0</v>
      </c>
      <c r="DD134" s="102">
        <v>0</v>
      </c>
      <c r="DE134" s="102">
        <v>0</v>
      </c>
      <c r="DF134" s="102">
        <v>0</v>
      </c>
      <c r="DG134" s="102">
        <v>0</v>
      </c>
      <c r="DH134" s="102">
        <v>0</v>
      </c>
      <c r="DI134" s="102">
        <v>0</v>
      </c>
      <c r="DJ134" s="102">
        <v>0</v>
      </c>
      <c r="DK134" s="102">
        <v>0</v>
      </c>
      <c r="DL134" s="102">
        <v>0</v>
      </c>
      <c r="DM134" s="102">
        <v>0</v>
      </c>
      <c r="DN134" s="102">
        <v>0</v>
      </c>
      <c r="DO134" s="102">
        <v>1</v>
      </c>
      <c r="DP134" s="102">
        <v>0</v>
      </c>
      <c r="DQ134" s="102">
        <v>0</v>
      </c>
      <c r="DR134" s="102">
        <v>0</v>
      </c>
      <c r="DS134" s="102" t="s">
        <v>853</v>
      </c>
      <c r="DT134" s="105" t="s">
        <v>853</v>
      </c>
      <c r="DU134" s="102" t="s">
        <v>853</v>
      </c>
      <c r="DV134" s="102">
        <v>0</v>
      </c>
      <c r="DW134" s="102">
        <v>0</v>
      </c>
      <c r="DX134" s="102" t="s">
        <v>853</v>
      </c>
      <c r="DY134" s="102">
        <v>1</v>
      </c>
      <c r="DZ134" s="102">
        <v>0</v>
      </c>
      <c r="EA134" s="102" t="s">
        <v>853</v>
      </c>
      <c r="EB134" s="102">
        <v>1</v>
      </c>
      <c r="EC134" s="102">
        <v>0</v>
      </c>
      <c r="ED134" s="102">
        <v>1</v>
      </c>
      <c r="EE134" s="102">
        <v>1</v>
      </c>
      <c r="EF134" s="102">
        <v>2</v>
      </c>
      <c r="EG134" s="102">
        <v>1</v>
      </c>
      <c r="EH134" s="102" t="s">
        <v>1743</v>
      </c>
      <c r="EI134" s="102">
        <v>1</v>
      </c>
      <c r="EJ134" s="102">
        <v>0</v>
      </c>
      <c r="EK134" s="102">
        <v>2</v>
      </c>
      <c r="EL134" s="102">
        <v>0</v>
      </c>
      <c r="EM134" s="102"/>
    </row>
    <row r="135" spans="1:143" ht="15.75" customHeight="1" x14ac:dyDescent="0.55000000000000004">
      <c r="A135" s="99">
        <v>133</v>
      </c>
      <c r="B135" s="102" t="s">
        <v>1744</v>
      </c>
      <c r="C135" s="102" t="s">
        <v>1745</v>
      </c>
      <c r="D135" s="103">
        <v>41481</v>
      </c>
      <c r="E135" s="102" t="s">
        <v>959</v>
      </c>
      <c r="F135" s="102">
        <v>26</v>
      </c>
      <c r="G135" s="102">
        <v>7</v>
      </c>
      <c r="H135" s="102">
        <v>2013</v>
      </c>
      <c r="I135" s="102" t="s">
        <v>1746</v>
      </c>
      <c r="J135" s="102" t="s">
        <v>1747</v>
      </c>
      <c r="K135" s="102" t="s">
        <v>1022</v>
      </c>
      <c r="L135" s="102">
        <v>9</v>
      </c>
      <c r="M135" s="102">
        <v>0</v>
      </c>
      <c r="N135" s="102">
        <v>0</v>
      </c>
      <c r="O135" s="102">
        <v>7</v>
      </c>
      <c r="P135" s="102">
        <v>0</v>
      </c>
      <c r="Q135" s="104">
        <v>0</v>
      </c>
      <c r="R135" s="102">
        <v>0</v>
      </c>
      <c r="S135" s="102" t="s">
        <v>853</v>
      </c>
      <c r="T135" s="102">
        <v>0</v>
      </c>
      <c r="U135" s="102">
        <v>0</v>
      </c>
      <c r="V135" s="102">
        <v>6</v>
      </c>
      <c r="W135" s="102">
        <v>0</v>
      </c>
      <c r="X135" s="102">
        <v>0</v>
      </c>
      <c r="Y135" s="102">
        <v>0</v>
      </c>
      <c r="Z135" s="102">
        <v>1</v>
      </c>
      <c r="AA135" s="102">
        <v>42</v>
      </c>
      <c r="AB135" s="102">
        <v>0</v>
      </c>
      <c r="AC135" s="102">
        <v>2</v>
      </c>
      <c r="AD135" s="102">
        <v>1</v>
      </c>
      <c r="AE135" s="102">
        <v>0</v>
      </c>
      <c r="AF135" s="102"/>
      <c r="AG135" s="102">
        <v>3</v>
      </c>
      <c r="AH135" s="102">
        <v>2</v>
      </c>
      <c r="AI135" s="102" t="s">
        <v>1748</v>
      </c>
      <c r="AJ135" s="102">
        <v>0</v>
      </c>
      <c r="AK135" s="102">
        <v>0</v>
      </c>
      <c r="AL135" s="102">
        <v>0</v>
      </c>
      <c r="AM135" s="102">
        <v>0</v>
      </c>
      <c r="AN135" s="102">
        <v>1</v>
      </c>
      <c r="AO135" s="102">
        <v>0</v>
      </c>
      <c r="AP135" s="102">
        <v>0</v>
      </c>
      <c r="AQ135" s="102">
        <v>2</v>
      </c>
      <c r="AR135" s="102">
        <v>0</v>
      </c>
      <c r="AS135" s="102" t="s">
        <v>853</v>
      </c>
      <c r="AT135" s="102">
        <v>0</v>
      </c>
      <c r="AU135" s="102"/>
      <c r="AV135" s="102">
        <v>1</v>
      </c>
      <c r="AW135" s="102">
        <v>0</v>
      </c>
      <c r="AX135" s="102">
        <v>0</v>
      </c>
      <c r="AY135" s="102">
        <v>0</v>
      </c>
      <c r="AZ135" s="102">
        <v>0</v>
      </c>
      <c r="BA135" s="102">
        <v>1</v>
      </c>
      <c r="BB135" s="102">
        <v>0</v>
      </c>
      <c r="BC135" s="102">
        <v>2</v>
      </c>
      <c r="BD135" s="102">
        <v>3</v>
      </c>
      <c r="BE135" s="102">
        <v>0</v>
      </c>
      <c r="BF135" s="102">
        <v>0</v>
      </c>
      <c r="BG135" s="102">
        <v>0</v>
      </c>
      <c r="BH135" s="102">
        <v>0</v>
      </c>
      <c r="BI135" s="102">
        <v>0</v>
      </c>
      <c r="BJ135" s="102">
        <v>1</v>
      </c>
      <c r="BK135" s="102">
        <v>0</v>
      </c>
      <c r="BL135" s="102">
        <v>0</v>
      </c>
      <c r="BM135" s="102">
        <v>0</v>
      </c>
      <c r="BN135" s="102">
        <v>0</v>
      </c>
      <c r="BO135" s="102">
        <v>0</v>
      </c>
      <c r="BP135" s="102">
        <v>0</v>
      </c>
      <c r="BQ135" s="102">
        <v>0</v>
      </c>
      <c r="BR135" s="102">
        <v>0</v>
      </c>
      <c r="BS135" s="102">
        <v>0</v>
      </c>
      <c r="BT135" s="102">
        <v>0</v>
      </c>
      <c r="BU135" s="102">
        <v>1</v>
      </c>
      <c r="BV135" s="102">
        <v>0</v>
      </c>
      <c r="BW135" s="102">
        <v>0</v>
      </c>
      <c r="BX135" s="102">
        <v>0</v>
      </c>
      <c r="BY135" s="102">
        <v>0</v>
      </c>
      <c r="BZ135" s="102">
        <v>0</v>
      </c>
      <c r="CA135" s="102" t="s">
        <v>904</v>
      </c>
      <c r="CB135" s="102">
        <v>1</v>
      </c>
      <c r="CC135" s="102">
        <v>0</v>
      </c>
      <c r="CD135" s="102" t="s">
        <v>1749</v>
      </c>
      <c r="CE135" s="102">
        <v>0</v>
      </c>
      <c r="CF135" s="102">
        <v>0</v>
      </c>
      <c r="CG135" s="102">
        <v>0</v>
      </c>
      <c r="CH135" s="102">
        <v>0</v>
      </c>
      <c r="CI135" s="102">
        <v>1</v>
      </c>
      <c r="CJ135" s="102">
        <v>1</v>
      </c>
      <c r="CK135" s="102">
        <v>1</v>
      </c>
      <c r="CL135" s="102">
        <v>1</v>
      </c>
      <c r="CM135" s="102">
        <v>1</v>
      </c>
      <c r="CN135" s="102">
        <v>0</v>
      </c>
      <c r="CO135" s="102">
        <v>0</v>
      </c>
      <c r="CP135" s="102">
        <v>0</v>
      </c>
      <c r="CQ135" s="102">
        <v>0</v>
      </c>
      <c r="CR135" s="102">
        <v>0</v>
      </c>
      <c r="CS135" s="102">
        <v>0</v>
      </c>
      <c r="CT135" s="102" t="s">
        <v>853</v>
      </c>
      <c r="CU135" s="102">
        <v>0</v>
      </c>
      <c r="CV135" s="102">
        <v>4</v>
      </c>
      <c r="CW135" s="102">
        <v>0</v>
      </c>
      <c r="CX135" s="102">
        <v>0</v>
      </c>
      <c r="CY135" s="102">
        <v>3</v>
      </c>
      <c r="CZ135" s="102">
        <v>0</v>
      </c>
      <c r="DA135" s="102" t="s">
        <v>853</v>
      </c>
      <c r="DB135" s="102">
        <v>0</v>
      </c>
      <c r="DC135" s="102">
        <v>0</v>
      </c>
      <c r="DD135" s="102">
        <v>0</v>
      </c>
      <c r="DE135" s="102">
        <v>0</v>
      </c>
      <c r="DF135" s="102">
        <v>0</v>
      </c>
      <c r="DG135" s="102">
        <v>0</v>
      </c>
      <c r="DH135" s="102">
        <v>0</v>
      </c>
      <c r="DI135" s="102">
        <v>0</v>
      </c>
      <c r="DJ135" s="102">
        <v>1</v>
      </c>
      <c r="DK135" s="102">
        <v>0</v>
      </c>
      <c r="DL135" s="102">
        <v>0</v>
      </c>
      <c r="DM135" s="102">
        <v>0</v>
      </c>
      <c r="DN135" s="102">
        <v>1</v>
      </c>
      <c r="DO135" s="102">
        <v>0</v>
      </c>
      <c r="DP135" s="102">
        <v>3</v>
      </c>
      <c r="DQ135" s="102">
        <v>0</v>
      </c>
      <c r="DR135" s="102">
        <v>0</v>
      </c>
      <c r="DS135" s="102" t="s">
        <v>853</v>
      </c>
      <c r="DT135" s="105" t="s">
        <v>853</v>
      </c>
      <c r="DU135" s="102" t="s">
        <v>853</v>
      </c>
      <c r="DV135" s="102">
        <v>0</v>
      </c>
      <c r="DW135" s="102">
        <v>0</v>
      </c>
      <c r="DX135" s="102" t="s">
        <v>853</v>
      </c>
      <c r="DY135" s="102">
        <v>0</v>
      </c>
      <c r="DZ135" s="102">
        <v>0</v>
      </c>
      <c r="EA135" s="102" t="s">
        <v>853</v>
      </c>
      <c r="EB135" s="102">
        <v>0</v>
      </c>
      <c r="EC135" s="102">
        <v>0</v>
      </c>
      <c r="ED135" s="102">
        <v>0</v>
      </c>
      <c r="EE135" s="102">
        <v>2</v>
      </c>
      <c r="EF135" s="102">
        <v>1</v>
      </c>
      <c r="EG135" s="102">
        <v>1</v>
      </c>
      <c r="EH135" s="102" t="s">
        <v>1750</v>
      </c>
      <c r="EI135" s="102">
        <v>1</v>
      </c>
      <c r="EJ135" s="102">
        <v>0</v>
      </c>
      <c r="EK135" s="102">
        <v>2</v>
      </c>
      <c r="EL135" s="102">
        <v>0</v>
      </c>
      <c r="EM135" s="102"/>
    </row>
    <row r="136" spans="1:143" ht="15.75" customHeight="1" x14ac:dyDescent="0.55000000000000004">
      <c r="A136" s="99">
        <v>134</v>
      </c>
      <c r="B136" s="102" t="s">
        <v>1751</v>
      </c>
      <c r="C136" s="102" t="s">
        <v>1752</v>
      </c>
      <c r="D136" s="103">
        <v>41533</v>
      </c>
      <c r="E136" s="102" t="s">
        <v>846</v>
      </c>
      <c r="F136" s="102">
        <v>16</v>
      </c>
      <c r="G136" s="102">
        <v>9</v>
      </c>
      <c r="H136" s="102">
        <v>2013</v>
      </c>
      <c r="I136" s="102" t="s">
        <v>1753</v>
      </c>
      <c r="J136" s="102" t="s">
        <v>1754</v>
      </c>
      <c r="K136" s="102" t="s">
        <v>1755</v>
      </c>
      <c r="L136" s="102">
        <v>51</v>
      </c>
      <c r="M136" s="102">
        <v>0</v>
      </c>
      <c r="N136" s="102">
        <v>0</v>
      </c>
      <c r="O136" s="106">
        <v>2</v>
      </c>
      <c r="P136" s="102">
        <v>1</v>
      </c>
      <c r="Q136" s="104">
        <v>1</v>
      </c>
      <c r="R136" s="102">
        <v>0</v>
      </c>
      <c r="S136" s="102" t="s">
        <v>853</v>
      </c>
      <c r="T136" s="102">
        <v>1</v>
      </c>
      <c r="U136" s="102">
        <v>1</v>
      </c>
      <c r="V136" s="102">
        <v>12</v>
      </c>
      <c r="W136" s="102">
        <v>8</v>
      </c>
      <c r="X136" s="102">
        <v>0</v>
      </c>
      <c r="Y136" s="102">
        <v>0</v>
      </c>
      <c r="Z136" s="102">
        <v>0</v>
      </c>
      <c r="AA136" s="102">
        <v>34</v>
      </c>
      <c r="AB136" s="102">
        <v>0</v>
      </c>
      <c r="AC136" s="102">
        <v>1</v>
      </c>
      <c r="AD136" s="102">
        <v>0</v>
      </c>
      <c r="AE136" s="102">
        <v>0</v>
      </c>
      <c r="AF136" s="102">
        <v>3</v>
      </c>
      <c r="AG136" s="102">
        <v>2</v>
      </c>
      <c r="AH136" s="102">
        <v>2</v>
      </c>
      <c r="AI136" s="102" t="s">
        <v>1756</v>
      </c>
      <c r="AJ136" s="102">
        <v>1</v>
      </c>
      <c r="AK136" s="102">
        <v>2</v>
      </c>
      <c r="AL136" s="102">
        <v>0</v>
      </c>
      <c r="AM136" s="102">
        <v>2</v>
      </c>
      <c r="AN136" s="102">
        <v>0</v>
      </c>
      <c r="AO136" s="102">
        <v>0</v>
      </c>
      <c r="AP136" s="102">
        <v>1</v>
      </c>
      <c r="AQ136" s="102">
        <v>2</v>
      </c>
      <c r="AR136" s="102">
        <v>1</v>
      </c>
      <c r="AS136" s="102">
        <v>1</v>
      </c>
      <c r="AT136" s="102">
        <v>2</v>
      </c>
      <c r="AU136" s="102" t="s">
        <v>1757</v>
      </c>
      <c r="AV136" s="102">
        <v>0</v>
      </c>
      <c r="AW136" s="102">
        <v>1</v>
      </c>
      <c r="AX136" s="102">
        <v>0</v>
      </c>
      <c r="AY136" s="102" t="s">
        <v>1049</v>
      </c>
      <c r="AZ136" s="102">
        <v>2</v>
      </c>
      <c r="BA136" s="102">
        <v>1</v>
      </c>
      <c r="BB136" s="102">
        <v>0</v>
      </c>
      <c r="BC136" s="102">
        <v>0</v>
      </c>
      <c r="BD136" s="102">
        <v>0</v>
      </c>
      <c r="BE136" s="102">
        <v>0</v>
      </c>
      <c r="BF136" s="102">
        <v>0</v>
      </c>
      <c r="BG136" s="102">
        <v>0</v>
      </c>
      <c r="BH136" s="102">
        <v>0</v>
      </c>
      <c r="BI136" s="102">
        <v>1</v>
      </c>
      <c r="BJ136" s="102">
        <v>0</v>
      </c>
      <c r="BK136" s="102">
        <v>0</v>
      </c>
      <c r="BL136" s="102">
        <v>0</v>
      </c>
      <c r="BM136" s="102">
        <v>0</v>
      </c>
      <c r="BN136" s="102">
        <v>0</v>
      </c>
      <c r="BO136" s="102">
        <v>0</v>
      </c>
      <c r="BP136" s="102">
        <v>0</v>
      </c>
      <c r="BQ136" s="102">
        <v>0</v>
      </c>
      <c r="BR136" s="102">
        <v>0</v>
      </c>
      <c r="BS136" s="102">
        <v>0</v>
      </c>
      <c r="BT136" s="102">
        <v>0</v>
      </c>
      <c r="BU136" s="102"/>
      <c r="BV136" s="102">
        <v>0</v>
      </c>
      <c r="BW136" s="102">
        <v>0</v>
      </c>
      <c r="BX136" s="102">
        <v>0</v>
      </c>
      <c r="BY136" s="102">
        <v>0</v>
      </c>
      <c r="BZ136" s="102">
        <v>6</v>
      </c>
      <c r="CA136" s="102" t="s">
        <v>984</v>
      </c>
      <c r="CB136" s="102">
        <v>1</v>
      </c>
      <c r="CC136" s="102">
        <v>2</v>
      </c>
      <c r="CD136" s="102" t="s">
        <v>1758</v>
      </c>
      <c r="CE136" s="102">
        <v>0</v>
      </c>
      <c r="CF136" s="102">
        <v>1</v>
      </c>
      <c r="CG136" s="102">
        <v>0</v>
      </c>
      <c r="CH136" s="102">
        <v>0</v>
      </c>
      <c r="CI136" s="102">
        <v>1</v>
      </c>
      <c r="CJ136" s="102">
        <v>1</v>
      </c>
      <c r="CK136" s="102">
        <v>1</v>
      </c>
      <c r="CL136" s="102">
        <v>1</v>
      </c>
      <c r="CM136" s="102">
        <v>1</v>
      </c>
      <c r="CN136" s="102">
        <v>2</v>
      </c>
      <c r="CO136" s="102">
        <v>0</v>
      </c>
      <c r="CP136" s="102">
        <v>0</v>
      </c>
      <c r="CQ136" s="102">
        <v>1</v>
      </c>
      <c r="CR136" s="102">
        <v>1</v>
      </c>
      <c r="CS136" s="102">
        <v>1</v>
      </c>
      <c r="CT136" s="102" t="s">
        <v>1759</v>
      </c>
      <c r="CU136" s="102">
        <v>1</v>
      </c>
      <c r="CV136" s="102">
        <v>2</v>
      </c>
      <c r="CW136" s="102">
        <v>0</v>
      </c>
      <c r="CX136" s="102">
        <v>0</v>
      </c>
      <c r="CY136" s="102">
        <v>1</v>
      </c>
      <c r="CZ136" s="102">
        <v>0</v>
      </c>
      <c r="DA136" s="102" t="s">
        <v>853</v>
      </c>
      <c r="DB136" s="102">
        <v>0</v>
      </c>
      <c r="DC136" s="102">
        <v>0</v>
      </c>
      <c r="DD136" s="102">
        <v>0</v>
      </c>
      <c r="DE136" s="102">
        <v>0</v>
      </c>
      <c r="DF136" s="102">
        <v>0</v>
      </c>
      <c r="DG136" s="102">
        <v>0</v>
      </c>
      <c r="DH136" s="102">
        <v>0</v>
      </c>
      <c r="DI136" s="102">
        <v>0</v>
      </c>
      <c r="DJ136" s="102">
        <v>0</v>
      </c>
      <c r="DK136" s="102">
        <v>0</v>
      </c>
      <c r="DL136" s="102">
        <v>0</v>
      </c>
      <c r="DM136" s="102">
        <v>0</v>
      </c>
      <c r="DN136" s="102">
        <v>1</v>
      </c>
      <c r="DO136" s="102">
        <v>0</v>
      </c>
      <c r="DP136" s="102">
        <v>3</v>
      </c>
      <c r="DQ136" s="102">
        <v>1</v>
      </c>
      <c r="DR136" s="102">
        <v>0</v>
      </c>
      <c r="DS136" s="102" t="s">
        <v>853</v>
      </c>
      <c r="DT136" s="105" t="s">
        <v>853</v>
      </c>
      <c r="DU136" s="102" t="s">
        <v>853</v>
      </c>
      <c r="DV136" s="102">
        <v>0</v>
      </c>
      <c r="DW136" s="102">
        <v>0</v>
      </c>
      <c r="DX136" s="102" t="s">
        <v>853</v>
      </c>
      <c r="DY136" s="102">
        <v>0</v>
      </c>
      <c r="DZ136" s="102">
        <v>0</v>
      </c>
      <c r="EA136" s="102" t="s">
        <v>853</v>
      </c>
      <c r="EB136" s="102">
        <v>0</v>
      </c>
      <c r="EC136" s="102">
        <v>0</v>
      </c>
      <c r="ED136" s="102">
        <v>1</v>
      </c>
      <c r="EE136" s="102">
        <v>3</v>
      </c>
      <c r="EF136" s="102">
        <v>1</v>
      </c>
      <c r="EG136" s="102">
        <v>0</v>
      </c>
      <c r="EH136" s="102" t="s">
        <v>853</v>
      </c>
      <c r="EI136" s="102">
        <v>1</v>
      </c>
      <c r="EJ136" s="102">
        <v>0</v>
      </c>
      <c r="EK136" s="102">
        <v>2</v>
      </c>
      <c r="EL136" s="102">
        <v>0</v>
      </c>
      <c r="EM136" s="102"/>
    </row>
    <row r="137" spans="1:143" ht="15.75" customHeight="1" x14ac:dyDescent="0.55000000000000004">
      <c r="A137" s="99">
        <v>135</v>
      </c>
      <c r="B137" s="102" t="s">
        <v>1760</v>
      </c>
      <c r="C137" s="102" t="s">
        <v>1761</v>
      </c>
      <c r="D137" s="103">
        <v>41690</v>
      </c>
      <c r="E137" s="102" t="s">
        <v>995</v>
      </c>
      <c r="F137" s="102">
        <v>20</v>
      </c>
      <c r="G137" s="102">
        <v>2</v>
      </c>
      <c r="H137" s="102">
        <v>2014</v>
      </c>
      <c r="I137" s="102" t="s">
        <v>1762</v>
      </c>
      <c r="J137" s="102" t="s">
        <v>1763</v>
      </c>
      <c r="K137" s="102" t="s">
        <v>930</v>
      </c>
      <c r="L137" s="102">
        <v>5</v>
      </c>
      <c r="M137" s="102">
        <v>3</v>
      </c>
      <c r="N137" s="102">
        <v>2</v>
      </c>
      <c r="O137" s="102">
        <v>2</v>
      </c>
      <c r="P137" s="102">
        <v>1</v>
      </c>
      <c r="Q137" s="104">
        <v>0</v>
      </c>
      <c r="R137" s="102">
        <v>0</v>
      </c>
      <c r="S137" s="102" t="s">
        <v>853</v>
      </c>
      <c r="T137" s="102">
        <v>0</v>
      </c>
      <c r="U137" s="102">
        <v>0</v>
      </c>
      <c r="V137" s="102">
        <v>4</v>
      </c>
      <c r="W137" s="102">
        <v>2</v>
      </c>
      <c r="X137" s="102">
        <v>1</v>
      </c>
      <c r="Y137" s="102">
        <v>0</v>
      </c>
      <c r="Z137" s="102">
        <v>0</v>
      </c>
      <c r="AA137" s="102">
        <v>44</v>
      </c>
      <c r="AB137" s="102">
        <v>1</v>
      </c>
      <c r="AC137" s="102">
        <v>5</v>
      </c>
      <c r="AD137" s="102">
        <v>0</v>
      </c>
      <c r="AE137" s="102">
        <v>0</v>
      </c>
      <c r="AF137" s="102"/>
      <c r="AG137" s="102"/>
      <c r="AH137" s="102"/>
      <c r="AI137" s="102"/>
      <c r="AJ137" s="102"/>
      <c r="AK137" s="102">
        <v>2</v>
      </c>
      <c r="AL137" s="102"/>
      <c r="AM137" s="102"/>
      <c r="AN137" s="102">
        <v>0</v>
      </c>
      <c r="AO137" s="102">
        <v>1</v>
      </c>
      <c r="AP137" s="102">
        <v>1</v>
      </c>
      <c r="AQ137" s="102">
        <v>0</v>
      </c>
      <c r="AR137" s="102">
        <v>0</v>
      </c>
      <c r="AS137" s="102" t="s">
        <v>853</v>
      </c>
      <c r="AT137" s="102">
        <v>2</v>
      </c>
      <c r="AU137" s="102" t="s">
        <v>1764</v>
      </c>
      <c r="AV137" s="102">
        <v>0</v>
      </c>
      <c r="AW137" s="102">
        <v>1</v>
      </c>
      <c r="AX137" s="102">
        <v>0</v>
      </c>
      <c r="AY137" s="102">
        <v>2</v>
      </c>
      <c r="AZ137" s="102">
        <v>1</v>
      </c>
      <c r="BA137" s="102">
        <v>0</v>
      </c>
      <c r="BB137" s="102">
        <v>0</v>
      </c>
      <c r="BC137" s="102">
        <v>0</v>
      </c>
      <c r="BD137" s="102">
        <v>0</v>
      </c>
      <c r="BE137" s="102">
        <v>0</v>
      </c>
      <c r="BF137" s="102">
        <v>0</v>
      </c>
      <c r="BG137" s="102">
        <v>0</v>
      </c>
      <c r="BH137" s="102">
        <v>0</v>
      </c>
      <c r="BI137" s="102">
        <v>0</v>
      </c>
      <c r="BJ137" s="102">
        <v>1</v>
      </c>
      <c r="BK137" s="102">
        <v>0</v>
      </c>
      <c r="BL137" s="102">
        <v>0</v>
      </c>
      <c r="BM137" s="102">
        <v>0</v>
      </c>
      <c r="BN137" s="102">
        <v>0</v>
      </c>
      <c r="BO137" s="102">
        <v>0</v>
      </c>
      <c r="BP137" s="102">
        <v>0</v>
      </c>
      <c r="BQ137" s="102">
        <v>0</v>
      </c>
      <c r="BR137" s="102">
        <v>0</v>
      </c>
      <c r="BS137" s="102">
        <v>0</v>
      </c>
      <c r="BT137" s="102">
        <v>0</v>
      </c>
      <c r="BU137" s="102">
        <v>0</v>
      </c>
      <c r="BV137" s="102">
        <v>0</v>
      </c>
      <c r="BW137" s="102">
        <v>0</v>
      </c>
      <c r="BX137" s="102">
        <v>0</v>
      </c>
      <c r="BY137" s="102">
        <v>0</v>
      </c>
      <c r="BZ137" s="102">
        <v>0</v>
      </c>
      <c r="CA137" s="102" t="s">
        <v>904</v>
      </c>
      <c r="CB137" s="102">
        <v>1</v>
      </c>
      <c r="CC137" s="102">
        <v>2</v>
      </c>
      <c r="CD137" s="102" t="s">
        <v>1765</v>
      </c>
      <c r="CE137" s="102">
        <v>0</v>
      </c>
      <c r="CF137" s="102">
        <v>0</v>
      </c>
      <c r="CG137" s="102">
        <v>0</v>
      </c>
      <c r="CH137" s="102">
        <v>0</v>
      </c>
      <c r="CI137" s="102">
        <v>1</v>
      </c>
      <c r="CJ137" s="102">
        <v>0</v>
      </c>
      <c r="CK137" s="102">
        <v>1</v>
      </c>
      <c r="CL137" s="102">
        <v>0</v>
      </c>
      <c r="CM137" s="102">
        <v>0</v>
      </c>
      <c r="CN137" s="102">
        <v>0</v>
      </c>
      <c r="CO137" s="102">
        <v>0</v>
      </c>
      <c r="CP137" s="102">
        <v>0</v>
      </c>
      <c r="CQ137" s="102">
        <v>0</v>
      </c>
      <c r="CR137" s="102">
        <v>0</v>
      </c>
      <c r="CS137" s="102">
        <v>0</v>
      </c>
      <c r="CT137" s="102" t="s">
        <v>853</v>
      </c>
      <c r="CU137" s="102">
        <v>0</v>
      </c>
      <c r="CV137" s="102">
        <v>0</v>
      </c>
      <c r="CW137" s="102">
        <v>0</v>
      </c>
      <c r="CX137" s="102">
        <v>0</v>
      </c>
      <c r="CY137" s="102">
        <v>0</v>
      </c>
      <c r="CZ137" s="102">
        <v>0</v>
      </c>
      <c r="DA137" s="102" t="s">
        <v>853</v>
      </c>
      <c r="DB137" s="102">
        <v>0</v>
      </c>
      <c r="DC137" s="102">
        <v>0</v>
      </c>
      <c r="DD137" s="102">
        <v>0</v>
      </c>
      <c r="DE137" s="102">
        <v>0</v>
      </c>
      <c r="DF137" s="102">
        <v>0</v>
      </c>
      <c r="DG137" s="102">
        <v>0</v>
      </c>
      <c r="DH137" s="102">
        <v>0</v>
      </c>
      <c r="DI137" s="102">
        <v>1</v>
      </c>
      <c r="DJ137" s="102">
        <v>1</v>
      </c>
      <c r="DK137" s="102">
        <v>0</v>
      </c>
      <c r="DL137" s="102">
        <v>0</v>
      </c>
      <c r="DM137" s="102">
        <v>0</v>
      </c>
      <c r="DN137" s="102">
        <v>0</v>
      </c>
      <c r="DO137" s="102">
        <v>0</v>
      </c>
      <c r="DP137" s="102">
        <v>0</v>
      </c>
      <c r="DQ137" s="102">
        <v>0</v>
      </c>
      <c r="DR137" s="102">
        <v>0</v>
      </c>
      <c r="DS137" s="102" t="s">
        <v>853</v>
      </c>
      <c r="DT137" s="105" t="s">
        <v>853</v>
      </c>
      <c r="DU137" s="102" t="s">
        <v>853</v>
      </c>
      <c r="DV137" s="102">
        <v>0</v>
      </c>
      <c r="DW137" s="102">
        <v>0</v>
      </c>
      <c r="DX137" s="102" t="s">
        <v>853</v>
      </c>
      <c r="DY137" s="102">
        <v>0</v>
      </c>
      <c r="DZ137" s="102">
        <v>0</v>
      </c>
      <c r="EA137" s="102" t="s">
        <v>853</v>
      </c>
      <c r="EB137" s="102">
        <v>0</v>
      </c>
      <c r="EC137" s="102">
        <v>0</v>
      </c>
      <c r="ED137" s="102">
        <v>0</v>
      </c>
      <c r="EE137" s="102">
        <v>0</v>
      </c>
      <c r="EF137" s="102">
        <v>2</v>
      </c>
      <c r="EG137" s="102">
        <v>0</v>
      </c>
      <c r="EH137" s="102" t="s">
        <v>853</v>
      </c>
      <c r="EI137" s="102">
        <v>2</v>
      </c>
      <c r="EJ137" s="102">
        <v>0</v>
      </c>
      <c r="EK137" s="102">
        <v>0</v>
      </c>
      <c r="EL137" s="102">
        <v>1</v>
      </c>
      <c r="EM137" s="102"/>
    </row>
    <row r="138" spans="1:143" ht="15.75" customHeight="1" x14ac:dyDescent="0.55000000000000004">
      <c r="A138" s="99">
        <v>136</v>
      </c>
      <c r="B138" s="102" t="s">
        <v>1766</v>
      </c>
      <c r="C138" s="102" t="s">
        <v>1767</v>
      </c>
      <c r="D138" s="103">
        <v>41782</v>
      </c>
      <c r="E138" s="102" t="s">
        <v>959</v>
      </c>
      <c r="F138" s="102">
        <v>23</v>
      </c>
      <c r="G138" s="102">
        <v>5</v>
      </c>
      <c r="H138" s="102">
        <v>2014</v>
      </c>
      <c r="I138" s="102" t="s">
        <v>1768</v>
      </c>
      <c r="J138" s="102" t="s">
        <v>1769</v>
      </c>
      <c r="K138" s="102" t="s">
        <v>930</v>
      </c>
      <c r="L138" s="102">
        <v>5</v>
      </c>
      <c r="M138" s="102">
        <v>3</v>
      </c>
      <c r="N138" s="102">
        <v>1</v>
      </c>
      <c r="O138" s="102">
        <v>1</v>
      </c>
      <c r="P138" s="102">
        <v>0</v>
      </c>
      <c r="Q138" s="104">
        <v>0</v>
      </c>
      <c r="R138" s="102">
        <v>1</v>
      </c>
      <c r="S138" s="102">
        <v>7</v>
      </c>
      <c r="T138" s="102">
        <v>0</v>
      </c>
      <c r="U138" s="102">
        <v>0</v>
      </c>
      <c r="V138" s="102">
        <v>6</v>
      </c>
      <c r="W138" s="102">
        <v>14</v>
      </c>
      <c r="X138" s="102">
        <v>0</v>
      </c>
      <c r="Y138" s="102">
        <v>0</v>
      </c>
      <c r="Z138" s="102">
        <v>0</v>
      </c>
      <c r="AA138" s="102">
        <v>22</v>
      </c>
      <c r="AB138" s="102">
        <v>0</v>
      </c>
      <c r="AC138" s="102">
        <v>3</v>
      </c>
      <c r="AD138" s="102">
        <v>1</v>
      </c>
      <c r="AE138" s="102">
        <v>0</v>
      </c>
      <c r="AF138" s="102">
        <v>0</v>
      </c>
      <c r="AG138" s="102">
        <v>2</v>
      </c>
      <c r="AH138" s="102">
        <v>2</v>
      </c>
      <c r="AI138" s="102" t="s">
        <v>1770</v>
      </c>
      <c r="AJ138" s="102">
        <v>1</v>
      </c>
      <c r="AK138" s="102">
        <v>2</v>
      </c>
      <c r="AL138" s="102">
        <v>0</v>
      </c>
      <c r="AM138" s="102">
        <v>2</v>
      </c>
      <c r="AN138" s="102">
        <v>0</v>
      </c>
      <c r="AO138" s="102">
        <v>0</v>
      </c>
      <c r="AP138" s="102">
        <v>0</v>
      </c>
      <c r="AQ138" s="102"/>
      <c r="AR138" s="102">
        <v>0</v>
      </c>
      <c r="AS138" s="102" t="s">
        <v>853</v>
      </c>
      <c r="AT138" s="102">
        <v>0</v>
      </c>
      <c r="AU138" s="102"/>
      <c r="AV138" s="102">
        <v>1</v>
      </c>
      <c r="AW138" s="102">
        <v>0</v>
      </c>
      <c r="AX138" s="102">
        <v>0</v>
      </c>
      <c r="AY138" s="102">
        <v>1</v>
      </c>
      <c r="AZ138" s="102">
        <v>1</v>
      </c>
      <c r="BA138" s="102">
        <v>1</v>
      </c>
      <c r="BB138" s="102">
        <v>0</v>
      </c>
      <c r="BC138" s="102">
        <v>0</v>
      </c>
      <c r="BD138" s="102">
        <v>0</v>
      </c>
      <c r="BE138" s="102">
        <v>0</v>
      </c>
      <c r="BF138" s="102">
        <v>0</v>
      </c>
      <c r="BG138" s="102">
        <v>0</v>
      </c>
      <c r="BH138" s="102">
        <v>4</v>
      </c>
      <c r="BI138" s="102">
        <v>1</v>
      </c>
      <c r="BJ138" s="102">
        <v>0</v>
      </c>
      <c r="BK138" s="102">
        <v>1</v>
      </c>
      <c r="BL138" s="102">
        <v>0</v>
      </c>
      <c r="BM138" s="102">
        <v>1</v>
      </c>
      <c r="BN138" s="102">
        <v>0</v>
      </c>
      <c r="BO138" s="102">
        <v>0</v>
      </c>
      <c r="BP138" s="102">
        <v>1</v>
      </c>
      <c r="BQ138" s="102">
        <v>0</v>
      </c>
      <c r="BR138" s="102">
        <v>0</v>
      </c>
      <c r="BS138" s="102">
        <v>0</v>
      </c>
      <c r="BT138" s="102">
        <v>0</v>
      </c>
      <c r="BU138" s="102">
        <v>2</v>
      </c>
      <c r="BV138" s="102">
        <v>0</v>
      </c>
      <c r="BW138" s="102">
        <v>0</v>
      </c>
      <c r="BX138" s="102">
        <v>0</v>
      </c>
      <c r="BY138" s="102">
        <v>0</v>
      </c>
      <c r="BZ138" s="102">
        <v>0</v>
      </c>
      <c r="CA138" s="102">
        <v>0</v>
      </c>
      <c r="CB138" s="102">
        <v>1</v>
      </c>
      <c r="CC138" s="102">
        <v>3</v>
      </c>
      <c r="CD138" s="102" t="s">
        <v>1771</v>
      </c>
      <c r="CE138" s="102">
        <v>0</v>
      </c>
      <c r="CF138" s="102">
        <v>1</v>
      </c>
      <c r="CG138" s="102">
        <v>0</v>
      </c>
      <c r="CH138" s="102">
        <v>1</v>
      </c>
      <c r="CI138" s="102">
        <v>1</v>
      </c>
      <c r="CJ138" s="102">
        <v>1</v>
      </c>
      <c r="CK138" s="102">
        <v>1</v>
      </c>
      <c r="CL138" s="102">
        <v>1</v>
      </c>
      <c r="CM138" s="102">
        <v>1</v>
      </c>
      <c r="CN138" s="102">
        <v>1</v>
      </c>
      <c r="CO138" s="102">
        <v>0</v>
      </c>
      <c r="CP138" s="102">
        <v>0</v>
      </c>
      <c r="CQ138" s="102">
        <v>1</v>
      </c>
      <c r="CR138" s="102">
        <v>1</v>
      </c>
      <c r="CS138" s="102">
        <v>1</v>
      </c>
      <c r="CT138" s="102" t="s">
        <v>955</v>
      </c>
      <c r="CU138" s="102">
        <v>1</v>
      </c>
      <c r="CV138" s="102">
        <v>1</v>
      </c>
      <c r="CW138" s="102">
        <v>0</v>
      </c>
      <c r="CX138" s="102">
        <v>1</v>
      </c>
      <c r="CY138" s="102">
        <v>1</v>
      </c>
      <c r="CZ138" s="102">
        <v>0</v>
      </c>
      <c r="DA138" s="102" t="s">
        <v>853</v>
      </c>
      <c r="DB138" s="102">
        <v>0</v>
      </c>
      <c r="DC138" s="102" t="s">
        <v>937</v>
      </c>
      <c r="DD138" s="102">
        <v>0</v>
      </c>
      <c r="DE138" s="102">
        <v>0</v>
      </c>
      <c r="DF138" s="102">
        <v>1</v>
      </c>
      <c r="DG138" s="102">
        <v>0</v>
      </c>
      <c r="DH138" s="102">
        <v>0</v>
      </c>
      <c r="DI138" s="102">
        <v>0</v>
      </c>
      <c r="DJ138" s="102">
        <v>0</v>
      </c>
      <c r="DK138" s="102">
        <v>0</v>
      </c>
      <c r="DL138" s="102">
        <v>0</v>
      </c>
      <c r="DM138" s="102">
        <v>1</v>
      </c>
      <c r="DN138" s="102">
        <v>2</v>
      </c>
      <c r="DO138" s="102">
        <v>0</v>
      </c>
      <c r="DP138" s="102">
        <v>0</v>
      </c>
      <c r="DQ138" s="102">
        <v>1</v>
      </c>
      <c r="DR138" s="102">
        <v>1</v>
      </c>
      <c r="DS138" s="102" t="s">
        <v>1772</v>
      </c>
      <c r="DT138" s="105" t="s">
        <v>1595</v>
      </c>
      <c r="DU138" s="102" t="s">
        <v>923</v>
      </c>
      <c r="DV138" s="102">
        <v>1</v>
      </c>
      <c r="DW138" s="102">
        <v>0</v>
      </c>
      <c r="DX138" s="102" t="s">
        <v>853</v>
      </c>
      <c r="DY138" s="102">
        <v>1</v>
      </c>
      <c r="DZ138" s="102">
        <v>0</v>
      </c>
      <c r="EA138" s="102" t="s">
        <v>853</v>
      </c>
      <c r="EB138" s="102">
        <v>1</v>
      </c>
      <c r="EC138" s="102">
        <v>1</v>
      </c>
      <c r="ED138" s="102">
        <v>0</v>
      </c>
      <c r="EE138" s="102">
        <v>1</v>
      </c>
      <c r="EF138" s="102">
        <v>3</v>
      </c>
      <c r="EG138" s="102">
        <v>1</v>
      </c>
      <c r="EH138" s="102" t="s">
        <v>1773</v>
      </c>
      <c r="EI138" s="102">
        <v>0</v>
      </c>
      <c r="EJ138" s="102">
        <v>0</v>
      </c>
      <c r="EK138" s="102">
        <v>2</v>
      </c>
      <c r="EL138" s="102">
        <v>0</v>
      </c>
      <c r="EM138" s="102"/>
    </row>
    <row r="139" spans="1:143" ht="15.75" customHeight="1" x14ac:dyDescent="0.55000000000000004">
      <c r="A139" s="99">
        <v>137</v>
      </c>
      <c r="B139" s="102" t="s">
        <v>1774</v>
      </c>
      <c r="C139" s="102" t="s">
        <v>1775</v>
      </c>
      <c r="D139" s="103">
        <v>41936</v>
      </c>
      <c r="E139" s="102" t="s">
        <v>959</v>
      </c>
      <c r="F139" s="102">
        <v>24</v>
      </c>
      <c r="G139" s="102">
        <v>10</v>
      </c>
      <c r="H139" s="102">
        <v>2014</v>
      </c>
      <c r="I139" s="102" t="s">
        <v>1776</v>
      </c>
      <c r="J139" s="102" t="s">
        <v>1777</v>
      </c>
      <c r="K139" s="102" t="s">
        <v>1245</v>
      </c>
      <c r="L139" s="102">
        <v>47</v>
      </c>
      <c r="M139" s="102">
        <v>3</v>
      </c>
      <c r="N139" s="102">
        <v>0</v>
      </c>
      <c r="O139" s="102">
        <v>0</v>
      </c>
      <c r="P139" s="102">
        <v>1</v>
      </c>
      <c r="Q139" s="104">
        <v>0</v>
      </c>
      <c r="R139" s="102">
        <v>0</v>
      </c>
      <c r="S139" s="102" t="s">
        <v>853</v>
      </c>
      <c r="T139" s="102">
        <v>0</v>
      </c>
      <c r="U139" s="102">
        <v>0</v>
      </c>
      <c r="V139" s="102">
        <v>4</v>
      </c>
      <c r="W139" s="102">
        <v>1</v>
      </c>
      <c r="X139" s="102">
        <v>1</v>
      </c>
      <c r="Y139" s="102">
        <v>0</v>
      </c>
      <c r="Z139" s="102">
        <v>0</v>
      </c>
      <c r="AA139" s="102">
        <v>15</v>
      </c>
      <c r="AB139" s="102">
        <v>0</v>
      </c>
      <c r="AC139" s="102">
        <v>5</v>
      </c>
      <c r="AD139" s="102">
        <v>0</v>
      </c>
      <c r="AE139" s="102">
        <v>0</v>
      </c>
      <c r="AF139" s="102">
        <v>4</v>
      </c>
      <c r="AG139" s="102">
        <v>0</v>
      </c>
      <c r="AH139" s="102">
        <v>2</v>
      </c>
      <c r="AI139" s="102" t="s">
        <v>1778</v>
      </c>
      <c r="AJ139" s="102"/>
      <c r="AK139" s="102">
        <v>4</v>
      </c>
      <c r="AL139" s="102"/>
      <c r="AM139" s="102"/>
      <c r="AN139" s="102">
        <v>1</v>
      </c>
      <c r="AO139" s="102">
        <v>0</v>
      </c>
      <c r="AP139" s="102">
        <v>0</v>
      </c>
      <c r="AQ139" s="102"/>
      <c r="AR139" s="102">
        <v>0</v>
      </c>
      <c r="AS139" s="102" t="s">
        <v>853</v>
      </c>
      <c r="AT139" s="102">
        <v>2</v>
      </c>
      <c r="AU139" s="102" t="s">
        <v>1779</v>
      </c>
      <c r="AV139" s="102">
        <v>0</v>
      </c>
      <c r="AW139" s="102">
        <v>0</v>
      </c>
      <c r="AX139" s="102">
        <v>0</v>
      </c>
      <c r="AY139" s="102">
        <v>1</v>
      </c>
      <c r="AZ139" s="102">
        <v>1</v>
      </c>
      <c r="BA139" s="102">
        <v>1</v>
      </c>
      <c r="BB139" s="102">
        <v>0</v>
      </c>
      <c r="BC139" s="102">
        <v>1</v>
      </c>
      <c r="BD139" s="102">
        <v>1</v>
      </c>
      <c r="BE139" s="102">
        <v>0</v>
      </c>
      <c r="BF139" s="102">
        <v>0</v>
      </c>
      <c r="BG139" s="102">
        <v>0</v>
      </c>
      <c r="BH139" s="102">
        <v>0</v>
      </c>
      <c r="BI139" s="102">
        <v>2</v>
      </c>
      <c r="BJ139" s="102">
        <v>0</v>
      </c>
      <c r="BK139" s="102">
        <v>0</v>
      </c>
      <c r="BL139" s="102">
        <v>0</v>
      </c>
      <c r="BM139" s="102">
        <v>1</v>
      </c>
      <c r="BN139" s="102">
        <v>0</v>
      </c>
      <c r="BO139" s="102">
        <v>0</v>
      </c>
      <c r="BP139" s="102">
        <v>1</v>
      </c>
      <c r="BQ139" s="102">
        <v>1</v>
      </c>
      <c r="BR139" s="102">
        <v>0</v>
      </c>
      <c r="BS139" s="102">
        <v>0</v>
      </c>
      <c r="BT139" s="102">
        <v>0</v>
      </c>
      <c r="BU139" s="102">
        <v>0</v>
      </c>
      <c r="BV139" s="102">
        <v>0</v>
      </c>
      <c r="BW139" s="102">
        <v>0</v>
      </c>
      <c r="BX139" s="102">
        <v>1</v>
      </c>
      <c r="BY139" s="102">
        <v>0</v>
      </c>
      <c r="BZ139" s="102">
        <v>0</v>
      </c>
      <c r="CA139" s="102">
        <v>1</v>
      </c>
      <c r="CB139" s="102">
        <v>1</v>
      </c>
      <c r="CC139" s="102">
        <v>1</v>
      </c>
      <c r="CD139" s="102" t="s">
        <v>1780</v>
      </c>
      <c r="CE139" s="102">
        <v>1</v>
      </c>
      <c r="CF139" s="102">
        <v>1</v>
      </c>
      <c r="CG139" s="102">
        <v>0</v>
      </c>
      <c r="CH139" s="102">
        <v>1</v>
      </c>
      <c r="CI139" s="102">
        <v>1</v>
      </c>
      <c r="CJ139" s="102">
        <v>1</v>
      </c>
      <c r="CK139" s="102">
        <v>0</v>
      </c>
      <c r="CL139" s="102">
        <v>0</v>
      </c>
      <c r="CM139" s="102">
        <v>0</v>
      </c>
      <c r="CN139" s="102">
        <v>1</v>
      </c>
      <c r="CO139" s="102">
        <v>0</v>
      </c>
      <c r="CP139" s="102">
        <v>0</v>
      </c>
      <c r="CQ139" s="102">
        <v>0</v>
      </c>
      <c r="CR139" s="102">
        <v>0</v>
      </c>
      <c r="CS139" s="102">
        <v>0</v>
      </c>
      <c r="CT139" s="102" t="s">
        <v>853</v>
      </c>
      <c r="CU139" s="102">
        <v>0</v>
      </c>
      <c r="CV139" s="102">
        <v>0</v>
      </c>
      <c r="CW139" s="102">
        <v>0</v>
      </c>
      <c r="CX139" s="102">
        <v>0</v>
      </c>
      <c r="CY139" s="102">
        <v>0</v>
      </c>
      <c r="CZ139" s="102">
        <v>1</v>
      </c>
      <c r="DA139" s="102" t="s">
        <v>1781</v>
      </c>
      <c r="DB139" s="102">
        <v>0</v>
      </c>
      <c r="DC139" s="102">
        <v>0</v>
      </c>
      <c r="DD139" s="102">
        <v>0</v>
      </c>
      <c r="DE139" s="102">
        <v>0</v>
      </c>
      <c r="DF139" s="102">
        <v>0</v>
      </c>
      <c r="DG139" s="102">
        <v>0</v>
      </c>
      <c r="DH139" s="102">
        <v>0</v>
      </c>
      <c r="DI139" s="102">
        <v>0</v>
      </c>
      <c r="DJ139" s="102">
        <v>0</v>
      </c>
      <c r="DK139" s="102">
        <v>0</v>
      </c>
      <c r="DL139" s="102">
        <v>0</v>
      </c>
      <c r="DM139" s="102">
        <v>0</v>
      </c>
      <c r="DN139" s="102">
        <v>1</v>
      </c>
      <c r="DO139" s="102">
        <v>0</v>
      </c>
      <c r="DP139" s="102">
        <v>0</v>
      </c>
      <c r="DQ139" s="102">
        <v>1</v>
      </c>
      <c r="DR139" s="102">
        <v>1</v>
      </c>
      <c r="DS139" s="102">
        <v>4</v>
      </c>
      <c r="DT139" s="105" t="s">
        <v>1067</v>
      </c>
      <c r="DU139" s="102">
        <v>1</v>
      </c>
      <c r="DV139" s="102">
        <v>0</v>
      </c>
      <c r="DW139" s="102">
        <v>0</v>
      </c>
      <c r="DX139" s="102" t="s">
        <v>853</v>
      </c>
      <c r="DY139" s="102">
        <v>1</v>
      </c>
      <c r="DZ139" s="102">
        <v>0</v>
      </c>
      <c r="EA139" s="102" t="s">
        <v>853</v>
      </c>
      <c r="EB139" s="102">
        <v>1</v>
      </c>
      <c r="EC139" s="102">
        <v>0</v>
      </c>
      <c r="ED139" s="102">
        <v>1</v>
      </c>
      <c r="EE139" s="102">
        <v>3</v>
      </c>
      <c r="EF139" s="102">
        <v>1</v>
      </c>
      <c r="EG139" s="102">
        <v>0</v>
      </c>
      <c r="EH139" s="102" t="s">
        <v>853</v>
      </c>
      <c r="EI139" s="102">
        <v>0</v>
      </c>
      <c r="EJ139" s="102">
        <v>0</v>
      </c>
      <c r="EK139" s="102">
        <v>2</v>
      </c>
      <c r="EL139" s="102">
        <v>0</v>
      </c>
      <c r="EM139" s="102"/>
    </row>
    <row r="140" spans="1:143" ht="15.75" customHeight="1" x14ac:dyDescent="0.55000000000000004">
      <c r="A140" s="99">
        <v>138</v>
      </c>
      <c r="B140" s="102" t="s">
        <v>1782</v>
      </c>
      <c r="C140" s="102" t="s">
        <v>1783</v>
      </c>
      <c r="D140" s="103">
        <v>42172</v>
      </c>
      <c r="E140" s="102" t="s">
        <v>891</v>
      </c>
      <c r="F140" s="102">
        <v>17</v>
      </c>
      <c r="G140" s="102">
        <v>6</v>
      </c>
      <c r="H140" s="102">
        <v>2015</v>
      </c>
      <c r="I140" s="102" t="s">
        <v>1784</v>
      </c>
      <c r="J140" s="102" t="s">
        <v>1785</v>
      </c>
      <c r="K140" s="102" t="s">
        <v>1287</v>
      </c>
      <c r="L140" s="102">
        <v>40</v>
      </c>
      <c r="M140" s="102">
        <v>0</v>
      </c>
      <c r="N140" s="102">
        <v>0</v>
      </c>
      <c r="O140" s="102">
        <v>3</v>
      </c>
      <c r="P140" s="102">
        <v>0</v>
      </c>
      <c r="Q140" s="104">
        <v>0</v>
      </c>
      <c r="R140" s="102">
        <v>0</v>
      </c>
      <c r="S140" s="102" t="s">
        <v>853</v>
      </c>
      <c r="T140" s="102">
        <v>0</v>
      </c>
      <c r="U140" s="102">
        <v>0</v>
      </c>
      <c r="V140" s="102">
        <v>9</v>
      </c>
      <c r="W140" s="102">
        <v>0</v>
      </c>
      <c r="X140" s="102">
        <v>0</v>
      </c>
      <c r="Y140" s="102">
        <v>0</v>
      </c>
      <c r="Z140" s="102">
        <v>0</v>
      </c>
      <c r="AA140" s="102">
        <v>21</v>
      </c>
      <c r="AB140" s="102">
        <v>0</v>
      </c>
      <c r="AC140" s="102">
        <v>0</v>
      </c>
      <c r="AD140" s="102">
        <v>0</v>
      </c>
      <c r="AE140" s="102">
        <v>0</v>
      </c>
      <c r="AF140" s="102">
        <v>1</v>
      </c>
      <c r="AG140" s="102">
        <v>1</v>
      </c>
      <c r="AH140" s="102">
        <v>0</v>
      </c>
      <c r="AI140" s="102" t="s">
        <v>1786</v>
      </c>
      <c r="AJ140" s="102">
        <v>2</v>
      </c>
      <c r="AK140" s="102">
        <v>2</v>
      </c>
      <c r="AL140" s="102">
        <v>1</v>
      </c>
      <c r="AM140" s="102">
        <v>1</v>
      </c>
      <c r="AN140" s="102">
        <v>0</v>
      </c>
      <c r="AO140" s="102">
        <v>0</v>
      </c>
      <c r="AP140" s="102">
        <v>0</v>
      </c>
      <c r="AQ140" s="102">
        <v>0</v>
      </c>
      <c r="AR140" s="102">
        <v>0</v>
      </c>
      <c r="AS140" s="102" t="s">
        <v>853</v>
      </c>
      <c r="AT140" s="102">
        <v>0</v>
      </c>
      <c r="AU140" s="102"/>
      <c r="AV140" s="102">
        <v>0</v>
      </c>
      <c r="AW140" s="102">
        <v>1</v>
      </c>
      <c r="AX140" s="102">
        <v>0</v>
      </c>
      <c r="AY140" s="102" t="s">
        <v>1528</v>
      </c>
      <c r="AZ140" s="102">
        <v>4</v>
      </c>
      <c r="BA140" s="102">
        <v>0</v>
      </c>
      <c r="BB140" s="102">
        <v>0</v>
      </c>
      <c r="BC140" s="102">
        <v>0</v>
      </c>
      <c r="BD140" s="102">
        <v>0</v>
      </c>
      <c r="BE140" s="102">
        <v>0</v>
      </c>
      <c r="BF140" s="102">
        <v>0</v>
      </c>
      <c r="BG140" s="102">
        <v>1</v>
      </c>
      <c r="BH140" s="102">
        <v>4</v>
      </c>
      <c r="BI140" s="102">
        <v>2</v>
      </c>
      <c r="BJ140" s="102">
        <v>0</v>
      </c>
      <c r="BK140" s="102">
        <v>0</v>
      </c>
      <c r="BL140" s="102">
        <v>0</v>
      </c>
      <c r="BM140" s="102">
        <v>1</v>
      </c>
      <c r="BN140" s="102">
        <v>0</v>
      </c>
      <c r="BO140" s="102">
        <v>0</v>
      </c>
      <c r="BP140" s="102">
        <v>1</v>
      </c>
      <c r="BQ140" s="102">
        <v>0</v>
      </c>
      <c r="BR140" s="102">
        <v>0</v>
      </c>
      <c r="BS140" s="102">
        <v>0</v>
      </c>
      <c r="BT140" s="102">
        <v>0</v>
      </c>
      <c r="BU140" s="102">
        <v>2</v>
      </c>
      <c r="BV140" s="102">
        <v>1</v>
      </c>
      <c r="BW140" s="102">
        <v>0</v>
      </c>
      <c r="BX140" s="102">
        <v>0</v>
      </c>
      <c r="BY140" s="102">
        <v>0</v>
      </c>
      <c r="BZ140" s="102">
        <v>0</v>
      </c>
      <c r="CA140" s="102" t="s">
        <v>904</v>
      </c>
      <c r="CB140" s="102">
        <v>1</v>
      </c>
      <c r="CC140" s="102">
        <v>2</v>
      </c>
      <c r="CD140" s="102" t="s">
        <v>1787</v>
      </c>
      <c r="CE140" s="102">
        <v>0</v>
      </c>
      <c r="CF140" s="102">
        <v>0</v>
      </c>
      <c r="CG140" s="102">
        <v>0</v>
      </c>
      <c r="CH140" s="102">
        <v>0</v>
      </c>
      <c r="CI140" s="102">
        <v>1</v>
      </c>
      <c r="CJ140" s="102">
        <v>0</v>
      </c>
      <c r="CK140" s="102">
        <v>1</v>
      </c>
      <c r="CL140" s="102">
        <v>1</v>
      </c>
      <c r="CM140" s="102">
        <v>1</v>
      </c>
      <c r="CN140" s="102">
        <v>1</v>
      </c>
      <c r="CO140" s="102">
        <v>0</v>
      </c>
      <c r="CP140" s="102">
        <v>0</v>
      </c>
      <c r="CQ140" s="102">
        <v>1</v>
      </c>
      <c r="CR140" s="102">
        <v>1</v>
      </c>
      <c r="CS140" s="102">
        <v>1</v>
      </c>
      <c r="CT140" s="102" t="s">
        <v>1788</v>
      </c>
      <c r="CU140" s="102">
        <v>0</v>
      </c>
      <c r="CV140" s="102" t="s">
        <v>937</v>
      </c>
      <c r="CW140" s="102">
        <v>0</v>
      </c>
      <c r="CX140" s="102">
        <v>1</v>
      </c>
      <c r="CY140" s="102" t="s">
        <v>1123</v>
      </c>
      <c r="CZ140" s="102">
        <v>0</v>
      </c>
      <c r="DA140" s="102" t="s">
        <v>853</v>
      </c>
      <c r="DB140" s="102">
        <v>0</v>
      </c>
      <c r="DC140" s="102" t="s">
        <v>1353</v>
      </c>
      <c r="DD140" s="102">
        <v>1</v>
      </c>
      <c r="DE140" s="102">
        <v>0</v>
      </c>
      <c r="DF140" s="102">
        <v>0</v>
      </c>
      <c r="DG140" s="102">
        <v>0</v>
      </c>
      <c r="DH140" s="102">
        <v>0</v>
      </c>
      <c r="DI140" s="102">
        <v>0</v>
      </c>
      <c r="DJ140" s="102">
        <v>0</v>
      </c>
      <c r="DK140" s="102">
        <v>0</v>
      </c>
      <c r="DL140" s="102">
        <v>0</v>
      </c>
      <c r="DM140" s="102">
        <v>0</v>
      </c>
      <c r="DN140" s="102">
        <v>0</v>
      </c>
      <c r="DO140" s="102">
        <v>0</v>
      </c>
      <c r="DP140" s="102">
        <v>0</v>
      </c>
      <c r="DQ140" s="102">
        <v>1</v>
      </c>
      <c r="DR140" s="102">
        <v>1</v>
      </c>
      <c r="DS140" s="102" t="s">
        <v>1639</v>
      </c>
      <c r="DT140" s="105" t="s">
        <v>1789</v>
      </c>
      <c r="DU140" s="102" t="s">
        <v>1595</v>
      </c>
      <c r="DV140" s="102">
        <v>1</v>
      </c>
      <c r="DW140" s="102">
        <v>0</v>
      </c>
      <c r="DX140" s="102" t="s">
        <v>853</v>
      </c>
      <c r="DY140" s="102">
        <v>1</v>
      </c>
      <c r="DZ140" s="102">
        <v>0</v>
      </c>
      <c r="EA140" s="102" t="s">
        <v>853</v>
      </c>
      <c r="EB140" s="102">
        <v>1</v>
      </c>
      <c r="EC140" s="102">
        <v>1</v>
      </c>
      <c r="ED140" s="102">
        <v>0</v>
      </c>
      <c r="EE140" s="102">
        <v>0</v>
      </c>
      <c r="EF140" s="102">
        <v>1</v>
      </c>
      <c r="EG140" s="102">
        <v>0</v>
      </c>
      <c r="EH140" s="102" t="s">
        <v>853</v>
      </c>
      <c r="EI140" s="102">
        <v>2</v>
      </c>
      <c r="EJ140" s="102">
        <v>1</v>
      </c>
      <c r="EK140" s="102">
        <v>0</v>
      </c>
      <c r="EL140" s="102">
        <v>1</v>
      </c>
      <c r="EM140" s="102"/>
    </row>
    <row r="141" spans="1:143" ht="15.75" customHeight="1" x14ac:dyDescent="0.55000000000000004">
      <c r="A141" s="99">
        <v>139</v>
      </c>
      <c r="B141" s="102" t="s">
        <v>1790</v>
      </c>
      <c r="C141" s="102" t="s">
        <v>1791</v>
      </c>
      <c r="D141" s="103">
        <v>42201</v>
      </c>
      <c r="E141" s="102" t="s">
        <v>995</v>
      </c>
      <c r="F141" s="102">
        <v>16</v>
      </c>
      <c r="G141" s="102">
        <v>7</v>
      </c>
      <c r="H141" s="102">
        <v>2015</v>
      </c>
      <c r="I141" s="102" t="s">
        <v>1792</v>
      </c>
      <c r="J141" s="102" t="s">
        <v>1793</v>
      </c>
      <c r="K141" s="102" t="s">
        <v>1794</v>
      </c>
      <c r="L141" s="102">
        <v>42</v>
      </c>
      <c r="M141" s="102">
        <v>0</v>
      </c>
      <c r="N141" s="102">
        <v>0</v>
      </c>
      <c r="O141" s="102">
        <v>2</v>
      </c>
      <c r="P141" s="102">
        <v>0</v>
      </c>
      <c r="Q141" s="104">
        <v>0</v>
      </c>
      <c r="R141" s="102">
        <v>1</v>
      </c>
      <c r="S141" s="102">
        <v>2</v>
      </c>
      <c r="T141" s="102">
        <v>1</v>
      </c>
      <c r="U141" s="102">
        <v>1</v>
      </c>
      <c r="V141" s="102">
        <v>5</v>
      </c>
      <c r="W141" s="102">
        <v>2</v>
      </c>
      <c r="X141" s="102">
        <v>0</v>
      </c>
      <c r="Y141" s="102">
        <v>0</v>
      </c>
      <c r="Z141" s="102">
        <v>0</v>
      </c>
      <c r="AA141" s="102">
        <v>24</v>
      </c>
      <c r="AB141" s="102">
        <v>0</v>
      </c>
      <c r="AC141" s="102">
        <v>4</v>
      </c>
      <c r="AD141" s="102">
        <v>1</v>
      </c>
      <c r="AE141" s="102">
        <v>0</v>
      </c>
      <c r="AF141" s="102">
        <v>2</v>
      </c>
      <c r="AG141" s="102">
        <v>3</v>
      </c>
      <c r="AH141" s="102">
        <v>2</v>
      </c>
      <c r="AI141" s="102" t="s">
        <v>1795</v>
      </c>
      <c r="AJ141" s="102">
        <v>2</v>
      </c>
      <c r="AK141" s="102">
        <v>4</v>
      </c>
      <c r="AL141" s="102">
        <v>3</v>
      </c>
      <c r="AM141" s="102">
        <v>1</v>
      </c>
      <c r="AN141" s="102">
        <v>0</v>
      </c>
      <c r="AO141" s="102">
        <v>0</v>
      </c>
      <c r="AP141" s="102">
        <v>1</v>
      </c>
      <c r="AQ141" s="102">
        <v>0</v>
      </c>
      <c r="AR141" s="102">
        <v>0</v>
      </c>
      <c r="AS141" s="102" t="s">
        <v>853</v>
      </c>
      <c r="AT141" s="102">
        <v>3</v>
      </c>
      <c r="AU141" s="102" t="s">
        <v>1796</v>
      </c>
      <c r="AV141" s="102">
        <v>0</v>
      </c>
      <c r="AW141" s="102">
        <v>1</v>
      </c>
      <c r="AX141" s="102">
        <v>0</v>
      </c>
      <c r="AY141" s="102">
        <v>8</v>
      </c>
      <c r="AZ141" s="102">
        <v>2</v>
      </c>
      <c r="BA141" s="102">
        <v>0</v>
      </c>
      <c r="BB141" s="102">
        <v>0</v>
      </c>
      <c r="BC141" s="102">
        <v>0</v>
      </c>
      <c r="BD141" s="102">
        <v>0</v>
      </c>
      <c r="BE141" s="102">
        <v>0</v>
      </c>
      <c r="BF141" s="102">
        <v>0</v>
      </c>
      <c r="BG141" s="102">
        <v>1</v>
      </c>
      <c r="BH141" s="102">
        <v>3</v>
      </c>
      <c r="BI141" s="102">
        <v>0</v>
      </c>
      <c r="BJ141" s="102">
        <v>0</v>
      </c>
      <c r="BK141" s="102">
        <v>0</v>
      </c>
      <c r="BL141" s="102">
        <v>0</v>
      </c>
      <c r="BM141" s="102">
        <v>0</v>
      </c>
      <c r="BN141" s="102">
        <v>0</v>
      </c>
      <c r="BO141" s="102">
        <v>0</v>
      </c>
      <c r="BP141" s="102">
        <v>1</v>
      </c>
      <c r="BQ141" s="102">
        <v>1</v>
      </c>
      <c r="BR141" s="102">
        <v>0</v>
      </c>
      <c r="BS141" s="102">
        <v>0</v>
      </c>
      <c r="BT141" s="102">
        <v>0</v>
      </c>
      <c r="BU141" s="102">
        <v>1</v>
      </c>
      <c r="BV141" s="102">
        <v>1</v>
      </c>
      <c r="BW141" s="102">
        <v>0</v>
      </c>
      <c r="BX141" s="102">
        <v>0</v>
      </c>
      <c r="BY141" s="102">
        <v>0</v>
      </c>
      <c r="BZ141" s="102">
        <v>0</v>
      </c>
      <c r="CA141" s="102">
        <v>5</v>
      </c>
      <c r="CB141" s="102">
        <v>1</v>
      </c>
      <c r="CC141" s="102">
        <v>0</v>
      </c>
      <c r="CD141" s="102" t="s">
        <v>1797</v>
      </c>
      <c r="CE141" s="102">
        <v>0</v>
      </c>
      <c r="CF141" s="102">
        <v>1</v>
      </c>
      <c r="CG141" s="102">
        <v>0</v>
      </c>
      <c r="CH141" s="102">
        <v>0</v>
      </c>
      <c r="CI141" s="102">
        <v>1</v>
      </c>
      <c r="CJ141" s="102">
        <v>0</v>
      </c>
      <c r="CK141" s="102">
        <v>0</v>
      </c>
      <c r="CL141" s="102">
        <v>0</v>
      </c>
      <c r="CM141" s="102">
        <v>0</v>
      </c>
      <c r="CN141" s="102">
        <v>1</v>
      </c>
      <c r="CO141" s="102">
        <v>0</v>
      </c>
      <c r="CP141" s="102">
        <v>0</v>
      </c>
      <c r="CQ141" s="102">
        <v>1</v>
      </c>
      <c r="CR141" s="102">
        <v>1</v>
      </c>
      <c r="CS141" s="102">
        <v>1</v>
      </c>
      <c r="CT141" s="102" t="s">
        <v>955</v>
      </c>
      <c r="CU141" s="102">
        <v>1</v>
      </c>
      <c r="CV141" s="102">
        <v>1</v>
      </c>
      <c r="CW141" s="102">
        <v>0</v>
      </c>
      <c r="CX141" s="102">
        <v>0</v>
      </c>
      <c r="CY141" s="102" t="s">
        <v>1123</v>
      </c>
      <c r="CZ141" s="102">
        <v>0</v>
      </c>
      <c r="DA141" s="102" t="s">
        <v>853</v>
      </c>
      <c r="DB141" s="102">
        <v>0</v>
      </c>
      <c r="DC141" s="102">
        <v>0</v>
      </c>
      <c r="DD141" s="102">
        <v>0</v>
      </c>
      <c r="DE141" s="102">
        <v>0</v>
      </c>
      <c r="DF141" s="102">
        <v>0</v>
      </c>
      <c r="DG141" s="102">
        <v>0</v>
      </c>
      <c r="DH141" s="102">
        <v>0</v>
      </c>
      <c r="DI141" s="102">
        <v>0</v>
      </c>
      <c r="DJ141" s="102">
        <v>0</v>
      </c>
      <c r="DK141" s="102">
        <v>0</v>
      </c>
      <c r="DL141" s="102">
        <v>0</v>
      </c>
      <c r="DM141" s="102">
        <v>0</v>
      </c>
      <c r="DN141" s="102">
        <v>1</v>
      </c>
      <c r="DO141" s="102">
        <v>0</v>
      </c>
      <c r="DP141" s="102">
        <v>0</v>
      </c>
      <c r="DQ141" s="102">
        <v>1</v>
      </c>
      <c r="DR141" s="102">
        <v>1</v>
      </c>
      <c r="DS141" s="102">
        <v>0</v>
      </c>
      <c r="DT141" s="105"/>
      <c r="DU141" s="102">
        <v>0</v>
      </c>
      <c r="DV141" s="102">
        <v>0</v>
      </c>
      <c r="DW141" s="102">
        <v>0</v>
      </c>
      <c r="DX141" s="102" t="s">
        <v>853</v>
      </c>
      <c r="DY141" s="102">
        <v>0</v>
      </c>
      <c r="DZ141" s="102">
        <v>0</v>
      </c>
      <c r="EA141" s="102" t="s">
        <v>853</v>
      </c>
      <c r="EB141" s="102">
        <v>1</v>
      </c>
      <c r="EC141" s="102">
        <v>0</v>
      </c>
      <c r="ED141" s="102">
        <v>1</v>
      </c>
      <c r="EE141" s="102">
        <v>2</v>
      </c>
      <c r="EF141" s="102">
        <v>3</v>
      </c>
      <c r="EG141" s="102">
        <v>1</v>
      </c>
      <c r="EH141" s="102" t="s">
        <v>1798</v>
      </c>
      <c r="EI141" s="102">
        <v>1</v>
      </c>
      <c r="EJ141" s="102">
        <v>0</v>
      </c>
      <c r="EK141" s="102">
        <v>2</v>
      </c>
      <c r="EL141" s="102">
        <v>0</v>
      </c>
      <c r="EM141" s="102"/>
    </row>
    <row r="142" spans="1:143" ht="15.75" customHeight="1" x14ac:dyDescent="0.55000000000000004">
      <c r="A142" s="99">
        <v>140</v>
      </c>
      <c r="B142" s="102" t="s">
        <v>1799</v>
      </c>
      <c r="C142" s="102" t="s">
        <v>1800</v>
      </c>
      <c r="D142" s="103">
        <v>42278</v>
      </c>
      <c r="E142" s="102" t="s">
        <v>995</v>
      </c>
      <c r="F142" s="102">
        <v>1</v>
      </c>
      <c r="G142" s="102">
        <v>10</v>
      </c>
      <c r="H142" s="102">
        <v>2015</v>
      </c>
      <c r="I142" s="102" t="s">
        <v>1801</v>
      </c>
      <c r="J142" s="102" t="s">
        <v>1802</v>
      </c>
      <c r="K142" s="102" t="s">
        <v>951</v>
      </c>
      <c r="L142" s="102">
        <v>37</v>
      </c>
      <c r="M142" s="102">
        <v>3</v>
      </c>
      <c r="N142" s="102">
        <v>2</v>
      </c>
      <c r="O142" s="102">
        <v>1</v>
      </c>
      <c r="P142" s="102">
        <v>1</v>
      </c>
      <c r="Q142" s="104">
        <v>0</v>
      </c>
      <c r="R142" s="102">
        <v>0</v>
      </c>
      <c r="S142" s="102" t="s">
        <v>853</v>
      </c>
      <c r="T142" s="102">
        <v>0</v>
      </c>
      <c r="U142" s="102">
        <v>0</v>
      </c>
      <c r="V142" s="102">
        <v>9</v>
      </c>
      <c r="W142" s="102">
        <v>7</v>
      </c>
      <c r="X142" s="102">
        <v>0</v>
      </c>
      <c r="Y142" s="102">
        <v>0</v>
      </c>
      <c r="Z142" s="102">
        <v>0</v>
      </c>
      <c r="AA142" s="102">
        <v>26</v>
      </c>
      <c r="AB142" s="102">
        <v>0</v>
      </c>
      <c r="AC142" s="102">
        <v>1</v>
      </c>
      <c r="AD142" s="102">
        <v>0</v>
      </c>
      <c r="AE142" s="102">
        <v>0</v>
      </c>
      <c r="AF142" s="102">
        <v>0</v>
      </c>
      <c r="AG142" s="102">
        <v>2</v>
      </c>
      <c r="AH142" s="102">
        <v>0</v>
      </c>
      <c r="AI142" s="102" t="s">
        <v>1803</v>
      </c>
      <c r="AJ142" s="102">
        <v>3</v>
      </c>
      <c r="AK142" s="102">
        <v>1</v>
      </c>
      <c r="AL142" s="102">
        <v>1</v>
      </c>
      <c r="AM142" s="102">
        <v>0</v>
      </c>
      <c r="AN142" s="102">
        <v>0</v>
      </c>
      <c r="AO142" s="102">
        <v>0</v>
      </c>
      <c r="AP142" s="102">
        <v>0</v>
      </c>
      <c r="AQ142" s="102"/>
      <c r="AR142" s="102">
        <v>2</v>
      </c>
      <c r="AS142" s="102">
        <v>0</v>
      </c>
      <c r="AT142" s="102">
        <v>0</v>
      </c>
      <c r="AU142" s="102"/>
      <c r="AV142" s="102">
        <v>0</v>
      </c>
      <c r="AW142" s="102">
        <v>1</v>
      </c>
      <c r="AX142" s="102">
        <v>0</v>
      </c>
      <c r="AY142" s="102">
        <v>1</v>
      </c>
      <c r="AZ142" s="102">
        <v>4</v>
      </c>
      <c r="BA142" s="102">
        <v>0</v>
      </c>
      <c r="BB142" s="102">
        <v>0</v>
      </c>
      <c r="BC142" s="102">
        <v>2</v>
      </c>
      <c r="BD142" s="102">
        <v>4</v>
      </c>
      <c r="BE142" s="102">
        <v>0</v>
      </c>
      <c r="BF142" s="102">
        <v>0</v>
      </c>
      <c r="BG142" s="102">
        <v>0</v>
      </c>
      <c r="BH142" s="102">
        <v>4</v>
      </c>
      <c r="BI142" s="102">
        <v>2</v>
      </c>
      <c r="BJ142" s="102">
        <v>0</v>
      </c>
      <c r="BK142" s="102">
        <v>0</v>
      </c>
      <c r="BL142" s="102">
        <v>1</v>
      </c>
      <c r="BM142" s="102">
        <v>1</v>
      </c>
      <c r="BN142" s="102">
        <v>0</v>
      </c>
      <c r="BO142" s="102">
        <v>0</v>
      </c>
      <c r="BP142" s="102">
        <v>1</v>
      </c>
      <c r="BQ142" s="102">
        <v>0</v>
      </c>
      <c r="BR142" s="102">
        <v>1</v>
      </c>
      <c r="BS142" s="102">
        <v>0</v>
      </c>
      <c r="BT142" s="102">
        <v>0</v>
      </c>
      <c r="BU142" s="102">
        <v>0</v>
      </c>
      <c r="BV142" s="102">
        <v>0</v>
      </c>
      <c r="BW142" s="102">
        <v>0</v>
      </c>
      <c r="BX142" s="102">
        <v>0</v>
      </c>
      <c r="BY142" s="102">
        <v>0</v>
      </c>
      <c r="BZ142" s="102">
        <v>0</v>
      </c>
      <c r="CA142" s="102">
        <v>0</v>
      </c>
      <c r="CB142" s="102">
        <v>1</v>
      </c>
      <c r="CC142" s="102">
        <v>3</v>
      </c>
      <c r="CD142" s="102" t="s">
        <v>1804</v>
      </c>
      <c r="CE142" s="102">
        <v>1</v>
      </c>
      <c r="CF142" s="102">
        <v>0</v>
      </c>
      <c r="CG142" s="102">
        <v>0</v>
      </c>
      <c r="CH142" s="102">
        <v>1</v>
      </c>
      <c r="CI142" s="102">
        <v>1</v>
      </c>
      <c r="CJ142" s="102">
        <v>1</v>
      </c>
      <c r="CK142" s="102">
        <v>1</v>
      </c>
      <c r="CL142" s="102">
        <v>1</v>
      </c>
      <c r="CM142" s="102">
        <v>0</v>
      </c>
      <c r="CN142" s="102">
        <v>2</v>
      </c>
      <c r="CO142" s="102">
        <v>1</v>
      </c>
      <c r="CP142" s="102">
        <v>2</v>
      </c>
      <c r="CQ142" s="102">
        <v>0</v>
      </c>
      <c r="CR142" s="102">
        <v>0</v>
      </c>
      <c r="CS142" s="102">
        <v>1</v>
      </c>
      <c r="CT142" s="102" t="s">
        <v>955</v>
      </c>
      <c r="CU142" s="102">
        <v>0</v>
      </c>
      <c r="CV142" s="102">
        <v>3</v>
      </c>
      <c r="CW142" s="102">
        <v>0</v>
      </c>
      <c r="CX142" s="102">
        <v>1</v>
      </c>
      <c r="CY142" s="102">
        <v>0</v>
      </c>
      <c r="CZ142" s="102">
        <v>0</v>
      </c>
      <c r="DA142" s="102" t="s">
        <v>853</v>
      </c>
      <c r="DB142" s="102">
        <v>0</v>
      </c>
      <c r="DC142" s="102" t="s">
        <v>1184</v>
      </c>
      <c r="DD142" s="102">
        <v>0</v>
      </c>
      <c r="DE142" s="102">
        <v>0</v>
      </c>
      <c r="DF142" s="102">
        <v>0</v>
      </c>
      <c r="DG142" s="102">
        <v>0</v>
      </c>
      <c r="DH142" s="102">
        <v>0</v>
      </c>
      <c r="DI142" s="102">
        <v>0</v>
      </c>
      <c r="DJ142" s="102">
        <v>0</v>
      </c>
      <c r="DK142" s="102">
        <v>0</v>
      </c>
      <c r="DL142" s="102">
        <v>0</v>
      </c>
      <c r="DM142" s="102">
        <v>1</v>
      </c>
      <c r="DN142" s="102">
        <v>2</v>
      </c>
      <c r="DO142" s="102">
        <v>0</v>
      </c>
      <c r="DP142" s="102">
        <v>0</v>
      </c>
      <c r="DQ142" s="102">
        <v>1</v>
      </c>
      <c r="DR142" s="102">
        <v>0</v>
      </c>
      <c r="DS142" s="102" t="s">
        <v>853</v>
      </c>
      <c r="DT142" s="105" t="s">
        <v>853</v>
      </c>
      <c r="DU142" s="102" t="s">
        <v>853</v>
      </c>
      <c r="DV142" s="102">
        <v>1</v>
      </c>
      <c r="DW142" s="102">
        <v>1</v>
      </c>
      <c r="DX142" s="102" t="s">
        <v>1805</v>
      </c>
      <c r="DY142" s="102">
        <v>1</v>
      </c>
      <c r="DZ142" s="102">
        <v>0</v>
      </c>
      <c r="EA142" s="102" t="s">
        <v>853</v>
      </c>
      <c r="EB142" s="102">
        <v>1</v>
      </c>
      <c r="EC142" s="102">
        <v>1</v>
      </c>
      <c r="ED142" s="102">
        <v>1</v>
      </c>
      <c r="EE142" s="102">
        <v>3</v>
      </c>
      <c r="EF142" s="102">
        <v>6</v>
      </c>
      <c r="EG142" s="102">
        <v>1</v>
      </c>
      <c r="EH142" s="102" t="s">
        <v>1688</v>
      </c>
      <c r="EI142" s="102">
        <v>0</v>
      </c>
      <c r="EJ142" s="102">
        <v>0</v>
      </c>
      <c r="EK142" s="102">
        <v>2</v>
      </c>
      <c r="EL142" s="102">
        <v>0</v>
      </c>
      <c r="EM142" s="102"/>
    </row>
    <row r="143" spans="1:143" ht="15.75" customHeight="1" x14ac:dyDescent="0.55000000000000004">
      <c r="A143" s="99">
        <v>141</v>
      </c>
      <c r="B143" s="102" t="s">
        <v>1806</v>
      </c>
      <c r="C143" s="102" t="s">
        <v>999</v>
      </c>
      <c r="D143" s="103">
        <v>42322</v>
      </c>
      <c r="E143" s="102" t="s">
        <v>860</v>
      </c>
      <c r="F143" s="102">
        <v>14</v>
      </c>
      <c r="G143" s="102">
        <v>11</v>
      </c>
      <c r="H143" s="102">
        <v>2015</v>
      </c>
      <c r="I143" s="102" t="s">
        <v>1807</v>
      </c>
      <c r="J143" s="102" t="s">
        <v>1808</v>
      </c>
      <c r="K143" s="102" t="s">
        <v>849</v>
      </c>
      <c r="L143" s="102">
        <v>43</v>
      </c>
      <c r="M143" s="102">
        <v>0</v>
      </c>
      <c r="N143" s="102">
        <v>2</v>
      </c>
      <c r="O143" s="102">
        <v>8</v>
      </c>
      <c r="P143" s="102">
        <v>1</v>
      </c>
      <c r="Q143" s="104">
        <v>0</v>
      </c>
      <c r="R143" s="102">
        <v>1</v>
      </c>
      <c r="S143" s="102">
        <v>8</v>
      </c>
      <c r="T143" s="102">
        <v>0</v>
      </c>
      <c r="U143" s="102">
        <v>0</v>
      </c>
      <c r="V143" s="102">
        <v>6</v>
      </c>
      <c r="W143" s="102">
        <v>0</v>
      </c>
      <c r="X143" s="102">
        <v>0</v>
      </c>
      <c r="Y143" s="102">
        <v>0</v>
      </c>
      <c r="Z143" s="102">
        <v>0</v>
      </c>
      <c r="AA143" s="102">
        <v>33</v>
      </c>
      <c r="AB143" s="102">
        <v>0</v>
      </c>
      <c r="AC143" s="102">
        <v>0</v>
      </c>
      <c r="AD143" s="102">
        <v>0</v>
      </c>
      <c r="AE143" s="102">
        <v>0</v>
      </c>
      <c r="AF143" s="102">
        <v>1</v>
      </c>
      <c r="AG143" s="102">
        <v>1</v>
      </c>
      <c r="AH143" s="102">
        <v>0</v>
      </c>
      <c r="AI143" s="102" t="s">
        <v>1043</v>
      </c>
      <c r="AJ143" s="102"/>
      <c r="AK143" s="102">
        <v>1</v>
      </c>
      <c r="AL143" s="102"/>
      <c r="AM143" s="102"/>
      <c r="AN143" s="102">
        <v>3</v>
      </c>
      <c r="AO143" s="102">
        <v>1</v>
      </c>
      <c r="AP143" s="102">
        <v>0</v>
      </c>
      <c r="AQ143" s="102">
        <v>0</v>
      </c>
      <c r="AR143" s="102">
        <v>0</v>
      </c>
      <c r="AS143" s="102" t="s">
        <v>853</v>
      </c>
      <c r="AT143" s="102">
        <v>0</v>
      </c>
      <c r="AU143" s="102"/>
      <c r="AV143" s="102">
        <v>0</v>
      </c>
      <c r="AW143" s="102">
        <v>1</v>
      </c>
      <c r="AX143" s="102">
        <v>0</v>
      </c>
      <c r="AY143" s="102">
        <v>1</v>
      </c>
      <c r="AZ143" s="102">
        <v>2</v>
      </c>
      <c r="BA143" s="102">
        <v>1</v>
      </c>
      <c r="BB143" s="102">
        <v>0</v>
      </c>
      <c r="BC143" s="102">
        <v>3</v>
      </c>
      <c r="BD143" s="102" t="s">
        <v>922</v>
      </c>
      <c r="BE143" s="102">
        <v>0</v>
      </c>
      <c r="BF143" s="102">
        <v>0</v>
      </c>
      <c r="BG143" s="102">
        <v>0</v>
      </c>
      <c r="BH143" s="102">
        <v>0</v>
      </c>
      <c r="BI143" s="102">
        <v>0</v>
      </c>
      <c r="BJ143" s="102">
        <v>1</v>
      </c>
      <c r="BK143" s="102">
        <v>0</v>
      </c>
      <c r="BL143" s="102">
        <v>0</v>
      </c>
      <c r="BM143" s="102">
        <v>0</v>
      </c>
      <c r="BN143" s="102">
        <v>0</v>
      </c>
      <c r="BO143" s="102">
        <v>0</v>
      </c>
      <c r="BP143" s="102">
        <v>1</v>
      </c>
      <c r="BQ143" s="102">
        <v>1</v>
      </c>
      <c r="BR143" s="102">
        <v>0</v>
      </c>
      <c r="BS143" s="102">
        <v>1</v>
      </c>
      <c r="BT143" s="102">
        <v>0</v>
      </c>
      <c r="BU143" s="102">
        <v>1</v>
      </c>
      <c r="BV143" s="102">
        <v>1</v>
      </c>
      <c r="BW143" s="102">
        <v>1</v>
      </c>
      <c r="BX143" s="102">
        <v>0</v>
      </c>
      <c r="BY143" s="102">
        <v>0</v>
      </c>
      <c r="BZ143" s="102">
        <v>1</v>
      </c>
      <c r="CA143" s="102">
        <v>6</v>
      </c>
      <c r="CB143" s="102">
        <v>1</v>
      </c>
      <c r="CC143" s="102">
        <v>2</v>
      </c>
      <c r="CD143" s="102" t="s">
        <v>1809</v>
      </c>
      <c r="CE143" s="102">
        <v>0</v>
      </c>
      <c r="CF143" s="102">
        <v>0</v>
      </c>
      <c r="CG143" s="102">
        <v>0</v>
      </c>
      <c r="CH143" s="102">
        <v>1</v>
      </c>
      <c r="CI143" s="102">
        <v>1</v>
      </c>
      <c r="CJ143" s="102">
        <v>1</v>
      </c>
      <c r="CK143" s="102">
        <v>1</v>
      </c>
      <c r="CL143" s="102">
        <v>0</v>
      </c>
      <c r="CM143" s="102">
        <v>0</v>
      </c>
      <c r="CN143" s="102">
        <v>1</v>
      </c>
      <c r="CO143" s="102">
        <v>1</v>
      </c>
      <c r="CP143" s="102">
        <v>2</v>
      </c>
      <c r="CQ143" s="102">
        <v>0</v>
      </c>
      <c r="CR143" s="102">
        <v>0</v>
      </c>
      <c r="CS143" s="102">
        <v>1</v>
      </c>
      <c r="CT143" s="102" t="s">
        <v>955</v>
      </c>
      <c r="CU143" s="102">
        <v>0</v>
      </c>
      <c r="CV143" s="102" t="s">
        <v>937</v>
      </c>
      <c r="CW143" s="102">
        <v>0</v>
      </c>
      <c r="CX143" s="102">
        <v>0</v>
      </c>
      <c r="CY143" s="102">
        <v>1</v>
      </c>
      <c r="CZ143" s="102">
        <v>1</v>
      </c>
      <c r="DA143" s="102" t="s">
        <v>1186</v>
      </c>
      <c r="DB143" s="102">
        <v>1</v>
      </c>
      <c r="DC143" s="102">
        <v>0</v>
      </c>
      <c r="DD143" s="102">
        <v>0</v>
      </c>
      <c r="DE143" s="102">
        <v>0</v>
      </c>
      <c r="DF143" s="102">
        <v>0</v>
      </c>
      <c r="DG143" s="102">
        <v>0</v>
      </c>
      <c r="DH143" s="102">
        <v>0</v>
      </c>
      <c r="DI143" s="102">
        <v>0</v>
      </c>
      <c r="DJ143" s="102">
        <v>0</v>
      </c>
      <c r="DK143" s="102">
        <v>0</v>
      </c>
      <c r="DL143" s="102">
        <v>0</v>
      </c>
      <c r="DM143" s="102">
        <v>0</v>
      </c>
      <c r="DN143" s="102">
        <v>1</v>
      </c>
      <c r="DO143" s="102">
        <v>0</v>
      </c>
      <c r="DP143" s="102">
        <v>1</v>
      </c>
      <c r="DQ143" s="102">
        <v>0</v>
      </c>
      <c r="DR143" s="102">
        <v>0</v>
      </c>
      <c r="DS143" s="102" t="s">
        <v>853</v>
      </c>
      <c r="DT143" s="105" t="s">
        <v>853</v>
      </c>
      <c r="DU143" s="102" t="s">
        <v>853</v>
      </c>
      <c r="DV143" s="102">
        <v>0</v>
      </c>
      <c r="DW143" s="102">
        <v>0</v>
      </c>
      <c r="DX143" s="102" t="s">
        <v>853</v>
      </c>
      <c r="DY143" s="102">
        <v>0</v>
      </c>
      <c r="DZ143" s="102">
        <v>0</v>
      </c>
      <c r="EA143" s="102" t="s">
        <v>853</v>
      </c>
      <c r="EB143" s="102">
        <v>0</v>
      </c>
      <c r="EC143" s="102">
        <v>0</v>
      </c>
      <c r="ED143" s="102">
        <v>1</v>
      </c>
      <c r="EE143" s="102">
        <v>2</v>
      </c>
      <c r="EF143" s="102">
        <v>3</v>
      </c>
      <c r="EG143" s="102">
        <v>0</v>
      </c>
      <c r="EH143" s="102" t="s">
        <v>853</v>
      </c>
      <c r="EI143" s="102">
        <v>2</v>
      </c>
      <c r="EJ143" s="102">
        <v>0</v>
      </c>
      <c r="EK143" s="102">
        <v>1</v>
      </c>
      <c r="EL143" s="102">
        <v>1</v>
      </c>
      <c r="EM143" s="102"/>
    </row>
    <row r="144" spans="1:143" ht="15.75" customHeight="1" x14ac:dyDescent="0.55000000000000004">
      <c r="A144" s="99">
        <v>142</v>
      </c>
      <c r="B144" s="102" t="s">
        <v>1810</v>
      </c>
      <c r="C144" s="102" t="s">
        <v>1811</v>
      </c>
      <c r="D144" s="103">
        <v>42340</v>
      </c>
      <c r="E144" s="102" t="s">
        <v>891</v>
      </c>
      <c r="F144" s="102">
        <v>2</v>
      </c>
      <c r="G144" s="102">
        <v>12</v>
      </c>
      <c r="H144" s="102">
        <v>2015</v>
      </c>
      <c r="I144" s="102" t="s">
        <v>1812</v>
      </c>
      <c r="J144" s="102" t="s">
        <v>1813</v>
      </c>
      <c r="K144" s="102" t="s">
        <v>930</v>
      </c>
      <c r="L144" s="102">
        <v>5</v>
      </c>
      <c r="M144" s="102">
        <v>3</v>
      </c>
      <c r="N144" s="102">
        <v>0</v>
      </c>
      <c r="O144" s="107">
        <v>6</v>
      </c>
      <c r="P144" s="102">
        <v>1</v>
      </c>
      <c r="Q144" s="104">
        <v>1</v>
      </c>
      <c r="R144" s="102">
        <v>1</v>
      </c>
      <c r="S144" s="102">
        <v>8</v>
      </c>
      <c r="T144" s="102">
        <v>0</v>
      </c>
      <c r="U144" s="102">
        <v>0</v>
      </c>
      <c r="V144" s="102">
        <v>14</v>
      </c>
      <c r="W144" s="102">
        <v>22</v>
      </c>
      <c r="X144" s="102">
        <v>0</v>
      </c>
      <c r="Y144" s="102">
        <v>0</v>
      </c>
      <c r="Z144" s="102">
        <v>0</v>
      </c>
      <c r="AA144" s="102">
        <v>28</v>
      </c>
      <c r="AB144" s="102">
        <v>0</v>
      </c>
      <c r="AC144" s="102">
        <v>4</v>
      </c>
      <c r="AD144" s="102">
        <v>0</v>
      </c>
      <c r="AE144" s="102">
        <v>0</v>
      </c>
      <c r="AF144" s="102">
        <v>2</v>
      </c>
      <c r="AG144" s="102">
        <v>4</v>
      </c>
      <c r="AH144" s="102">
        <v>1</v>
      </c>
      <c r="AI144" s="102" t="s">
        <v>1814</v>
      </c>
      <c r="AJ144" s="102">
        <v>2</v>
      </c>
      <c r="AK144" s="102">
        <v>3</v>
      </c>
      <c r="AL144" s="102">
        <v>2</v>
      </c>
      <c r="AM144" s="102">
        <v>1</v>
      </c>
      <c r="AN144" s="102">
        <v>2</v>
      </c>
      <c r="AO144" s="102">
        <v>1</v>
      </c>
      <c r="AP144" s="102">
        <v>1</v>
      </c>
      <c r="AQ144" s="102">
        <v>2</v>
      </c>
      <c r="AR144" s="102">
        <v>0</v>
      </c>
      <c r="AS144" s="102" t="s">
        <v>853</v>
      </c>
      <c r="AT144" s="102">
        <v>0</v>
      </c>
      <c r="AU144" s="102"/>
      <c r="AV144" s="102">
        <v>0</v>
      </c>
      <c r="AW144" s="102">
        <v>0</v>
      </c>
      <c r="AX144" s="102">
        <v>0</v>
      </c>
      <c r="AY144" s="102">
        <v>0</v>
      </c>
      <c r="AZ144" s="102">
        <v>0</v>
      </c>
      <c r="BA144" s="102">
        <v>0</v>
      </c>
      <c r="BB144" s="102">
        <v>0</v>
      </c>
      <c r="BC144" s="102">
        <v>0</v>
      </c>
      <c r="BD144" s="102">
        <v>0</v>
      </c>
      <c r="BE144" s="102">
        <v>0</v>
      </c>
      <c r="BF144" s="102">
        <v>0</v>
      </c>
      <c r="BG144" s="102">
        <v>1</v>
      </c>
      <c r="BH144" s="102">
        <v>3</v>
      </c>
      <c r="BI144" s="102">
        <v>0</v>
      </c>
      <c r="BJ144" s="102">
        <v>0</v>
      </c>
      <c r="BK144" s="102">
        <v>0</v>
      </c>
      <c r="BL144" s="102">
        <v>0</v>
      </c>
      <c r="BM144" s="102">
        <v>0</v>
      </c>
      <c r="BN144" s="102">
        <v>0</v>
      </c>
      <c r="BO144" s="102">
        <v>0</v>
      </c>
      <c r="BP144" s="102">
        <v>1</v>
      </c>
      <c r="BQ144" s="102">
        <v>1</v>
      </c>
      <c r="BR144" s="102">
        <v>0</v>
      </c>
      <c r="BS144" s="102">
        <v>1</v>
      </c>
      <c r="BT144" s="102">
        <v>0</v>
      </c>
      <c r="BU144" s="102">
        <v>0</v>
      </c>
      <c r="BV144" s="102">
        <v>1</v>
      </c>
      <c r="BW144" s="102">
        <v>1</v>
      </c>
      <c r="BX144" s="102">
        <v>0</v>
      </c>
      <c r="BY144" s="102">
        <v>0</v>
      </c>
      <c r="BZ144" s="102">
        <v>0</v>
      </c>
      <c r="CA144" s="102">
        <v>0</v>
      </c>
      <c r="CB144" s="102">
        <v>0</v>
      </c>
      <c r="CC144" s="102" t="s">
        <v>853</v>
      </c>
      <c r="CD144" s="102"/>
      <c r="CE144" s="102">
        <v>0</v>
      </c>
      <c r="CF144" s="102">
        <v>0</v>
      </c>
      <c r="CG144" s="102">
        <v>0</v>
      </c>
      <c r="CH144" s="102">
        <v>0</v>
      </c>
      <c r="CI144" s="102">
        <v>0</v>
      </c>
      <c r="CJ144" s="102">
        <v>0</v>
      </c>
      <c r="CK144" s="102">
        <v>0</v>
      </c>
      <c r="CL144" s="102">
        <v>0</v>
      </c>
      <c r="CM144" s="102">
        <v>0</v>
      </c>
      <c r="CN144" s="102">
        <v>2</v>
      </c>
      <c r="CO144" s="102">
        <v>0</v>
      </c>
      <c r="CP144" s="102">
        <v>0</v>
      </c>
      <c r="CQ144" s="102">
        <v>0</v>
      </c>
      <c r="CR144" s="102">
        <v>0</v>
      </c>
      <c r="CS144" s="102">
        <v>0</v>
      </c>
      <c r="CT144" s="102" t="s">
        <v>853</v>
      </c>
      <c r="CU144" s="102">
        <v>0</v>
      </c>
      <c r="CV144" s="102">
        <v>0</v>
      </c>
      <c r="CW144" s="102">
        <v>1</v>
      </c>
      <c r="CX144" s="102">
        <v>0</v>
      </c>
      <c r="CY144" s="102">
        <v>0</v>
      </c>
      <c r="CZ144" s="102">
        <v>0</v>
      </c>
      <c r="DA144" s="102" t="s">
        <v>853</v>
      </c>
      <c r="DB144" s="102">
        <v>0</v>
      </c>
      <c r="DC144" s="102">
        <v>0</v>
      </c>
      <c r="DD144" s="102">
        <v>0</v>
      </c>
      <c r="DE144" s="102">
        <v>0</v>
      </c>
      <c r="DF144" s="102">
        <v>0</v>
      </c>
      <c r="DG144" s="102">
        <v>0</v>
      </c>
      <c r="DH144" s="102">
        <v>0</v>
      </c>
      <c r="DI144" s="102">
        <v>0</v>
      </c>
      <c r="DJ144" s="102">
        <v>0</v>
      </c>
      <c r="DK144" s="102">
        <v>0</v>
      </c>
      <c r="DL144" s="102">
        <v>0</v>
      </c>
      <c r="DM144" s="102">
        <v>0</v>
      </c>
      <c r="DN144" s="102">
        <v>1</v>
      </c>
      <c r="DO144" s="102">
        <v>0</v>
      </c>
      <c r="DP144" s="102">
        <v>0</v>
      </c>
      <c r="DQ144" s="102">
        <v>1</v>
      </c>
      <c r="DR144" s="102">
        <v>0</v>
      </c>
      <c r="DS144" s="102" t="s">
        <v>853</v>
      </c>
      <c r="DT144" s="105" t="s">
        <v>853</v>
      </c>
      <c r="DU144" s="102" t="s">
        <v>853</v>
      </c>
      <c r="DV144" s="102">
        <v>1</v>
      </c>
      <c r="DW144" s="102">
        <v>0</v>
      </c>
      <c r="DX144" s="102" t="s">
        <v>853</v>
      </c>
      <c r="DY144" s="102">
        <v>1</v>
      </c>
      <c r="DZ144" s="102">
        <v>0</v>
      </c>
      <c r="EA144" s="102" t="s">
        <v>853</v>
      </c>
      <c r="EB144" s="102">
        <v>1</v>
      </c>
      <c r="EC144" s="102">
        <v>0</v>
      </c>
      <c r="ED144" s="102">
        <v>0</v>
      </c>
      <c r="EE144" s="102">
        <v>2</v>
      </c>
      <c r="EF144" s="102">
        <v>4</v>
      </c>
      <c r="EG144" s="102">
        <v>1</v>
      </c>
      <c r="EH144" s="102" t="s">
        <v>1815</v>
      </c>
      <c r="EI144" s="102">
        <v>1</v>
      </c>
      <c r="EJ144" s="102">
        <v>0</v>
      </c>
      <c r="EK144" s="102">
        <v>2</v>
      </c>
      <c r="EL144" s="102">
        <v>0</v>
      </c>
      <c r="EM144" s="102"/>
    </row>
    <row r="145" spans="1:143" ht="15.75" customHeight="1" x14ac:dyDescent="0.55000000000000004">
      <c r="A145" s="99">
        <v>143</v>
      </c>
      <c r="B145" s="102" t="s">
        <v>1816</v>
      </c>
      <c r="C145" s="102" t="s">
        <v>1817</v>
      </c>
      <c r="D145" s="103">
        <v>42340</v>
      </c>
      <c r="E145" s="102" t="s">
        <v>891</v>
      </c>
      <c r="F145" s="102">
        <v>2</v>
      </c>
      <c r="G145" s="102">
        <v>12</v>
      </c>
      <c r="H145" s="102">
        <v>2015</v>
      </c>
      <c r="I145" s="102" t="s">
        <v>1812</v>
      </c>
      <c r="J145" s="102" t="s">
        <v>1813</v>
      </c>
      <c r="K145" s="102" t="s">
        <v>930</v>
      </c>
      <c r="L145" s="102">
        <v>5</v>
      </c>
      <c r="M145" s="102">
        <v>3</v>
      </c>
      <c r="N145" s="102">
        <v>0</v>
      </c>
      <c r="O145" s="107">
        <v>6</v>
      </c>
      <c r="P145" s="102">
        <v>1</v>
      </c>
      <c r="Q145" s="104">
        <v>1</v>
      </c>
      <c r="R145" s="102">
        <v>1</v>
      </c>
      <c r="S145" s="102">
        <v>8</v>
      </c>
      <c r="T145" s="102">
        <v>0</v>
      </c>
      <c r="U145" s="102">
        <v>0</v>
      </c>
      <c r="V145" s="102">
        <v>14</v>
      </c>
      <c r="W145" s="102">
        <v>22</v>
      </c>
      <c r="X145" s="102">
        <v>0</v>
      </c>
      <c r="Y145" s="102">
        <v>0</v>
      </c>
      <c r="Z145" s="102">
        <v>0</v>
      </c>
      <c r="AA145" s="102">
        <v>29</v>
      </c>
      <c r="AB145" s="102">
        <v>1</v>
      </c>
      <c r="AC145" s="102">
        <v>4</v>
      </c>
      <c r="AD145" s="102">
        <v>1</v>
      </c>
      <c r="AE145" s="102">
        <v>0</v>
      </c>
      <c r="AF145" s="102">
        <v>2</v>
      </c>
      <c r="AG145" s="102">
        <v>3</v>
      </c>
      <c r="AH145" s="102">
        <v>2</v>
      </c>
      <c r="AI145" s="102" t="s">
        <v>1818</v>
      </c>
      <c r="AJ145" s="102"/>
      <c r="AK145" s="102">
        <v>5</v>
      </c>
      <c r="AL145" s="102"/>
      <c r="AM145" s="102"/>
      <c r="AN145" s="102">
        <v>2</v>
      </c>
      <c r="AO145" s="102">
        <v>1</v>
      </c>
      <c r="AP145" s="102">
        <v>0</v>
      </c>
      <c r="AQ145" s="102"/>
      <c r="AR145" s="102">
        <v>0</v>
      </c>
      <c r="AS145" s="102" t="s">
        <v>853</v>
      </c>
      <c r="AT145" s="102">
        <v>0</v>
      </c>
      <c r="AU145" s="102"/>
      <c r="AV145" s="102">
        <v>0</v>
      </c>
      <c r="AW145" s="102">
        <v>0</v>
      </c>
      <c r="AX145" s="102">
        <v>0</v>
      </c>
      <c r="AY145" s="102">
        <v>0</v>
      </c>
      <c r="AZ145" s="102">
        <v>0</v>
      </c>
      <c r="BA145" s="102">
        <v>0</v>
      </c>
      <c r="BB145" s="102">
        <v>0</v>
      </c>
      <c r="BC145" s="102">
        <v>0</v>
      </c>
      <c r="BD145" s="102">
        <v>0</v>
      </c>
      <c r="BE145" s="102">
        <v>0</v>
      </c>
      <c r="BF145" s="102">
        <v>0</v>
      </c>
      <c r="BG145" s="102">
        <v>1</v>
      </c>
      <c r="BH145" s="102">
        <v>3</v>
      </c>
      <c r="BI145" s="102">
        <v>0</v>
      </c>
      <c r="BJ145" s="102">
        <v>0</v>
      </c>
      <c r="BK145" s="102">
        <v>0</v>
      </c>
      <c r="BL145" s="102">
        <v>0</v>
      </c>
      <c r="BM145" s="102">
        <v>0</v>
      </c>
      <c r="BN145" s="102">
        <v>0</v>
      </c>
      <c r="BO145" s="102">
        <v>0</v>
      </c>
      <c r="BP145" s="102">
        <v>0</v>
      </c>
      <c r="BQ145" s="102">
        <v>0</v>
      </c>
      <c r="BR145" s="102">
        <v>0</v>
      </c>
      <c r="BS145" s="102">
        <v>0</v>
      </c>
      <c r="BT145" s="102">
        <v>0</v>
      </c>
      <c r="BU145" s="102">
        <v>2</v>
      </c>
      <c r="BV145" s="102">
        <v>0</v>
      </c>
      <c r="BW145" s="102">
        <v>0</v>
      </c>
      <c r="BX145" s="102">
        <v>0</v>
      </c>
      <c r="BY145" s="102">
        <v>0</v>
      </c>
      <c r="BZ145" s="102">
        <v>0</v>
      </c>
      <c r="CA145" s="102">
        <v>0</v>
      </c>
      <c r="CB145" s="102">
        <v>0</v>
      </c>
      <c r="CC145" s="102" t="s">
        <v>853</v>
      </c>
      <c r="CD145" s="102"/>
      <c r="CE145" s="102">
        <v>0</v>
      </c>
      <c r="CF145" s="102">
        <v>0</v>
      </c>
      <c r="CG145" s="102">
        <v>0</v>
      </c>
      <c r="CH145" s="102">
        <v>0</v>
      </c>
      <c r="CI145" s="102">
        <v>0</v>
      </c>
      <c r="CJ145" s="102">
        <v>0</v>
      </c>
      <c r="CK145" s="102">
        <v>0</v>
      </c>
      <c r="CL145" s="102">
        <v>0</v>
      </c>
      <c r="CM145" s="102">
        <v>0</v>
      </c>
      <c r="CN145" s="102">
        <v>2</v>
      </c>
      <c r="CO145" s="102">
        <v>0</v>
      </c>
      <c r="CP145" s="102">
        <v>0</v>
      </c>
      <c r="CQ145" s="102">
        <v>0</v>
      </c>
      <c r="CR145" s="102">
        <v>0</v>
      </c>
      <c r="CS145" s="102">
        <v>0</v>
      </c>
      <c r="CT145" s="102" t="s">
        <v>853</v>
      </c>
      <c r="CU145" s="102">
        <v>0</v>
      </c>
      <c r="CV145" s="102">
        <v>0</v>
      </c>
      <c r="CW145" s="102">
        <v>0</v>
      </c>
      <c r="CX145" s="102">
        <v>0</v>
      </c>
      <c r="CY145" s="102">
        <v>0</v>
      </c>
      <c r="CZ145" s="102">
        <v>0</v>
      </c>
      <c r="DA145" s="102" t="s">
        <v>853</v>
      </c>
      <c r="DB145" s="102">
        <v>0</v>
      </c>
      <c r="DC145" s="102">
        <v>4</v>
      </c>
      <c r="DD145" s="102">
        <v>0</v>
      </c>
      <c r="DE145" s="102">
        <v>0</v>
      </c>
      <c r="DF145" s="102">
        <v>0</v>
      </c>
      <c r="DG145" s="102">
        <v>0</v>
      </c>
      <c r="DH145" s="102">
        <v>0</v>
      </c>
      <c r="DI145" s="102">
        <v>0</v>
      </c>
      <c r="DJ145" s="102">
        <v>0</v>
      </c>
      <c r="DK145" s="102">
        <v>0</v>
      </c>
      <c r="DL145" s="102">
        <v>0</v>
      </c>
      <c r="DM145" s="102">
        <v>0</v>
      </c>
      <c r="DN145" s="102">
        <v>1</v>
      </c>
      <c r="DO145" s="102">
        <v>0</v>
      </c>
      <c r="DP145" s="102">
        <v>0</v>
      </c>
      <c r="DQ145" s="102">
        <v>1</v>
      </c>
      <c r="DR145" s="102">
        <v>0</v>
      </c>
      <c r="DS145" s="102" t="s">
        <v>853</v>
      </c>
      <c r="DT145" s="105" t="s">
        <v>853</v>
      </c>
      <c r="DU145" s="102" t="s">
        <v>853</v>
      </c>
      <c r="DV145" s="102">
        <v>1</v>
      </c>
      <c r="DW145" s="102">
        <v>0</v>
      </c>
      <c r="DX145" s="102" t="s">
        <v>853</v>
      </c>
      <c r="DY145" s="102">
        <v>1</v>
      </c>
      <c r="DZ145" s="102">
        <v>0</v>
      </c>
      <c r="EA145" s="102" t="s">
        <v>853</v>
      </c>
      <c r="EB145" s="102">
        <v>1</v>
      </c>
      <c r="EC145" s="102">
        <v>0</v>
      </c>
      <c r="ED145" s="102">
        <v>0</v>
      </c>
      <c r="EE145" s="102">
        <v>1</v>
      </c>
      <c r="EF145" s="102">
        <v>4</v>
      </c>
      <c r="EG145" s="102">
        <v>1</v>
      </c>
      <c r="EH145" s="102" t="s">
        <v>1815</v>
      </c>
      <c r="EI145" s="102">
        <v>1</v>
      </c>
      <c r="EJ145" s="102">
        <v>0</v>
      </c>
      <c r="EK145" s="102">
        <v>2</v>
      </c>
      <c r="EL145" s="102">
        <v>0</v>
      </c>
      <c r="EM145" s="102"/>
    </row>
    <row r="146" spans="1:143" ht="15.75" customHeight="1" x14ac:dyDescent="0.55000000000000004">
      <c r="A146" s="99">
        <v>144</v>
      </c>
      <c r="B146" s="102" t="s">
        <v>1819</v>
      </c>
      <c r="C146" s="102" t="s">
        <v>1820</v>
      </c>
      <c r="D146" s="103">
        <v>42420</v>
      </c>
      <c r="E146" s="102" t="s">
        <v>860</v>
      </c>
      <c r="F146" s="102">
        <v>20</v>
      </c>
      <c r="G146" s="102">
        <v>2</v>
      </c>
      <c r="H146" s="102">
        <v>2016</v>
      </c>
      <c r="I146" s="102" t="s">
        <v>1821</v>
      </c>
      <c r="J146" s="102" t="s">
        <v>1822</v>
      </c>
      <c r="K146" s="102" t="s">
        <v>881</v>
      </c>
      <c r="L146" s="102">
        <v>22</v>
      </c>
      <c r="M146" s="102">
        <v>1</v>
      </c>
      <c r="N146" s="102">
        <v>0</v>
      </c>
      <c r="O146" s="102">
        <v>5</v>
      </c>
      <c r="P146" s="102">
        <v>0</v>
      </c>
      <c r="Q146" s="104">
        <v>0</v>
      </c>
      <c r="R146" s="102">
        <v>1</v>
      </c>
      <c r="S146" s="102">
        <v>4</v>
      </c>
      <c r="T146" s="102">
        <v>0</v>
      </c>
      <c r="U146" s="102">
        <v>0</v>
      </c>
      <c r="V146" s="102">
        <v>6</v>
      </c>
      <c r="W146" s="102">
        <v>2</v>
      </c>
      <c r="X146" s="102">
        <v>0</v>
      </c>
      <c r="Y146" s="102">
        <v>0</v>
      </c>
      <c r="Z146" s="102">
        <v>0</v>
      </c>
      <c r="AA146" s="102">
        <v>45</v>
      </c>
      <c r="AB146" s="102">
        <v>0</v>
      </c>
      <c r="AC146" s="102">
        <v>0</v>
      </c>
      <c r="AD146" s="102">
        <v>0</v>
      </c>
      <c r="AE146" s="102">
        <v>0</v>
      </c>
      <c r="AF146" s="102"/>
      <c r="AG146" s="102">
        <v>2</v>
      </c>
      <c r="AH146" s="102">
        <v>1</v>
      </c>
      <c r="AI146" s="102" t="s">
        <v>1823</v>
      </c>
      <c r="AJ146" s="102">
        <v>0</v>
      </c>
      <c r="AK146" s="102">
        <v>0</v>
      </c>
      <c r="AL146" s="102">
        <v>0</v>
      </c>
      <c r="AM146" s="102">
        <v>0</v>
      </c>
      <c r="AN146" s="102">
        <v>2</v>
      </c>
      <c r="AO146" s="102">
        <v>1</v>
      </c>
      <c r="AP146" s="102">
        <v>1</v>
      </c>
      <c r="AQ146" s="102">
        <v>2</v>
      </c>
      <c r="AR146" s="102">
        <v>0</v>
      </c>
      <c r="AS146" s="102" t="s">
        <v>853</v>
      </c>
      <c r="AT146" s="102">
        <v>0</v>
      </c>
      <c r="AU146" s="102"/>
      <c r="AV146" s="102">
        <v>0</v>
      </c>
      <c r="AW146" s="102">
        <v>0</v>
      </c>
      <c r="AX146" s="102">
        <v>0</v>
      </c>
      <c r="AY146" s="102">
        <v>0</v>
      </c>
      <c r="AZ146" s="102">
        <v>0</v>
      </c>
      <c r="BA146" s="102">
        <v>0</v>
      </c>
      <c r="BB146" s="102">
        <v>0</v>
      </c>
      <c r="BC146" s="102">
        <v>0</v>
      </c>
      <c r="BD146" s="102">
        <v>0</v>
      </c>
      <c r="BE146" s="102">
        <v>0</v>
      </c>
      <c r="BF146" s="102">
        <v>0</v>
      </c>
      <c r="BG146" s="102">
        <v>0</v>
      </c>
      <c r="BH146" s="102">
        <v>0</v>
      </c>
      <c r="BI146" s="102">
        <v>0</v>
      </c>
      <c r="BJ146" s="102">
        <v>0</v>
      </c>
      <c r="BK146" s="102">
        <v>0</v>
      </c>
      <c r="BL146" s="102">
        <v>0</v>
      </c>
      <c r="BM146" s="102">
        <v>0</v>
      </c>
      <c r="BN146" s="102">
        <v>0</v>
      </c>
      <c r="BO146" s="102">
        <v>0</v>
      </c>
      <c r="BP146" s="102">
        <v>0</v>
      </c>
      <c r="BQ146" s="102">
        <v>0</v>
      </c>
      <c r="BR146" s="102">
        <v>0</v>
      </c>
      <c r="BS146" s="102">
        <v>0</v>
      </c>
      <c r="BT146" s="102">
        <v>0</v>
      </c>
      <c r="BU146" s="102">
        <v>1</v>
      </c>
      <c r="BV146" s="102">
        <v>0</v>
      </c>
      <c r="BW146" s="102">
        <v>0</v>
      </c>
      <c r="BX146" s="102">
        <v>0</v>
      </c>
      <c r="BY146" s="102">
        <v>0</v>
      </c>
      <c r="BZ146" s="102">
        <v>0</v>
      </c>
      <c r="CA146" s="102">
        <v>0</v>
      </c>
      <c r="CB146" s="102">
        <v>1</v>
      </c>
      <c r="CC146" s="102">
        <v>0</v>
      </c>
      <c r="CD146" s="102" t="s">
        <v>1824</v>
      </c>
      <c r="CE146" s="102">
        <v>0</v>
      </c>
      <c r="CF146" s="102">
        <v>1</v>
      </c>
      <c r="CG146" s="102">
        <v>0</v>
      </c>
      <c r="CH146" s="102">
        <v>0</v>
      </c>
      <c r="CI146" s="102">
        <v>1</v>
      </c>
      <c r="CJ146" s="102">
        <v>0</v>
      </c>
      <c r="CK146" s="102">
        <v>0</v>
      </c>
      <c r="CL146" s="102">
        <v>0</v>
      </c>
      <c r="CM146" s="102">
        <v>0</v>
      </c>
      <c r="CN146" s="102">
        <v>0</v>
      </c>
      <c r="CO146" s="102">
        <v>0</v>
      </c>
      <c r="CP146" s="102">
        <v>0</v>
      </c>
      <c r="CQ146" s="102">
        <v>0</v>
      </c>
      <c r="CR146" s="102">
        <v>0</v>
      </c>
      <c r="CS146" s="102">
        <v>0</v>
      </c>
      <c r="CT146" s="102" t="s">
        <v>853</v>
      </c>
      <c r="CU146" s="102">
        <v>0</v>
      </c>
      <c r="CV146" s="102">
        <v>4</v>
      </c>
      <c r="CW146" s="102">
        <v>0</v>
      </c>
      <c r="CX146" s="102">
        <v>0</v>
      </c>
      <c r="CY146" s="102">
        <v>0</v>
      </c>
      <c r="CZ146" s="102">
        <v>0</v>
      </c>
      <c r="DA146" s="102" t="s">
        <v>853</v>
      </c>
      <c r="DB146" s="102">
        <v>0</v>
      </c>
      <c r="DC146" s="102">
        <v>0</v>
      </c>
      <c r="DD146" s="102">
        <v>0</v>
      </c>
      <c r="DE146" s="102">
        <v>0</v>
      </c>
      <c r="DF146" s="102">
        <v>0</v>
      </c>
      <c r="DG146" s="102">
        <v>0</v>
      </c>
      <c r="DH146" s="102">
        <v>0</v>
      </c>
      <c r="DI146" s="102">
        <v>0</v>
      </c>
      <c r="DJ146" s="102">
        <v>0</v>
      </c>
      <c r="DK146" s="102">
        <v>0</v>
      </c>
      <c r="DL146" s="102">
        <v>0</v>
      </c>
      <c r="DM146" s="102">
        <v>0</v>
      </c>
      <c r="DN146" s="102">
        <v>1</v>
      </c>
      <c r="DO146" s="102">
        <v>0</v>
      </c>
      <c r="DP146" s="102">
        <v>3</v>
      </c>
      <c r="DQ146" s="102">
        <v>0</v>
      </c>
      <c r="DR146" s="102">
        <v>0</v>
      </c>
      <c r="DS146" s="102" t="s">
        <v>853</v>
      </c>
      <c r="DT146" s="105" t="s">
        <v>853</v>
      </c>
      <c r="DU146" s="102" t="s">
        <v>853</v>
      </c>
      <c r="DV146" s="102">
        <v>0</v>
      </c>
      <c r="DW146" s="102">
        <v>0</v>
      </c>
      <c r="DX146" s="102" t="s">
        <v>853</v>
      </c>
      <c r="DY146" s="102">
        <v>0</v>
      </c>
      <c r="DZ146" s="102">
        <v>0</v>
      </c>
      <c r="EA146" s="102" t="s">
        <v>853</v>
      </c>
      <c r="EB146" s="102">
        <v>0</v>
      </c>
      <c r="EC146" s="102">
        <v>0</v>
      </c>
      <c r="ED146" s="102">
        <v>1</v>
      </c>
      <c r="EE146" s="102">
        <v>3</v>
      </c>
      <c r="EF146" s="102">
        <v>2</v>
      </c>
      <c r="EG146" s="102">
        <v>1</v>
      </c>
      <c r="EH146" s="102" t="s">
        <v>1688</v>
      </c>
      <c r="EI146" s="102">
        <v>2</v>
      </c>
      <c r="EJ146" s="102">
        <v>0</v>
      </c>
      <c r="EK146" s="102">
        <v>0</v>
      </c>
      <c r="EL146" s="102">
        <v>2</v>
      </c>
      <c r="EM146" s="102"/>
    </row>
    <row r="147" spans="1:143" ht="15.75" customHeight="1" x14ac:dyDescent="0.55000000000000004">
      <c r="A147" s="99" t="s">
        <v>1825</v>
      </c>
      <c r="B147" s="102"/>
      <c r="C147" s="102"/>
      <c r="D147" s="103">
        <v>42438</v>
      </c>
      <c r="E147" s="102" t="s">
        <v>891</v>
      </c>
      <c r="F147" s="102">
        <v>9</v>
      </c>
      <c r="G147" s="102">
        <v>3</v>
      </c>
      <c r="H147" s="102">
        <v>2016</v>
      </c>
      <c r="I147" s="102" t="s">
        <v>1826</v>
      </c>
      <c r="J147" s="102" t="s">
        <v>1827</v>
      </c>
      <c r="K147" s="102" t="s">
        <v>873</v>
      </c>
      <c r="L147" s="102">
        <v>38</v>
      </c>
      <c r="M147" s="102">
        <v>2</v>
      </c>
      <c r="N147" s="102">
        <v>1</v>
      </c>
      <c r="O147" s="102">
        <v>7</v>
      </c>
      <c r="P147" s="102">
        <v>0</v>
      </c>
      <c r="Q147" s="104">
        <v>0</v>
      </c>
      <c r="R147" s="102">
        <v>0</v>
      </c>
      <c r="S147" s="102" t="s">
        <v>853</v>
      </c>
      <c r="T147" s="102">
        <v>0</v>
      </c>
      <c r="U147" s="102">
        <v>0</v>
      </c>
      <c r="V147" s="102">
        <v>5</v>
      </c>
      <c r="W147" s="102">
        <v>3</v>
      </c>
      <c r="X147" s="102"/>
      <c r="Y147" s="102"/>
      <c r="Z147" s="102">
        <v>0</v>
      </c>
      <c r="AA147" s="102"/>
      <c r="AB147" s="102"/>
      <c r="AC147" s="102"/>
      <c r="AD147" s="102"/>
      <c r="AE147" s="102"/>
      <c r="AF147" s="102"/>
      <c r="AG147" s="102"/>
      <c r="AH147" s="102"/>
      <c r="AI147" s="102"/>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c r="BE147" s="102"/>
      <c r="BF147" s="102"/>
      <c r="BG147" s="102"/>
      <c r="BH147" s="102"/>
      <c r="BI147" s="102"/>
      <c r="BJ147" s="102"/>
      <c r="BK147" s="102"/>
      <c r="BL147" s="102"/>
      <c r="BM147" s="102"/>
      <c r="BN147" s="102"/>
      <c r="BO147" s="102"/>
      <c r="BP147" s="102"/>
      <c r="BQ147" s="102"/>
      <c r="BR147" s="102"/>
      <c r="BS147" s="102"/>
      <c r="BT147" s="102"/>
      <c r="BU147" s="102"/>
      <c r="BV147" s="102"/>
      <c r="BW147" s="102"/>
      <c r="BX147" s="102"/>
      <c r="BY147" s="102"/>
      <c r="BZ147" s="102"/>
      <c r="CA147" s="102"/>
      <c r="CB147" s="102"/>
      <c r="CC147" s="102"/>
      <c r="CD147" s="102"/>
      <c r="CE147" s="102"/>
      <c r="CF147" s="102"/>
      <c r="CG147" s="102"/>
      <c r="CH147" s="102"/>
      <c r="CI147" s="102"/>
      <c r="CJ147" s="102"/>
      <c r="CK147" s="102"/>
      <c r="CL147" s="102"/>
      <c r="CM147" s="102"/>
      <c r="CN147" s="102"/>
      <c r="CO147" s="102"/>
      <c r="CP147" s="102"/>
      <c r="CQ147" s="102"/>
      <c r="CR147" s="102"/>
      <c r="CS147" s="102"/>
      <c r="CT147" s="102"/>
      <c r="CU147" s="102"/>
      <c r="CV147" s="102"/>
      <c r="CW147" s="102"/>
      <c r="CX147" s="102"/>
      <c r="CY147" s="102"/>
      <c r="CZ147" s="102"/>
      <c r="DA147" s="102"/>
      <c r="DB147" s="102"/>
      <c r="DC147" s="102"/>
      <c r="DD147" s="102"/>
      <c r="DE147" s="102"/>
      <c r="DF147" s="102"/>
      <c r="DG147" s="102"/>
      <c r="DH147" s="102"/>
      <c r="DI147" s="102"/>
      <c r="DJ147" s="102"/>
      <c r="DK147" s="102"/>
      <c r="DL147" s="102"/>
      <c r="DM147" s="102"/>
      <c r="DN147" s="102"/>
      <c r="DO147" s="102"/>
      <c r="DP147" s="102"/>
      <c r="DQ147" s="102"/>
      <c r="DR147" s="102"/>
      <c r="DS147" s="102"/>
      <c r="DT147" s="105"/>
      <c r="DU147" s="102"/>
      <c r="DV147" s="102"/>
      <c r="DW147" s="102"/>
      <c r="DX147" s="102"/>
      <c r="DY147" s="102"/>
      <c r="DZ147" s="102"/>
      <c r="EA147" s="102"/>
      <c r="EB147" s="102"/>
      <c r="EC147" s="102"/>
      <c r="ED147" s="102"/>
      <c r="EE147" s="102"/>
      <c r="EF147" s="102"/>
      <c r="EG147" s="102"/>
      <c r="EH147" s="102"/>
      <c r="EI147" s="102"/>
      <c r="EJ147" s="102"/>
      <c r="EK147" s="102"/>
      <c r="EL147" s="102"/>
      <c r="EM147" s="102"/>
    </row>
    <row r="148" spans="1:143" ht="15.75" customHeight="1" x14ac:dyDescent="0.55000000000000004">
      <c r="A148" s="99">
        <v>147</v>
      </c>
      <c r="B148" s="102" t="s">
        <v>1828</v>
      </c>
      <c r="C148" s="102" t="s">
        <v>1649</v>
      </c>
      <c r="D148" s="103">
        <v>42533</v>
      </c>
      <c r="E148" s="102" t="s">
        <v>914</v>
      </c>
      <c r="F148" s="102">
        <v>12</v>
      </c>
      <c r="G148" s="102">
        <v>6</v>
      </c>
      <c r="H148" s="102">
        <v>2016</v>
      </c>
      <c r="I148" s="102" t="s">
        <v>1829</v>
      </c>
      <c r="J148" s="102" t="s">
        <v>1830</v>
      </c>
      <c r="K148" s="102" t="s">
        <v>1022</v>
      </c>
      <c r="L148" s="102">
        <v>9</v>
      </c>
      <c r="M148" s="102">
        <v>0</v>
      </c>
      <c r="N148" s="102">
        <v>0</v>
      </c>
      <c r="O148" s="102">
        <v>5</v>
      </c>
      <c r="P148" s="102">
        <v>0</v>
      </c>
      <c r="Q148" s="104">
        <v>0</v>
      </c>
      <c r="R148" s="102">
        <v>0</v>
      </c>
      <c r="S148" s="102" t="s">
        <v>853</v>
      </c>
      <c r="T148" s="102">
        <v>0</v>
      </c>
      <c r="U148" s="102">
        <v>0</v>
      </c>
      <c r="V148" s="102">
        <v>49</v>
      </c>
      <c r="W148" s="102">
        <v>53</v>
      </c>
      <c r="X148" s="102">
        <v>0</v>
      </c>
      <c r="Y148" s="102">
        <v>0</v>
      </c>
      <c r="Z148" s="102">
        <v>1</v>
      </c>
      <c r="AA148" s="102">
        <v>29</v>
      </c>
      <c r="AB148" s="102">
        <v>0</v>
      </c>
      <c r="AC148" s="102">
        <v>4</v>
      </c>
      <c r="AD148" s="102">
        <v>0</v>
      </c>
      <c r="AE148" s="102">
        <v>1</v>
      </c>
      <c r="AF148" s="102">
        <v>2</v>
      </c>
      <c r="AG148" s="102">
        <v>2</v>
      </c>
      <c r="AH148" s="102">
        <v>1</v>
      </c>
      <c r="AI148" s="102" t="s">
        <v>1831</v>
      </c>
      <c r="AJ148" s="102">
        <v>2</v>
      </c>
      <c r="AK148" s="102">
        <v>3</v>
      </c>
      <c r="AL148" s="102">
        <v>1</v>
      </c>
      <c r="AM148" s="102">
        <v>2</v>
      </c>
      <c r="AN148" s="102">
        <v>2</v>
      </c>
      <c r="AO148" s="102">
        <v>1</v>
      </c>
      <c r="AP148" s="102">
        <v>1</v>
      </c>
      <c r="AQ148" s="102">
        <v>0</v>
      </c>
      <c r="AR148" s="102">
        <v>0</v>
      </c>
      <c r="AS148" s="102" t="s">
        <v>853</v>
      </c>
      <c r="AT148" s="102">
        <v>1</v>
      </c>
      <c r="AU148" s="102" t="s">
        <v>1542</v>
      </c>
      <c r="AV148" s="102">
        <v>1</v>
      </c>
      <c r="AW148" s="102">
        <v>1</v>
      </c>
      <c r="AX148" s="102">
        <v>0</v>
      </c>
      <c r="AY148" s="102">
        <v>1</v>
      </c>
      <c r="AZ148" s="102">
        <v>3</v>
      </c>
      <c r="BA148" s="102">
        <v>1</v>
      </c>
      <c r="BB148" s="102">
        <v>0</v>
      </c>
      <c r="BC148" s="102">
        <v>1</v>
      </c>
      <c r="BD148" s="102" t="s">
        <v>954</v>
      </c>
      <c r="BE148" s="102">
        <v>0</v>
      </c>
      <c r="BF148" s="102">
        <v>0</v>
      </c>
      <c r="BG148" s="102">
        <v>1</v>
      </c>
      <c r="BH148" s="102">
        <v>3</v>
      </c>
      <c r="BI148" s="102">
        <v>2</v>
      </c>
      <c r="BJ148" s="102">
        <v>1</v>
      </c>
      <c r="BK148" s="102">
        <v>1</v>
      </c>
      <c r="BL148" s="102">
        <v>0</v>
      </c>
      <c r="BM148" s="102">
        <v>0</v>
      </c>
      <c r="BN148" s="102">
        <v>0</v>
      </c>
      <c r="BO148" s="102">
        <v>0</v>
      </c>
      <c r="BP148" s="102">
        <v>1</v>
      </c>
      <c r="BQ148" s="102">
        <v>1</v>
      </c>
      <c r="BR148" s="102">
        <v>0</v>
      </c>
      <c r="BS148" s="102">
        <v>1</v>
      </c>
      <c r="BT148" s="102">
        <v>0</v>
      </c>
      <c r="BU148" s="102">
        <v>2</v>
      </c>
      <c r="BV148" s="102">
        <v>1</v>
      </c>
      <c r="BW148" s="102">
        <v>0</v>
      </c>
      <c r="BX148" s="102">
        <v>1</v>
      </c>
      <c r="BY148" s="102">
        <v>0</v>
      </c>
      <c r="BZ148" s="102">
        <v>0</v>
      </c>
      <c r="CA148" s="102">
        <v>0</v>
      </c>
      <c r="CB148" s="102">
        <v>1</v>
      </c>
      <c r="CC148" s="102">
        <v>1</v>
      </c>
      <c r="CD148" s="102" t="s">
        <v>1832</v>
      </c>
      <c r="CE148" s="102">
        <v>0</v>
      </c>
      <c r="CF148" s="102">
        <v>0</v>
      </c>
      <c r="CG148" s="102">
        <v>0</v>
      </c>
      <c r="CH148" s="102">
        <v>1</v>
      </c>
      <c r="CI148" s="102">
        <v>1</v>
      </c>
      <c r="CJ148" s="102">
        <v>1</v>
      </c>
      <c r="CK148" s="102">
        <v>0</v>
      </c>
      <c r="CL148" s="102">
        <v>0</v>
      </c>
      <c r="CM148" s="102">
        <v>0</v>
      </c>
      <c r="CN148" s="102">
        <v>2</v>
      </c>
      <c r="CO148" s="102">
        <v>0</v>
      </c>
      <c r="CP148" s="102">
        <v>0</v>
      </c>
      <c r="CQ148" s="102">
        <v>0</v>
      </c>
      <c r="CR148" s="102">
        <v>0</v>
      </c>
      <c r="CS148" s="102">
        <v>0</v>
      </c>
      <c r="CT148" s="102" t="s">
        <v>853</v>
      </c>
      <c r="CU148" s="102">
        <v>0</v>
      </c>
      <c r="CV148" s="102">
        <v>4</v>
      </c>
      <c r="CW148" s="102">
        <v>1</v>
      </c>
      <c r="CX148" s="102">
        <v>0</v>
      </c>
      <c r="CY148" s="102" t="s">
        <v>1123</v>
      </c>
      <c r="CZ148" s="102">
        <v>0</v>
      </c>
      <c r="DA148" s="102" t="s">
        <v>853</v>
      </c>
      <c r="DB148" s="102">
        <v>0</v>
      </c>
      <c r="DC148" s="102" t="s">
        <v>1123</v>
      </c>
      <c r="DD148" s="102">
        <v>0</v>
      </c>
      <c r="DE148" s="102">
        <v>0</v>
      </c>
      <c r="DF148" s="102">
        <v>0</v>
      </c>
      <c r="DG148" s="102">
        <v>1</v>
      </c>
      <c r="DH148" s="102">
        <v>0</v>
      </c>
      <c r="DI148" s="102">
        <v>0</v>
      </c>
      <c r="DJ148" s="102">
        <v>0</v>
      </c>
      <c r="DK148" s="102">
        <v>0</v>
      </c>
      <c r="DL148" s="102">
        <v>0</v>
      </c>
      <c r="DM148" s="102">
        <v>1</v>
      </c>
      <c r="DN148" s="102">
        <v>1</v>
      </c>
      <c r="DO148" s="102">
        <v>0</v>
      </c>
      <c r="DP148" s="102">
        <v>0</v>
      </c>
      <c r="DQ148" s="102">
        <v>1</v>
      </c>
      <c r="DR148" s="102">
        <v>1</v>
      </c>
      <c r="DS148" s="102">
        <v>0</v>
      </c>
      <c r="DT148" s="105" t="s">
        <v>1067</v>
      </c>
      <c r="DU148" s="102">
        <v>1</v>
      </c>
      <c r="DV148" s="102">
        <v>1</v>
      </c>
      <c r="DW148" s="102">
        <v>0</v>
      </c>
      <c r="DX148" s="102" t="s">
        <v>853</v>
      </c>
      <c r="DY148" s="102">
        <v>0</v>
      </c>
      <c r="DZ148" s="102">
        <v>0</v>
      </c>
      <c r="EA148" s="102" t="s">
        <v>853</v>
      </c>
      <c r="EB148" s="102">
        <v>1</v>
      </c>
      <c r="EC148" s="102">
        <v>1</v>
      </c>
      <c r="ED148" s="102">
        <v>1</v>
      </c>
      <c r="EE148" s="102">
        <v>2</v>
      </c>
      <c r="EF148" s="102">
        <v>2</v>
      </c>
      <c r="EG148" s="102">
        <v>0</v>
      </c>
      <c r="EH148" s="102" t="s">
        <v>853</v>
      </c>
      <c r="EI148" s="102">
        <v>1</v>
      </c>
      <c r="EJ148" s="102">
        <v>0</v>
      </c>
      <c r="EK148" s="102">
        <v>2</v>
      </c>
      <c r="EL148" s="102">
        <v>0</v>
      </c>
      <c r="EM148" s="102"/>
    </row>
    <row r="149" spans="1:143" ht="15.75" customHeight="1" x14ac:dyDescent="0.55000000000000004">
      <c r="A149" s="99">
        <v>148</v>
      </c>
      <c r="B149" s="102" t="s">
        <v>1319</v>
      </c>
      <c r="C149" s="102" t="s">
        <v>1833</v>
      </c>
      <c r="D149" s="103">
        <v>42558</v>
      </c>
      <c r="E149" s="102" t="s">
        <v>995</v>
      </c>
      <c r="F149" s="102">
        <v>7</v>
      </c>
      <c r="G149" s="102">
        <v>7</v>
      </c>
      <c r="H149" s="102">
        <v>2016</v>
      </c>
      <c r="I149" s="102" t="s">
        <v>1834</v>
      </c>
      <c r="J149" s="102" t="s">
        <v>1054</v>
      </c>
      <c r="K149" s="102" t="s">
        <v>849</v>
      </c>
      <c r="L149" s="102">
        <v>43</v>
      </c>
      <c r="M149" s="102">
        <v>0</v>
      </c>
      <c r="N149" s="102">
        <v>0</v>
      </c>
      <c r="O149" s="102">
        <v>8</v>
      </c>
      <c r="P149" s="102">
        <v>0</v>
      </c>
      <c r="Q149" s="104">
        <v>0</v>
      </c>
      <c r="R149" s="102">
        <v>0</v>
      </c>
      <c r="S149" s="102" t="s">
        <v>853</v>
      </c>
      <c r="T149" s="102">
        <v>1</v>
      </c>
      <c r="U149" s="102">
        <v>1</v>
      </c>
      <c r="V149" s="102">
        <v>5</v>
      </c>
      <c r="W149" s="102">
        <v>7</v>
      </c>
      <c r="X149" s="102">
        <v>0</v>
      </c>
      <c r="Y149" s="102">
        <v>0</v>
      </c>
      <c r="Z149" s="102">
        <v>0</v>
      </c>
      <c r="AA149" s="102">
        <v>25</v>
      </c>
      <c r="AB149" s="102">
        <v>0</v>
      </c>
      <c r="AC149" s="102">
        <v>1</v>
      </c>
      <c r="AD149" s="102">
        <v>0</v>
      </c>
      <c r="AE149" s="102">
        <v>0</v>
      </c>
      <c r="AF149" s="102">
        <v>1</v>
      </c>
      <c r="AG149" s="102">
        <v>1</v>
      </c>
      <c r="AH149" s="102">
        <v>0</v>
      </c>
      <c r="AI149" s="102" t="s">
        <v>1835</v>
      </c>
      <c r="AJ149" s="102">
        <v>1</v>
      </c>
      <c r="AK149" s="102">
        <v>2</v>
      </c>
      <c r="AL149" s="102">
        <v>0</v>
      </c>
      <c r="AM149" s="102">
        <v>2</v>
      </c>
      <c r="AN149" s="102">
        <v>0</v>
      </c>
      <c r="AO149" s="102">
        <v>0</v>
      </c>
      <c r="AP149" s="102">
        <v>1</v>
      </c>
      <c r="AQ149" s="102">
        <v>0</v>
      </c>
      <c r="AR149" s="102">
        <v>1</v>
      </c>
      <c r="AS149" s="102">
        <v>0</v>
      </c>
      <c r="AT149" s="102">
        <v>1</v>
      </c>
      <c r="AU149" s="102" t="s">
        <v>1836</v>
      </c>
      <c r="AV149" s="102">
        <v>0</v>
      </c>
      <c r="AW149" s="102">
        <v>0</v>
      </c>
      <c r="AX149" s="102">
        <v>0</v>
      </c>
      <c r="AY149" s="102" t="s">
        <v>1837</v>
      </c>
      <c r="AZ149" s="102">
        <v>2</v>
      </c>
      <c r="BA149" s="102">
        <v>2</v>
      </c>
      <c r="BB149" s="102">
        <v>0</v>
      </c>
      <c r="BC149" s="102">
        <v>0</v>
      </c>
      <c r="BD149" s="102">
        <v>0</v>
      </c>
      <c r="BE149" s="102">
        <v>1</v>
      </c>
      <c r="BF149" s="102">
        <v>0</v>
      </c>
      <c r="BG149" s="102">
        <v>0</v>
      </c>
      <c r="BH149" s="102">
        <v>1</v>
      </c>
      <c r="BI149" s="102">
        <v>1</v>
      </c>
      <c r="BJ149" s="102">
        <v>0</v>
      </c>
      <c r="BK149" s="102">
        <v>0</v>
      </c>
      <c r="BL149" s="102">
        <v>0</v>
      </c>
      <c r="BM149" s="102">
        <v>1</v>
      </c>
      <c r="BN149" s="102">
        <v>0</v>
      </c>
      <c r="BO149" s="102">
        <v>0</v>
      </c>
      <c r="BP149" s="102">
        <v>0</v>
      </c>
      <c r="BQ149" s="102">
        <v>0</v>
      </c>
      <c r="BR149" s="102">
        <v>0</v>
      </c>
      <c r="BS149" s="102">
        <v>0</v>
      </c>
      <c r="BT149" s="102">
        <v>0</v>
      </c>
      <c r="BU149" s="102">
        <v>1</v>
      </c>
      <c r="BV149" s="102">
        <v>0</v>
      </c>
      <c r="BW149" s="102">
        <v>0</v>
      </c>
      <c r="BX149" s="102">
        <v>0</v>
      </c>
      <c r="BY149" s="102">
        <v>0</v>
      </c>
      <c r="BZ149" s="102">
        <v>0</v>
      </c>
      <c r="CA149" s="102">
        <v>6</v>
      </c>
      <c r="CB149" s="102">
        <v>1</v>
      </c>
      <c r="CC149" s="102">
        <v>0</v>
      </c>
      <c r="CD149" s="102" t="s">
        <v>1838</v>
      </c>
      <c r="CE149" s="102">
        <v>0</v>
      </c>
      <c r="CF149" s="102">
        <v>0</v>
      </c>
      <c r="CG149" s="102">
        <v>0</v>
      </c>
      <c r="CH149" s="102">
        <v>0</v>
      </c>
      <c r="CI149" s="102">
        <v>1</v>
      </c>
      <c r="CJ149" s="102">
        <v>0</v>
      </c>
      <c r="CK149" s="102">
        <v>0</v>
      </c>
      <c r="CL149" s="102">
        <v>0</v>
      </c>
      <c r="CM149" s="102">
        <v>0</v>
      </c>
      <c r="CN149" s="102">
        <v>0</v>
      </c>
      <c r="CO149" s="102">
        <v>0</v>
      </c>
      <c r="CP149" s="102">
        <v>0</v>
      </c>
      <c r="CQ149" s="102">
        <v>0</v>
      </c>
      <c r="CR149" s="102">
        <v>0</v>
      </c>
      <c r="CS149" s="102">
        <v>1</v>
      </c>
      <c r="CT149" s="102" t="s">
        <v>955</v>
      </c>
      <c r="CU149" s="102">
        <v>0</v>
      </c>
      <c r="CV149" s="102">
        <v>3</v>
      </c>
      <c r="CW149" s="102">
        <v>0</v>
      </c>
      <c r="CX149" s="102">
        <v>0</v>
      </c>
      <c r="CY149" s="102">
        <v>0</v>
      </c>
      <c r="CZ149" s="102">
        <v>0</v>
      </c>
      <c r="DA149" s="102" t="s">
        <v>853</v>
      </c>
      <c r="DB149" s="102">
        <v>0</v>
      </c>
      <c r="DC149" s="102" t="s">
        <v>922</v>
      </c>
      <c r="DD149" s="102">
        <v>2</v>
      </c>
      <c r="DE149" s="102">
        <v>0</v>
      </c>
      <c r="DF149" s="102">
        <v>0</v>
      </c>
      <c r="DG149" s="102">
        <v>0</v>
      </c>
      <c r="DH149" s="102">
        <v>0</v>
      </c>
      <c r="DI149" s="102">
        <v>0</v>
      </c>
      <c r="DJ149" s="102">
        <v>0</v>
      </c>
      <c r="DK149" s="102">
        <v>0</v>
      </c>
      <c r="DL149" s="102">
        <v>0</v>
      </c>
      <c r="DM149" s="102">
        <v>0</v>
      </c>
      <c r="DN149" s="102">
        <v>1</v>
      </c>
      <c r="DO149" s="102">
        <v>0</v>
      </c>
      <c r="DP149" s="102">
        <v>0</v>
      </c>
      <c r="DQ149" s="102">
        <v>1</v>
      </c>
      <c r="DR149" s="102">
        <v>1</v>
      </c>
      <c r="DS149" s="102">
        <v>4</v>
      </c>
      <c r="DT149" s="105" t="s">
        <v>1080</v>
      </c>
      <c r="DU149" s="102">
        <v>0</v>
      </c>
      <c r="DV149" s="102">
        <v>1</v>
      </c>
      <c r="DW149" s="102">
        <v>0</v>
      </c>
      <c r="DX149" s="102" t="s">
        <v>853</v>
      </c>
      <c r="DY149" s="102">
        <v>0</v>
      </c>
      <c r="DZ149" s="102">
        <v>2</v>
      </c>
      <c r="EA149" s="102" t="s">
        <v>1839</v>
      </c>
      <c r="EB149" s="102">
        <v>1</v>
      </c>
      <c r="EC149" s="102">
        <v>0</v>
      </c>
      <c r="ED149" s="102">
        <v>1</v>
      </c>
      <c r="EE149" s="102">
        <v>3</v>
      </c>
      <c r="EF149" s="102">
        <v>3</v>
      </c>
      <c r="EG149" s="102">
        <v>1</v>
      </c>
      <c r="EH149" s="102" t="s">
        <v>1840</v>
      </c>
      <c r="EI149" s="102">
        <v>1</v>
      </c>
      <c r="EJ149" s="102">
        <v>0</v>
      </c>
      <c r="EK149" s="102">
        <v>2</v>
      </c>
      <c r="EL149" s="102">
        <v>0</v>
      </c>
      <c r="EM149" s="102"/>
    </row>
    <row r="150" spans="1:143" ht="15.75" customHeight="1" x14ac:dyDescent="0.55000000000000004">
      <c r="A150" s="99">
        <v>149</v>
      </c>
      <c r="B150" s="102" t="s">
        <v>1841</v>
      </c>
      <c r="C150" s="102" t="s">
        <v>1842</v>
      </c>
      <c r="D150" s="103">
        <v>42636</v>
      </c>
      <c r="E150" s="102" t="s">
        <v>959</v>
      </c>
      <c r="F150" s="102">
        <v>23</v>
      </c>
      <c r="G150" s="102">
        <v>9</v>
      </c>
      <c r="H150" s="102">
        <v>2016</v>
      </c>
      <c r="I150" s="102" t="s">
        <v>1843</v>
      </c>
      <c r="J150" s="102" t="s">
        <v>1844</v>
      </c>
      <c r="K150" s="102" t="s">
        <v>1245</v>
      </c>
      <c r="L150" s="102">
        <v>47</v>
      </c>
      <c r="M150" s="102">
        <v>3</v>
      </c>
      <c r="N150" s="102">
        <v>1</v>
      </c>
      <c r="O150" s="102">
        <v>4</v>
      </c>
      <c r="P150" s="102">
        <v>0</v>
      </c>
      <c r="Q150" s="104">
        <v>0</v>
      </c>
      <c r="R150" s="102">
        <v>0</v>
      </c>
      <c r="S150" s="102" t="s">
        <v>853</v>
      </c>
      <c r="T150" s="102">
        <v>0</v>
      </c>
      <c r="U150" s="102">
        <v>0</v>
      </c>
      <c r="V150" s="102">
        <v>5</v>
      </c>
      <c r="W150" s="102">
        <v>0</v>
      </c>
      <c r="X150" s="102">
        <v>0</v>
      </c>
      <c r="Y150" s="102">
        <v>0</v>
      </c>
      <c r="Z150" s="102">
        <v>0</v>
      </c>
      <c r="AA150" s="102">
        <v>20</v>
      </c>
      <c r="AB150" s="102">
        <v>0</v>
      </c>
      <c r="AC150" s="102">
        <v>4</v>
      </c>
      <c r="AD150" s="102">
        <v>1</v>
      </c>
      <c r="AE150" s="102">
        <v>0</v>
      </c>
      <c r="AF150" s="102">
        <v>2</v>
      </c>
      <c r="AG150" s="102">
        <v>1</v>
      </c>
      <c r="AH150" s="102"/>
      <c r="AI150" s="102"/>
      <c r="AJ150" s="102">
        <v>0</v>
      </c>
      <c r="AK150" s="102">
        <v>0</v>
      </c>
      <c r="AL150" s="102">
        <v>0</v>
      </c>
      <c r="AM150" s="102">
        <v>0</v>
      </c>
      <c r="AN150" s="102">
        <v>0</v>
      </c>
      <c r="AO150" s="102">
        <v>0</v>
      </c>
      <c r="AP150" s="102">
        <v>1</v>
      </c>
      <c r="AQ150" s="102">
        <v>0</v>
      </c>
      <c r="AR150" s="102">
        <v>0</v>
      </c>
      <c r="AS150" s="102" t="s">
        <v>853</v>
      </c>
      <c r="AT150" s="102">
        <v>0</v>
      </c>
      <c r="AU150" s="102"/>
      <c r="AV150" s="102">
        <v>0</v>
      </c>
      <c r="AW150" s="102">
        <v>1</v>
      </c>
      <c r="AX150" s="102">
        <v>2</v>
      </c>
      <c r="AY150" s="102" t="s">
        <v>1845</v>
      </c>
      <c r="AZ150" s="102">
        <v>4</v>
      </c>
      <c r="BA150" s="102">
        <v>0</v>
      </c>
      <c r="BB150" s="102">
        <v>1</v>
      </c>
      <c r="BC150" s="102">
        <v>3</v>
      </c>
      <c r="BD150" s="102" t="s">
        <v>1123</v>
      </c>
      <c r="BE150" s="102">
        <v>1</v>
      </c>
      <c r="BF150" s="102">
        <v>0</v>
      </c>
      <c r="BG150" s="102">
        <v>1</v>
      </c>
      <c r="BH150" s="102">
        <v>3</v>
      </c>
      <c r="BI150" s="102">
        <v>1</v>
      </c>
      <c r="BJ150" s="102">
        <v>1</v>
      </c>
      <c r="BK150" s="102">
        <v>0</v>
      </c>
      <c r="BL150" s="102">
        <v>0</v>
      </c>
      <c r="BM150" s="102">
        <v>1</v>
      </c>
      <c r="BN150" s="102">
        <v>0</v>
      </c>
      <c r="BO150" s="102">
        <v>0</v>
      </c>
      <c r="BP150" s="102">
        <v>1</v>
      </c>
      <c r="BQ150" s="102">
        <v>1</v>
      </c>
      <c r="BR150" s="102">
        <v>0</v>
      </c>
      <c r="BS150" s="102">
        <v>0</v>
      </c>
      <c r="BT150" s="102">
        <v>0</v>
      </c>
      <c r="BU150" s="102">
        <v>0</v>
      </c>
      <c r="BV150" s="102">
        <v>1</v>
      </c>
      <c r="BW150" s="102">
        <v>0</v>
      </c>
      <c r="BX150" s="102">
        <v>0</v>
      </c>
      <c r="BY150" s="102">
        <v>1</v>
      </c>
      <c r="BZ150" s="102">
        <v>0</v>
      </c>
      <c r="CA150" s="102" t="s">
        <v>964</v>
      </c>
      <c r="CB150" s="102">
        <v>1</v>
      </c>
      <c r="CC150" s="102">
        <v>3</v>
      </c>
      <c r="CD150" s="102" t="s">
        <v>1846</v>
      </c>
      <c r="CE150" s="102">
        <v>1</v>
      </c>
      <c r="CF150" s="102">
        <v>0</v>
      </c>
      <c r="CG150" s="102">
        <v>0</v>
      </c>
      <c r="CH150" s="102">
        <v>1</v>
      </c>
      <c r="CI150" s="102">
        <v>1</v>
      </c>
      <c r="CJ150" s="102">
        <v>1</v>
      </c>
      <c r="CK150" s="102">
        <v>1</v>
      </c>
      <c r="CL150" s="102">
        <v>0</v>
      </c>
      <c r="CM150" s="102">
        <v>0</v>
      </c>
      <c r="CN150" s="102">
        <v>1</v>
      </c>
      <c r="CO150" s="102">
        <v>1</v>
      </c>
      <c r="CP150" s="102">
        <v>2</v>
      </c>
      <c r="CQ150" s="102">
        <v>1</v>
      </c>
      <c r="CR150" s="102">
        <v>2</v>
      </c>
      <c r="CS150" s="102">
        <v>1</v>
      </c>
      <c r="CT150" s="102" t="s">
        <v>1847</v>
      </c>
      <c r="CU150" s="102">
        <v>1</v>
      </c>
      <c r="CV150" s="102">
        <v>1</v>
      </c>
      <c r="CW150" s="102">
        <v>0</v>
      </c>
      <c r="CX150" s="102">
        <v>1</v>
      </c>
      <c r="CY150" s="102" t="s">
        <v>937</v>
      </c>
      <c r="CZ150" s="102">
        <v>1</v>
      </c>
      <c r="DA150" s="102" t="s">
        <v>1848</v>
      </c>
      <c r="DB150" s="102">
        <v>0</v>
      </c>
      <c r="DC150" s="102">
        <v>2</v>
      </c>
      <c r="DD150" s="102">
        <v>0</v>
      </c>
      <c r="DE150" s="102">
        <v>0</v>
      </c>
      <c r="DF150" s="102">
        <v>0</v>
      </c>
      <c r="DG150" s="102">
        <v>0</v>
      </c>
      <c r="DH150" s="102">
        <v>0</v>
      </c>
      <c r="DI150" s="102">
        <v>0</v>
      </c>
      <c r="DJ150" s="102">
        <v>0</v>
      </c>
      <c r="DK150" s="102">
        <v>0</v>
      </c>
      <c r="DL150" s="102">
        <v>0</v>
      </c>
      <c r="DM150" s="102">
        <v>0</v>
      </c>
      <c r="DN150" s="102">
        <v>0</v>
      </c>
      <c r="DO150" s="102">
        <v>1</v>
      </c>
      <c r="DP150" s="102">
        <v>0</v>
      </c>
      <c r="DQ150" s="102">
        <v>1</v>
      </c>
      <c r="DR150" s="102">
        <v>0</v>
      </c>
      <c r="DS150" s="102" t="s">
        <v>853</v>
      </c>
      <c r="DT150" s="105" t="s">
        <v>853</v>
      </c>
      <c r="DU150" s="102" t="s">
        <v>853</v>
      </c>
      <c r="DV150" s="102">
        <v>1</v>
      </c>
      <c r="DW150" s="102">
        <v>1</v>
      </c>
      <c r="DX150" s="102" t="s">
        <v>1849</v>
      </c>
      <c r="DY150" s="102">
        <v>0</v>
      </c>
      <c r="DZ150" s="102">
        <v>0</v>
      </c>
      <c r="EA150" s="102" t="s">
        <v>853</v>
      </c>
      <c r="EB150" s="102">
        <v>0</v>
      </c>
      <c r="EC150" s="102">
        <v>0</v>
      </c>
      <c r="ED150" s="102">
        <v>1</v>
      </c>
      <c r="EE150" s="102">
        <v>1</v>
      </c>
      <c r="EF150" s="102">
        <v>1</v>
      </c>
      <c r="EG150" s="102">
        <v>0</v>
      </c>
      <c r="EH150" s="102" t="s">
        <v>853</v>
      </c>
      <c r="EI150" s="102">
        <v>3</v>
      </c>
      <c r="EJ150" s="102">
        <v>0</v>
      </c>
      <c r="EK150" s="102">
        <v>2</v>
      </c>
      <c r="EL150" s="102">
        <v>0</v>
      </c>
      <c r="EM150" s="102"/>
    </row>
    <row r="151" spans="1:143" ht="15.75" customHeight="1" x14ac:dyDescent="0.55000000000000004">
      <c r="A151" s="99">
        <v>150</v>
      </c>
      <c r="B151" s="102" t="s">
        <v>1850</v>
      </c>
      <c r="C151" s="102" t="s">
        <v>1851</v>
      </c>
      <c r="D151" s="103">
        <v>42741</v>
      </c>
      <c r="E151" s="102" t="s">
        <v>959</v>
      </c>
      <c r="F151" s="102">
        <v>6</v>
      </c>
      <c r="G151" s="102">
        <v>1</v>
      </c>
      <c r="H151" s="102">
        <v>2017</v>
      </c>
      <c r="I151" s="102" t="s">
        <v>1852</v>
      </c>
      <c r="J151" s="102" t="s">
        <v>1853</v>
      </c>
      <c r="K151" s="102" t="s">
        <v>1022</v>
      </c>
      <c r="L151" s="102">
        <v>9</v>
      </c>
      <c r="M151" s="102">
        <v>0</v>
      </c>
      <c r="N151" s="102">
        <v>0</v>
      </c>
      <c r="O151" s="102">
        <v>4</v>
      </c>
      <c r="P151" s="102">
        <v>0</v>
      </c>
      <c r="Q151" s="104">
        <v>0</v>
      </c>
      <c r="R151" s="102">
        <v>0</v>
      </c>
      <c r="S151" s="102" t="s">
        <v>853</v>
      </c>
      <c r="T151" s="102">
        <v>1</v>
      </c>
      <c r="U151" s="102">
        <v>1</v>
      </c>
      <c r="V151" s="102">
        <v>5</v>
      </c>
      <c r="W151" s="102">
        <v>43</v>
      </c>
      <c r="X151" s="102">
        <v>0</v>
      </c>
      <c r="Y151" s="102">
        <v>0</v>
      </c>
      <c r="Z151" s="102">
        <v>0</v>
      </c>
      <c r="AA151" s="102">
        <v>26</v>
      </c>
      <c r="AB151" s="102">
        <v>0</v>
      </c>
      <c r="AC151" s="102">
        <v>2</v>
      </c>
      <c r="AD151" s="102">
        <v>0</v>
      </c>
      <c r="AE151" s="102">
        <v>0</v>
      </c>
      <c r="AF151" s="102">
        <v>1</v>
      </c>
      <c r="AG151" s="102">
        <v>2</v>
      </c>
      <c r="AH151" s="102"/>
      <c r="AI151" s="102"/>
      <c r="AJ151" s="102">
        <v>3</v>
      </c>
      <c r="AK151" s="102">
        <v>5</v>
      </c>
      <c r="AL151" s="102">
        <v>5</v>
      </c>
      <c r="AM151" s="102">
        <v>0</v>
      </c>
      <c r="AN151" s="102">
        <v>1</v>
      </c>
      <c r="AO151" s="102">
        <v>1</v>
      </c>
      <c r="AP151" s="102">
        <v>0</v>
      </c>
      <c r="AQ151" s="102">
        <v>0</v>
      </c>
      <c r="AR151" s="102">
        <v>1</v>
      </c>
      <c r="AS151" s="102">
        <v>5</v>
      </c>
      <c r="AT151" s="102">
        <v>0</v>
      </c>
      <c r="AU151" s="102"/>
      <c r="AV151" s="102">
        <v>1</v>
      </c>
      <c r="AW151" s="102">
        <v>1</v>
      </c>
      <c r="AX151" s="102">
        <v>0</v>
      </c>
      <c r="AY151" s="102" t="s">
        <v>1092</v>
      </c>
      <c r="AZ151" s="102">
        <v>4</v>
      </c>
      <c r="BA151" s="102">
        <v>0</v>
      </c>
      <c r="BB151" s="102">
        <v>0</v>
      </c>
      <c r="BC151" s="102">
        <v>1</v>
      </c>
      <c r="BD151" s="102">
        <v>1</v>
      </c>
      <c r="BE151" s="102">
        <v>1</v>
      </c>
      <c r="BF151" s="102">
        <v>0</v>
      </c>
      <c r="BG151" s="102">
        <v>0</v>
      </c>
      <c r="BH151" s="102">
        <v>0</v>
      </c>
      <c r="BI151" s="102">
        <v>1</v>
      </c>
      <c r="BJ151" s="102">
        <v>0</v>
      </c>
      <c r="BK151" s="102">
        <v>0</v>
      </c>
      <c r="BL151" s="102">
        <v>0</v>
      </c>
      <c r="BM151" s="102">
        <v>0</v>
      </c>
      <c r="BN151" s="102">
        <v>0</v>
      </c>
      <c r="BO151" s="102">
        <v>0</v>
      </c>
      <c r="BP151" s="102">
        <v>0</v>
      </c>
      <c r="BQ151" s="102">
        <v>0</v>
      </c>
      <c r="BR151" s="102">
        <v>0</v>
      </c>
      <c r="BS151" s="102">
        <v>0</v>
      </c>
      <c r="BT151" s="102">
        <v>0</v>
      </c>
      <c r="BU151" s="102">
        <v>0</v>
      </c>
      <c r="BV151" s="102">
        <v>0</v>
      </c>
      <c r="BW151" s="102">
        <v>0</v>
      </c>
      <c r="BX151" s="102">
        <v>0</v>
      </c>
      <c r="BY151" s="102">
        <v>0</v>
      </c>
      <c r="BZ151" s="102">
        <v>4</v>
      </c>
      <c r="CA151" s="102" t="s">
        <v>904</v>
      </c>
      <c r="CB151" s="102">
        <v>1</v>
      </c>
      <c r="CC151" s="102">
        <v>2</v>
      </c>
      <c r="CD151" s="102" t="s">
        <v>1854</v>
      </c>
      <c r="CE151" s="102">
        <v>0</v>
      </c>
      <c r="CF151" s="102">
        <v>0</v>
      </c>
      <c r="CG151" s="102">
        <v>0</v>
      </c>
      <c r="CH151" s="102">
        <v>0</v>
      </c>
      <c r="CI151" s="102">
        <v>0</v>
      </c>
      <c r="CJ151" s="102">
        <v>0</v>
      </c>
      <c r="CK151" s="102">
        <v>0</v>
      </c>
      <c r="CL151" s="102">
        <v>1</v>
      </c>
      <c r="CM151" s="102">
        <v>1</v>
      </c>
      <c r="CN151" s="102">
        <v>0</v>
      </c>
      <c r="CO151" s="102">
        <v>1</v>
      </c>
      <c r="CP151" s="102">
        <v>2</v>
      </c>
      <c r="CQ151" s="102">
        <v>1</v>
      </c>
      <c r="CR151" s="102">
        <v>1</v>
      </c>
      <c r="CS151" s="102">
        <v>0</v>
      </c>
      <c r="CT151" s="102" t="s">
        <v>853</v>
      </c>
      <c r="CU151" s="102">
        <v>1</v>
      </c>
      <c r="CV151" s="102">
        <v>2</v>
      </c>
      <c r="CW151" s="102">
        <v>0</v>
      </c>
      <c r="CX151" s="102">
        <v>0</v>
      </c>
      <c r="CY151" s="102">
        <v>0</v>
      </c>
      <c r="CZ151" s="102">
        <v>0</v>
      </c>
      <c r="DA151" s="102" t="s">
        <v>853</v>
      </c>
      <c r="DB151" s="102">
        <v>0</v>
      </c>
      <c r="DC151" s="102">
        <v>0</v>
      </c>
      <c r="DD151" s="102">
        <v>0</v>
      </c>
      <c r="DE151" s="102">
        <v>0</v>
      </c>
      <c r="DF151" s="102">
        <v>0</v>
      </c>
      <c r="DG151" s="102">
        <v>0</v>
      </c>
      <c r="DH151" s="102">
        <v>0</v>
      </c>
      <c r="DI151" s="102">
        <v>0</v>
      </c>
      <c r="DJ151" s="102">
        <v>0</v>
      </c>
      <c r="DK151" s="102">
        <v>0</v>
      </c>
      <c r="DL151" s="102">
        <v>0</v>
      </c>
      <c r="DM151" s="102">
        <v>0</v>
      </c>
      <c r="DN151" s="102">
        <v>0</v>
      </c>
      <c r="DO151" s="102">
        <v>1</v>
      </c>
      <c r="DP151" s="102">
        <v>3</v>
      </c>
      <c r="DQ151" s="102">
        <v>1</v>
      </c>
      <c r="DR151" s="102">
        <v>0</v>
      </c>
      <c r="DS151" s="102" t="s">
        <v>853</v>
      </c>
      <c r="DT151" s="105" t="s">
        <v>853</v>
      </c>
      <c r="DU151" s="102" t="s">
        <v>853</v>
      </c>
      <c r="DV151" s="102">
        <v>0</v>
      </c>
      <c r="DW151" s="102">
        <v>0</v>
      </c>
      <c r="DX151" s="102" t="s">
        <v>853</v>
      </c>
      <c r="DY151" s="102">
        <v>0</v>
      </c>
      <c r="DZ151" s="102">
        <v>0</v>
      </c>
      <c r="EA151" s="102" t="s">
        <v>853</v>
      </c>
      <c r="EB151" s="102">
        <v>1</v>
      </c>
      <c r="EC151" s="102">
        <v>0</v>
      </c>
      <c r="ED151" s="102">
        <v>0</v>
      </c>
      <c r="EE151" s="102">
        <v>3</v>
      </c>
      <c r="EF151" s="102">
        <v>1</v>
      </c>
      <c r="EG151" s="102">
        <v>0</v>
      </c>
      <c r="EH151" s="102" t="s">
        <v>853</v>
      </c>
      <c r="EI151" s="102">
        <v>2</v>
      </c>
      <c r="EJ151" s="102">
        <v>0</v>
      </c>
      <c r="EK151" s="102">
        <v>0</v>
      </c>
      <c r="EL151" s="102">
        <v>3</v>
      </c>
      <c r="EM151" s="102"/>
    </row>
    <row r="152" spans="1:143" ht="15.75" customHeight="1" x14ac:dyDescent="0.55000000000000004">
      <c r="A152" s="99">
        <v>151</v>
      </c>
      <c r="B152" s="102" t="s">
        <v>1855</v>
      </c>
      <c r="C152" s="102" t="s">
        <v>1856</v>
      </c>
      <c r="D152" s="103">
        <v>42772</v>
      </c>
      <c r="E152" s="102" t="s">
        <v>846</v>
      </c>
      <c r="F152" s="102">
        <v>6</v>
      </c>
      <c r="G152" s="102">
        <v>2</v>
      </c>
      <c r="H152" s="102">
        <v>2017</v>
      </c>
      <c r="I152" s="102" t="s">
        <v>1857</v>
      </c>
      <c r="J152" s="102" t="s">
        <v>1858</v>
      </c>
      <c r="K152" s="102" t="s">
        <v>1276</v>
      </c>
      <c r="L152" s="102">
        <v>24</v>
      </c>
      <c r="M152" s="102">
        <v>0</v>
      </c>
      <c r="N152" s="102">
        <v>2</v>
      </c>
      <c r="O152" s="102">
        <v>5</v>
      </c>
      <c r="P152" s="102">
        <v>0</v>
      </c>
      <c r="Q152" s="104">
        <v>0</v>
      </c>
      <c r="R152" s="102">
        <v>0</v>
      </c>
      <c r="S152" s="102" t="s">
        <v>853</v>
      </c>
      <c r="T152" s="102">
        <v>0</v>
      </c>
      <c r="U152" s="102">
        <v>0</v>
      </c>
      <c r="V152" s="102">
        <v>4</v>
      </c>
      <c r="W152" s="102">
        <v>0</v>
      </c>
      <c r="X152" s="102">
        <v>0</v>
      </c>
      <c r="Y152" s="102">
        <v>0</v>
      </c>
      <c r="Z152" s="102">
        <v>0</v>
      </c>
      <c r="AA152" s="102">
        <v>27</v>
      </c>
      <c r="AB152" s="102">
        <v>0</v>
      </c>
      <c r="AC152" s="102">
        <v>1</v>
      </c>
      <c r="AD152" s="102">
        <v>0</v>
      </c>
      <c r="AE152" s="102">
        <v>0</v>
      </c>
      <c r="AF152" s="102"/>
      <c r="AG152" s="102"/>
      <c r="AH152" s="102"/>
      <c r="AI152" s="102"/>
      <c r="AJ152" s="102"/>
      <c r="AK152" s="102"/>
      <c r="AL152" s="102"/>
      <c r="AM152" s="102"/>
      <c r="AN152" s="102">
        <v>1</v>
      </c>
      <c r="AO152" s="102"/>
      <c r="AP152" s="102"/>
      <c r="AQ152" s="102"/>
      <c r="AR152" s="102">
        <v>0</v>
      </c>
      <c r="AS152" s="102" t="s">
        <v>853</v>
      </c>
      <c r="AT152" s="102"/>
      <c r="AU152" s="102"/>
      <c r="AV152" s="102">
        <v>0</v>
      </c>
      <c r="AW152" s="102">
        <v>1</v>
      </c>
      <c r="AX152" s="102">
        <v>1</v>
      </c>
      <c r="AY152" s="102">
        <v>0</v>
      </c>
      <c r="AZ152" s="102">
        <v>3</v>
      </c>
      <c r="BA152" s="102">
        <v>1</v>
      </c>
      <c r="BB152" s="102">
        <v>0</v>
      </c>
      <c r="BC152" s="102">
        <v>0</v>
      </c>
      <c r="BD152" s="102">
        <v>0</v>
      </c>
      <c r="BE152" s="102">
        <v>0</v>
      </c>
      <c r="BF152" s="102">
        <v>0</v>
      </c>
      <c r="BG152" s="102">
        <v>0</v>
      </c>
      <c r="BH152" s="102">
        <v>0</v>
      </c>
      <c r="BI152" s="102">
        <v>0</v>
      </c>
      <c r="BJ152" s="102">
        <v>0</v>
      </c>
      <c r="BK152" s="102">
        <v>0</v>
      </c>
      <c r="BL152" s="102">
        <v>0</v>
      </c>
      <c r="BM152" s="102">
        <v>0</v>
      </c>
      <c r="BN152" s="102">
        <v>0</v>
      </c>
      <c r="BO152" s="102">
        <v>0</v>
      </c>
      <c r="BP152" s="102">
        <v>0</v>
      </c>
      <c r="BQ152" s="102">
        <v>0</v>
      </c>
      <c r="BR152" s="102">
        <v>0</v>
      </c>
      <c r="BS152" s="102">
        <v>0</v>
      </c>
      <c r="BT152" s="102">
        <v>0</v>
      </c>
      <c r="BU152" s="102"/>
      <c r="BV152" s="102">
        <v>0</v>
      </c>
      <c r="BW152" s="102">
        <v>0</v>
      </c>
      <c r="BX152" s="102">
        <v>0</v>
      </c>
      <c r="BY152" s="102">
        <v>0</v>
      </c>
      <c r="BZ152" s="102">
        <v>0</v>
      </c>
      <c r="CA152" s="102">
        <v>0</v>
      </c>
      <c r="CB152" s="102">
        <v>0</v>
      </c>
      <c r="CC152" s="102" t="s">
        <v>853</v>
      </c>
      <c r="CD152" s="102"/>
      <c r="CE152" s="102">
        <v>0</v>
      </c>
      <c r="CF152" s="102">
        <v>0</v>
      </c>
      <c r="CG152" s="102">
        <v>0</v>
      </c>
      <c r="CH152" s="102">
        <v>0</v>
      </c>
      <c r="CI152" s="102">
        <v>0</v>
      </c>
      <c r="CJ152" s="102">
        <v>0</v>
      </c>
      <c r="CK152" s="102">
        <v>0</v>
      </c>
      <c r="CL152" s="102">
        <v>0</v>
      </c>
      <c r="CM152" s="102">
        <v>0</v>
      </c>
      <c r="CN152" s="102">
        <v>0</v>
      </c>
      <c r="CO152" s="102">
        <v>0</v>
      </c>
      <c r="CP152" s="102">
        <v>0</v>
      </c>
      <c r="CQ152" s="102">
        <v>0</v>
      </c>
      <c r="CR152" s="102">
        <v>0</v>
      </c>
      <c r="CS152" s="102">
        <v>0</v>
      </c>
      <c r="CT152" s="102" t="s">
        <v>853</v>
      </c>
      <c r="CU152" s="102">
        <v>0</v>
      </c>
      <c r="CV152" s="102">
        <v>0</v>
      </c>
      <c r="CW152" s="102">
        <v>0</v>
      </c>
      <c r="CX152" s="102">
        <v>0</v>
      </c>
      <c r="CY152" s="102">
        <v>0</v>
      </c>
      <c r="CZ152" s="102">
        <v>0</v>
      </c>
      <c r="DA152" s="102" t="s">
        <v>853</v>
      </c>
      <c r="DB152" s="102">
        <v>0</v>
      </c>
      <c r="DC152" s="102">
        <v>0</v>
      </c>
      <c r="DD152" s="102">
        <v>0</v>
      </c>
      <c r="DE152" s="102">
        <v>0</v>
      </c>
      <c r="DF152" s="102">
        <v>0</v>
      </c>
      <c r="DG152" s="102">
        <v>0</v>
      </c>
      <c r="DH152" s="102">
        <v>0</v>
      </c>
      <c r="DI152" s="102">
        <v>0</v>
      </c>
      <c r="DJ152" s="102">
        <v>0</v>
      </c>
      <c r="DK152" s="102">
        <v>0</v>
      </c>
      <c r="DL152" s="102">
        <v>1</v>
      </c>
      <c r="DM152" s="102">
        <v>0</v>
      </c>
      <c r="DN152" s="102">
        <v>0</v>
      </c>
      <c r="DO152" s="102">
        <v>0</v>
      </c>
      <c r="DP152" s="102">
        <v>0</v>
      </c>
      <c r="DQ152" s="102">
        <v>0</v>
      </c>
      <c r="DR152" s="102">
        <v>0</v>
      </c>
      <c r="DS152" s="102" t="s">
        <v>853</v>
      </c>
      <c r="DT152" s="105" t="s">
        <v>853</v>
      </c>
      <c r="DU152" s="102" t="s">
        <v>853</v>
      </c>
      <c r="DV152" s="102">
        <v>0</v>
      </c>
      <c r="DW152" s="102">
        <v>1</v>
      </c>
      <c r="DX152" s="102" t="s">
        <v>1859</v>
      </c>
      <c r="DY152" s="102">
        <v>0</v>
      </c>
      <c r="DZ152" s="102">
        <v>0</v>
      </c>
      <c r="EA152" s="102" t="s">
        <v>853</v>
      </c>
      <c r="EB152" s="102">
        <v>0</v>
      </c>
      <c r="EC152" s="102">
        <v>0</v>
      </c>
      <c r="ED152" s="102">
        <v>0</v>
      </c>
      <c r="EE152" s="102">
        <v>1</v>
      </c>
      <c r="EF152" s="102">
        <v>1</v>
      </c>
      <c r="EG152" s="102">
        <v>0</v>
      </c>
      <c r="EH152" s="102" t="s">
        <v>853</v>
      </c>
      <c r="EI152" s="102">
        <v>2</v>
      </c>
      <c r="EJ152" s="102">
        <v>1</v>
      </c>
      <c r="EK152" s="102">
        <v>3</v>
      </c>
      <c r="EL152" s="102">
        <v>2</v>
      </c>
      <c r="EM152" s="102"/>
    </row>
    <row r="153" spans="1:143" ht="15.75" customHeight="1" x14ac:dyDescent="0.55000000000000004">
      <c r="A153" s="99">
        <v>152</v>
      </c>
      <c r="B153" s="102" t="s">
        <v>1467</v>
      </c>
      <c r="C153" s="102" t="s">
        <v>1860</v>
      </c>
      <c r="D153" s="103">
        <v>42816</v>
      </c>
      <c r="E153" s="102" t="s">
        <v>891</v>
      </c>
      <c r="F153" s="102">
        <v>22</v>
      </c>
      <c r="G153" s="102">
        <v>3</v>
      </c>
      <c r="H153" s="102">
        <v>2017</v>
      </c>
      <c r="I153" s="102" t="s">
        <v>1861</v>
      </c>
      <c r="J153" s="102" t="s">
        <v>1862</v>
      </c>
      <c r="K153" s="102" t="s">
        <v>1471</v>
      </c>
      <c r="L153" s="102">
        <v>49</v>
      </c>
      <c r="M153" s="102">
        <v>1</v>
      </c>
      <c r="N153" s="102">
        <v>1</v>
      </c>
      <c r="O153" s="102">
        <v>4</v>
      </c>
      <c r="P153" s="102">
        <v>0</v>
      </c>
      <c r="Q153" s="104">
        <v>0</v>
      </c>
      <c r="R153" s="102">
        <v>1</v>
      </c>
      <c r="S153" s="102">
        <v>7</v>
      </c>
      <c r="T153" s="102">
        <v>0</v>
      </c>
      <c r="U153" s="102">
        <v>0</v>
      </c>
      <c r="V153" s="102">
        <v>4</v>
      </c>
      <c r="W153" s="102">
        <v>0</v>
      </c>
      <c r="X153" s="102">
        <v>0</v>
      </c>
      <c r="Y153" s="102">
        <v>0</v>
      </c>
      <c r="Z153" s="102">
        <v>1</v>
      </c>
      <c r="AA153" s="102">
        <v>45</v>
      </c>
      <c r="AB153" s="102">
        <v>0</v>
      </c>
      <c r="AC153" s="102">
        <v>3</v>
      </c>
      <c r="AD153" s="102">
        <v>1</v>
      </c>
      <c r="AE153" s="102">
        <v>0</v>
      </c>
      <c r="AF153" s="102">
        <v>4</v>
      </c>
      <c r="AG153" s="102"/>
      <c r="AH153" s="102"/>
      <c r="AI153" s="102"/>
      <c r="AJ153" s="102">
        <v>3</v>
      </c>
      <c r="AK153" s="102">
        <v>1</v>
      </c>
      <c r="AL153" s="102">
        <v>1</v>
      </c>
      <c r="AM153" s="102">
        <v>0</v>
      </c>
      <c r="AN153" s="102">
        <v>3</v>
      </c>
      <c r="AO153" s="102">
        <v>1</v>
      </c>
      <c r="AP153" s="102">
        <v>1</v>
      </c>
      <c r="AQ153" s="102">
        <v>0</v>
      </c>
      <c r="AR153" s="102">
        <v>0</v>
      </c>
      <c r="AS153" s="102" t="s">
        <v>853</v>
      </c>
      <c r="AT153" s="102">
        <v>1</v>
      </c>
      <c r="AU153" s="102" t="s">
        <v>1863</v>
      </c>
      <c r="AV153" s="102">
        <v>1</v>
      </c>
      <c r="AW153" s="102">
        <v>0</v>
      </c>
      <c r="AX153" s="102">
        <v>0</v>
      </c>
      <c r="AY153" s="102">
        <v>0</v>
      </c>
      <c r="AZ153" s="102">
        <v>0</v>
      </c>
      <c r="BA153" s="102">
        <v>0</v>
      </c>
      <c r="BB153" s="102">
        <v>0</v>
      </c>
      <c r="BC153" s="102">
        <v>3</v>
      </c>
      <c r="BD153" s="102" t="s">
        <v>954</v>
      </c>
      <c r="BE153" s="102">
        <v>0</v>
      </c>
      <c r="BF153" s="102">
        <v>0</v>
      </c>
      <c r="BG153" s="102">
        <v>0</v>
      </c>
      <c r="BH153" s="102">
        <v>0</v>
      </c>
      <c r="BI153" s="102">
        <v>0</v>
      </c>
      <c r="BJ153" s="102">
        <v>0</v>
      </c>
      <c r="BK153" s="102">
        <v>0</v>
      </c>
      <c r="BL153" s="102">
        <v>0</v>
      </c>
      <c r="BM153" s="102">
        <v>0</v>
      </c>
      <c r="BN153" s="102">
        <v>0</v>
      </c>
      <c r="BO153" s="102">
        <v>0</v>
      </c>
      <c r="BP153" s="102">
        <v>0</v>
      </c>
      <c r="BQ153" s="102">
        <v>0</v>
      </c>
      <c r="BR153" s="102">
        <v>0</v>
      </c>
      <c r="BS153" s="102">
        <v>0</v>
      </c>
      <c r="BT153" s="102">
        <v>0</v>
      </c>
      <c r="BU153" s="102">
        <v>0</v>
      </c>
      <c r="BV153" s="102">
        <v>0</v>
      </c>
      <c r="BW153" s="102">
        <v>0</v>
      </c>
      <c r="BX153" s="102">
        <v>0</v>
      </c>
      <c r="BY153" s="102">
        <v>0</v>
      </c>
      <c r="BZ153" s="102">
        <v>0</v>
      </c>
      <c r="CA153" s="102" t="s">
        <v>1637</v>
      </c>
      <c r="CB153" s="102">
        <v>1</v>
      </c>
      <c r="CC153" s="102">
        <v>2</v>
      </c>
      <c r="CD153" s="102" t="s">
        <v>1864</v>
      </c>
      <c r="CE153" s="102">
        <v>0</v>
      </c>
      <c r="CF153" s="102">
        <v>0</v>
      </c>
      <c r="CG153" s="102">
        <v>0</v>
      </c>
      <c r="CH153" s="102">
        <v>1</v>
      </c>
      <c r="CI153" s="102">
        <v>1</v>
      </c>
      <c r="CJ153" s="102">
        <v>1</v>
      </c>
      <c r="CK153" s="102">
        <v>0</v>
      </c>
      <c r="CL153" s="102">
        <v>0</v>
      </c>
      <c r="CM153" s="102">
        <v>0</v>
      </c>
      <c r="CN153" s="102">
        <v>2</v>
      </c>
      <c r="CO153" s="102">
        <v>0</v>
      </c>
      <c r="CP153" s="102">
        <v>0</v>
      </c>
      <c r="CQ153" s="102">
        <v>1</v>
      </c>
      <c r="CR153" s="102">
        <v>2</v>
      </c>
      <c r="CS153" s="102">
        <v>0</v>
      </c>
      <c r="CT153" s="102" t="s">
        <v>853</v>
      </c>
      <c r="CU153" s="102">
        <v>0</v>
      </c>
      <c r="CV153" s="102">
        <v>4</v>
      </c>
      <c r="CW153" s="102">
        <v>0</v>
      </c>
      <c r="CX153" s="102">
        <v>0</v>
      </c>
      <c r="CY153" s="102">
        <v>1</v>
      </c>
      <c r="CZ153" s="102">
        <v>0</v>
      </c>
      <c r="DA153" s="102" t="s">
        <v>853</v>
      </c>
      <c r="DB153" s="102">
        <v>0</v>
      </c>
      <c r="DC153" s="102">
        <v>2</v>
      </c>
      <c r="DD153" s="102">
        <v>0</v>
      </c>
      <c r="DE153" s="102">
        <v>0</v>
      </c>
      <c r="DF153" s="102">
        <v>0</v>
      </c>
      <c r="DG153" s="102">
        <v>0</v>
      </c>
      <c r="DH153" s="102">
        <v>0</v>
      </c>
      <c r="DI153" s="102">
        <v>1</v>
      </c>
      <c r="DJ153" s="102">
        <v>1</v>
      </c>
      <c r="DK153" s="102">
        <v>1</v>
      </c>
      <c r="DL153" s="102">
        <v>0</v>
      </c>
      <c r="DM153" s="102">
        <v>0</v>
      </c>
      <c r="DN153" s="102">
        <v>0</v>
      </c>
      <c r="DO153" s="102">
        <v>0</v>
      </c>
      <c r="DP153" s="102">
        <v>0</v>
      </c>
      <c r="DQ153" s="102">
        <v>0</v>
      </c>
      <c r="DR153" s="102">
        <v>1</v>
      </c>
      <c r="DS153" s="102">
        <v>0</v>
      </c>
      <c r="DT153" s="105" t="s">
        <v>1067</v>
      </c>
      <c r="DU153" s="102">
        <v>0</v>
      </c>
      <c r="DV153" s="102">
        <v>0</v>
      </c>
      <c r="DW153" s="102">
        <v>0</v>
      </c>
      <c r="DX153" s="102" t="s">
        <v>853</v>
      </c>
      <c r="DY153" s="102">
        <v>0</v>
      </c>
      <c r="DZ153" s="102">
        <v>0</v>
      </c>
      <c r="EA153" s="102" t="s">
        <v>853</v>
      </c>
      <c r="EB153" s="102">
        <v>0</v>
      </c>
      <c r="EC153" s="102">
        <v>0</v>
      </c>
      <c r="ED153" s="102">
        <v>1</v>
      </c>
      <c r="EE153" s="102">
        <v>3</v>
      </c>
      <c r="EF153" s="102">
        <v>2</v>
      </c>
      <c r="EG153" s="102">
        <v>0</v>
      </c>
      <c r="EH153" s="102" t="s">
        <v>853</v>
      </c>
      <c r="EI153" s="102">
        <v>1</v>
      </c>
      <c r="EJ153" s="102">
        <v>0</v>
      </c>
      <c r="EK153" s="102">
        <v>2</v>
      </c>
      <c r="EL153" s="102">
        <v>0</v>
      </c>
      <c r="EM153" s="102"/>
    </row>
    <row r="154" spans="1:143" ht="15.75" customHeight="1" x14ac:dyDescent="0.55000000000000004">
      <c r="A154" s="99">
        <v>153</v>
      </c>
      <c r="B154" s="102" t="s">
        <v>1865</v>
      </c>
      <c r="C154" s="102" t="s">
        <v>1014</v>
      </c>
      <c r="D154" s="103">
        <v>42891</v>
      </c>
      <c r="E154" s="102" t="s">
        <v>846</v>
      </c>
      <c r="F154" s="102">
        <v>5</v>
      </c>
      <c r="G154" s="102">
        <v>6</v>
      </c>
      <c r="H154" s="102">
        <v>2017</v>
      </c>
      <c r="I154" s="102" t="s">
        <v>1866</v>
      </c>
      <c r="J154" s="102" t="s">
        <v>1830</v>
      </c>
      <c r="K154" s="102" t="s">
        <v>1022</v>
      </c>
      <c r="L154" s="102">
        <v>9</v>
      </c>
      <c r="M154" s="102">
        <v>0</v>
      </c>
      <c r="N154" s="102">
        <v>0</v>
      </c>
      <c r="O154" s="106">
        <v>9</v>
      </c>
      <c r="P154" s="102">
        <v>1</v>
      </c>
      <c r="Q154" s="104">
        <v>1</v>
      </c>
      <c r="R154" s="102">
        <v>0</v>
      </c>
      <c r="S154" s="102" t="s">
        <v>853</v>
      </c>
      <c r="T154" s="102">
        <v>0</v>
      </c>
      <c r="U154" s="102">
        <v>0</v>
      </c>
      <c r="V154" s="102">
        <v>5</v>
      </c>
      <c r="W154" s="102">
        <v>0</v>
      </c>
      <c r="X154" s="102">
        <v>0</v>
      </c>
      <c r="Y154" s="102">
        <v>0</v>
      </c>
      <c r="Z154" s="102">
        <v>0</v>
      </c>
      <c r="AA154" s="102">
        <v>45</v>
      </c>
      <c r="AB154" s="102">
        <v>0</v>
      </c>
      <c r="AC154" s="102">
        <v>0</v>
      </c>
      <c r="AD154" s="102">
        <v>0</v>
      </c>
      <c r="AE154" s="102">
        <v>0</v>
      </c>
      <c r="AF154" s="102"/>
      <c r="AG154" s="102">
        <v>1</v>
      </c>
      <c r="AH154" s="102"/>
      <c r="AI154" s="102"/>
      <c r="AJ154" s="102"/>
      <c r="AK154" s="102">
        <v>1</v>
      </c>
      <c r="AL154" s="102"/>
      <c r="AM154" s="102"/>
      <c r="AN154" s="102">
        <v>0</v>
      </c>
      <c r="AO154" s="102">
        <v>0</v>
      </c>
      <c r="AP154" s="102">
        <v>0</v>
      </c>
      <c r="AQ154" s="102">
        <v>0</v>
      </c>
      <c r="AR154" s="102">
        <v>1</v>
      </c>
      <c r="AS154" s="102">
        <v>0</v>
      </c>
      <c r="AT154" s="102">
        <v>0</v>
      </c>
      <c r="AU154" s="102"/>
      <c r="AV154" s="102">
        <v>0</v>
      </c>
      <c r="AW154" s="102">
        <v>1</v>
      </c>
      <c r="AX154" s="102">
        <v>0</v>
      </c>
      <c r="AY154" s="102" t="s">
        <v>1867</v>
      </c>
      <c r="AZ154" s="102">
        <v>4</v>
      </c>
      <c r="BA154" s="102">
        <v>1</v>
      </c>
      <c r="BB154" s="102">
        <v>0</v>
      </c>
      <c r="BC154" s="102">
        <v>0</v>
      </c>
      <c r="BD154" s="102">
        <v>0</v>
      </c>
      <c r="BE154" s="102">
        <v>0</v>
      </c>
      <c r="BF154" s="102">
        <v>0</v>
      </c>
      <c r="BG154" s="102">
        <v>0</v>
      </c>
      <c r="BH154" s="102">
        <v>0</v>
      </c>
      <c r="BI154" s="102">
        <v>0</v>
      </c>
      <c r="BJ154" s="102">
        <v>1</v>
      </c>
      <c r="BK154" s="102">
        <v>0</v>
      </c>
      <c r="BL154" s="102">
        <v>0</v>
      </c>
      <c r="BM154" s="102">
        <v>0</v>
      </c>
      <c r="BN154" s="102">
        <v>0</v>
      </c>
      <c r="BO154" s="102">
        <v>0</v>
      </c>
      <c r="BP154" s="102">
        <v>1</v>
      </c>
      <c r="BQ154" s="102">
        <v>0</v>
      </c>
      <c r="BR154" s="102">
        <v>0</v>
      </c>
      <c r="BS154" s="102">
        <v>1</v>
      </c>
      <c r="BT154" s="102">
        <v>0</v>
      </c>
      <c r="BU154" s="102"/>
      <c r="BV154" s="102">
        <v>0</v>
      </c>
      <c r="BW154" s="102">
        <v>0</v>
      </c>
      <c r="BX154" s="102">
        <v>0</v>
      </c>
      <c r="BY154" s="102">
        <v>0</v>
      </c>
      <c r="BZ154" s="102">
        <v>0</v>
      </c>
      <c r="CA154" s="102" t="s">
        <v>984</v>
      </c>
      <c r="CB154" s="102">
        <v>1</v>
      </c>
      <c r="CC154" s="102">
        <v>2</v>
      </c>
      <c r="CD154" s="102" t="s">
        <v>1868</v>
      </c>
      <c r="CE154" s="102">
        <v>0</v>
      </c>
      <c r="CF154" s="102">
        <v>1</v>
      </c>
      <c r="CG154" s="102">
        <v>0</v>
      </c>
      <c r="CH154" s="102">
        <v>0</v>
      </c>
      <c r="CI154" s="102">
        <v>1</v>
      </c>
      <c r="CJ154" s="102">
        <v>0</v>
      </c>
      <c r="CK154" s="102">
        <v>0</v>
      </c>
      <c r="CL154" s="102">
        <v>0</v>
      </c>
      <c r="CM154" s="102">
        <v>0</v>
      </c>
      <c r="CN154" s="102">
        <v>2</v>
      </c>
      <c r="CO154" s="102">
        <v>0</v>
      </c>
      <c r="CP154" s="102">
        <v>0</v>
      </c>
      <c r="CQ154" s="102">
        <v>0</v>
      </c>
      <c r="CR154" s="102">
        <v>0</v>
      </c>
      <c r="CS154" s="102">
        <v>0</v>
      </c>
      <c r="CT154" s="102" t="s">
        <v>853</v>
      </c>
      <c r="CU154" s="102">
        <v>0</v>
      </c>
      <c r="CV154" s="102">
        <v>4</v>
      </c>
      <c r="CW154" s="102">
        <v>0</v>
      </c>
      <c r="CX154" s="102">
        <v>0</v>
      </c>
      <c r="CY154" s="102" t="s">
        <v>937</v>
      </c>
      <c r="CZ154" s="102">
        <v>0</v>
      </c>
      <c r="DA154" s="102" t="s">
        <v>853</v>
      </c>
      <c r="DB154" s="102">
        <v>0</v>
      </c>
      <c r="DC154" s="102">
        <v>0</v>
      </c>
      <c r="DD154" s="102">
        <v>0</v>
      </c>
      <c r="DE154" s="102">
        <v>0</v>
      </c>
      <c r="DF154" s="102">
        <v>0</v>
      </c>
      <c r="DG154" s="102">
        <v>0</v>
      </c>
      <c r="DH154" s="102">
        <v>1</v>
      </c>
      <c r="DI154" s="102">
        <v>0</v>
      </c>
      <c r="DJ154" s="102">
        <v>0</v>
      </c>
      <c r="DK154" s="102">
        <v>0</v>
      </c>
      <c r="DL154" s="102">
        <v>1</v>
      </c>
      <c r="DM154" s="102">
        <v>0</v>
      </c>
      <c r="DN154" s="102">
        <v>0</v>
      </c>
      <c r="DO154" s="102">
        <v>0</v>
      </c>
      <c r="DP154" s="102">
        <v>0</v>
      </c>
      <c r="DQ154" s="102">
        <v>1</v>
      </c>
      <c r="DR154" s="102">
        <v>1</v>
      </c>
      <c r="DS154" s="102">
        <v>0</v>
      </c>
      <c r="DT154" s="105" t="s">
        <v>945</v>
      </c>
      <c r="DU154" s="102">
        <v>1</v>
      </c>
      <c r="DV154" s="102">
        <v>0</v>
      </c>
      <c r="DW154" s="102">
        <v>0</v>
      </c>
      <c r="DX154" s="102" t="s">
        <v>853</v>
      </c>
      <c r="DY154" s="102">
        <v>0</v>
      </c>
      <c r="DZ154" s="102">
        <v>0</v>
      </c>
      <c r="EA154" s="102" t="s">
        <v>853</v>
      </c>
      <c r="EB154" s="102">
        <v>0</v>
      </c>
      <c r="EC154" s="102">
        <v>0</v>
      </c>
      <c r="ED154" s="102">
        <v>0</v>
      </c>
      <c r="EE154" s="102">
        <v>3</v>
      </c>
      <c r="EF154" s="102">
        <v>1</v>
      </c>
      <c r="EG154" s="102">
        <v>1</v>
      </c>
      <c r="EH154" s="102" t="s">
        <v>1773</v>
      </c>
      <c r="EI154" s="102">
        <v>0</v>
      </c>
      <c r="EJ154" s="102">
        <v>0</v>
      </c>
      <c r="EK154" s="102">
        <v>2</v>
      </c>
      <c r="EL154" s="102">
        <v>0</v>
      </c>
      <c r="EM154" s="102"/>
    </row>
    <row r="155" spans="1:143" ht="15.75" customHeight="1" x14ac:dyDescent="0.55000000000000004">
      <c r="A155" s="99">
        <v>154</v>
      </c>
      <c r="B155" s="102" t="s">
        <v>1869</v>
      </c>
      <c r="C155" s="102" t="s">
        <v>1870</v>
      </c>
      <c r="D155" s="103">
        <v>43009</v>
      </c>
      <c r="E155" s="102" t="s">
        <v>914</v>
      </c>
      <c r="F155" s="102">
        <v>1</v>
      </c>
      <c r="G155" s="102">
        <v>10</v>
      </c>
      <c r="H155" s="102">
        <v>2017</v>
      </c>
      <c r="I155" s="102" t="s">
        <v>1871</v>
      </c>
      <c r="J155" s="102" t="s">
        <v>1872</v>
      </c>
      <c r="K155" s="102" t="s">
        <v>1358</v>
      </c>
      <c r="L155" s="102">
        <v>28</v>
      </c>
      <c r="M155" s="102">
        <v>3</v>
      </c>
      <c r="N155" s="102">
        <v>0</v>
      </c>
      <c r="O155" s="102">
        <v>8</v>
      </c>
      <c r="P155" s="102">
        <v>0</v>
      </c>
      <c r="Q155" s="104">
        <v>0</v>
      </c>
      <c r="R155" s="102">
        <v>0</v>
      </c>
      <c r="S155" s="102" t="s">
        <v>853</v>
      </c>
      <c r="T155" s="102">
        <v>1</v>
      </c>
      <c r="U155" s="102">
        <v>1</v>
      </c>
      <c r="V155" s="102">
        <v>58</v>
      </c>
      <c r="W155" s="102">
        <v>887</v>
      </c>
      <c r="X155" s="102">
        <v>0</v>
      </c>
      <c r="Y155" s="102">
        <v>0</v>
      </c>
      <c r="Z155" s="102">
        <v>0</v>
      </c>
      <c r="AA155" s="102">
        <v>64</v>
      </c>
      <c r="AB155" s="102">
        <v>0</v>
      </c>
      <c r="AC155" s="102">
        <v>0</v>
      </c>
      <c r="AD155" s="102">
        <v>0</v>
      </c>
      <c r="AE155" s="102">
        <v>0</v>
      </c>
      <c r="AF155" s="102">
        <v>0</v>
      </c>
      <c r="AG155" s="102">
        <v>3</v>
      </c>
      <c r="AH155" s="102">
        <v>1</v>
      </c>
      <c r="AI155" s="102" t="s">
        <v>1873</v>
      </c>
      <c r="AJ155" s="102">
        <v>1</v>
      </c>
      <c r="AK155" s="102">
        <v>3</v>
      </c>
      <c r="AL155" s="102">
        <v>0</v>
      </c>
      <c r="AM155" s="102">
        <v>3</v>
      </c>
      <c r="AN155" s="102">
        <v>1</v>
      </c>
      <c r="AO155" s="102">
        <v>0</v>
      </c>
      <c r="AP155" s="102">
        <v>0</v>
      </c>
      <c r="AQ155" s="102">
        <v>1</v>
      </c>
      <c r="AR155" s="102">
        <v>0</v>
      </c>
      <c r="AS155" s="102" t="s">
        <v>853</v>
      </c>
      <c r="AT155" s="102">
        <v>0</v>
      </c>
      <c r="AU155" s="102"/>
      <c r="AV155" s="102">
        <v>0</v>
      </c>
      <c r="AW155" s="102">
        <v>0</v>
      </c>
      <c r="AX155" s="102">
        <v>0</v>
      </c>
      <c r="AY155" s="102">
        <v>0</v>
      </c>
      <c r="AZ155" s="102">
        <v>0</v>
      </c>
      <c r="BA155" s="102">
        <v>0</v>
      </c>
      <c r="BB155" s="102">
        <v>0</v>
      </c>
      <c r="BC155" s="102">
        <v>1</v>
      </c>
      <c r="BD155" s="102">
        <v>3</v>
      </c>
      <c r="BE155" s="102">
        <v>1</v>
      </c>
      <c r="BF155" s="102">
        <v>0</v>
      </c>
      <c r="BG155" s="102">
        <v>0</v>
      </c>
      <c r="BH155" s="102">
        <v>0</v>
      </c>
      <c r="BI155" s="102">
        <v>0</v>
      </c>
      <c r="BJ155" s="102">
        <v>1</v>
      </c>
      <c r="BK155" s="102">
        <v>0</v>
      </c>
      <c r="BL155" s="102">
        <v>1</v>
      </c>
      <c r="BM155" s="102">
        <v>1</v>
      </c>
      <c r="BN155" s="102">
        <v>0</v>
      </c>
      <c r="BO155" s="102">
        <v>0</v>
      </c>
      <c r="BP155" s="102">
        <v>1</v>
      </c>
      <c r="BQ155" s="102">
        <v>0</v>
      </c>
      <c r="BR155" s="102">
        <v>0</v>
      </c>
      <c r="BS155" s="102">
        <v>0</v>
      </c>
      <c r="BT155" s="102">
        <v>0</v>
      </c>
      <c r="BU155" s="102">
        <v>0</v>
      </c>
      <c r="BV155" s="102">
        <v>0</v>
      </c>
      <c r="BW155" s="102">
        <v>0</v>
      </c>
      <c r="BX155" s="102">
        <v>1</v>
      </c>
      <c r="BY155" s="102">
        <v>1</v>
      </c>
      <c r="BZ155" s="102">
        <v>0</v>
      </c>
      <c r="CA155" s="102">
        <v>3</v>
      </c>
      <c r="CB155" s="102">
        <v>1</v>
      </c>
      <c r="CC155" s="102">
        <v>3</v>
      </c>
      <c r="CD155" s="102" t="s">
        <v>1874</v>
      </c>
      <c r="CE155" s="102">
        <v>0</v>
      </c>
      <c r="CF155" s="102">
        <v>1</v>
      </c>
      <c r="CG155" s="102">
        <v>0</v>
      </c>
      <c r="CH155" s="102">
        <v>0</v>
      </c>
      <c r="CI155" s="102">
        <v>0</v>
      </c>
      <c r="CJ155" s="102">
        <v>0</v>
      </c>
      <c r="CK155" s="102">
        <v>1</v>
      </c>
      <c r="CL155" s="102">
        <v>0</v>
      </c>
      <c r="CM155" s="102">
        <v>0</v>
      </c>
      <c r="CN155" s="102">
        <v>2</v>
      </c>
      <c r="CO155" s="102">
        <v>0</v>
      </c>
      <c r="CP155" s="102">
        <v>0</v>
      </c>
      <c r="CQ155" s="102">
        <v>0</v>
      </c>
      <c r="CR155" s="102">
        <v>0</v>
      </c>
      <c r="CS155" s="102">
        <v>1</v>
      </c>
      <c r="CT155" s="102" t="s">
        <v>1875</v>
      </c>
      <c r="CU155" s="102">
        <v>1</v>
      </c>
      <c r="CV155" s="102">
        <v>1</v>
      </c>
      <c r="CW155" s="102">
        <v>1</v>
      </c>
      <c r="CX155" s="102">
        <v>0</v>
      </c>
      <c r="CY155" s="102">
        <v>0</v>
      </c>
      <c r="CZ155" s="102">
        <v>1</v>
      </c>
      <c r="DA155" s="102" t="s">
        <v>1876</v>
      </c>
      <c r="DB155" s="102">
        <v>0</v>
      </c>
      <c r="DC155" s="102">
        <v>0</v>
      </c>
      <c r="DD155" s="102">
        <v>0</v>
      </c>
      <c r="DE155" s="102">
        <v>0</v>
      </c>
      <c r="DF155" s="102">
        <v>0</v>
      </c>
      <c r="DG155" s="102">
        <v>0</v>
      </c>
      <c r="DH155" s="102">
        <v>0</v>
      </c>
      <c r="DI155" s="102">
        <v>0</v>
      </c>
      <c r="DJ155" s="102">
        <v>0</v>
      </c>
      <c r="DK155" s="102">
        <v>0</v>
      </c>
      <c r="DL155" s="102">
        <v>0</v>
      </c>
      <c r="DM155" s="102">
        <v>1</v>
      </c>
      <c r="DN155" s="102">
        <v>0</v>
      </c>
      <c r="DO155" s="102">
        <v>1</v>
      </c>
      <c r="DP155" s="102">
        <v>0</v>
      </c>
      <c r="DQ155" s="102">
        <v>0</v>
      </c>
      <c r="DR155" s="102">
        <v>0</v>
      </c>
      <c r="DS155" s="102" t="s">
        <v>853</v>
      </c>
      <c r="DT155" s="105" t="s">
        <v>853</v>
      </c>
      <c r="DU155" s="102" t="s">
        <v>853</v>
      </c>
      <c r="DV155" s="102">
        <v>0</v>
      </c>
      <c r="DW155" s="102">
        <v>0</v>
      </c>
      <c r="DX155" s="102" t="s">
        <v>853</v>
      </c>
      <c r="DY155" s="102">
        <v>0</v>
      </c>
      <c r="DZ155" s="102">
        <v>0</v>
      </c>
      <c r="EA155" s="102" t="s">
        <v>853</v>
      </c>
      <c r="EB155" s="102">
        <v>1</v>
      </c>
      <c r="EC155" s="102">
        <v>0</v>
      </c>
      <c r="ED155" s="102">
        <v>1</v>
      </c>
      <c r="EE155" s="102">
        <v>2</v>
      </c>
      <c r="EF155" s="102">
        <v>24</v>
      </c>
      <c r="EG155" s="102">
        <v>1</v>
      </c>
      <c r="EH155" s="102" t="s">
        <v>1877</v>
      </c>
      <c r="EI155" s="102">
        <v>0</v>
      </c>
      <c r="EJ155" s="102">
        <v>0</v>
      </c>
      <c r="EK155" s="102">
        <v>2</v>
      </c>
      <c r="EL155" s="102">
        <v>0</v>
      </c>
      <c r="EM155" s="102"/>
    </row>
    <row r="156" spans="1:143" ht="15.75" customHeight="1" x14ac:dyDescent="0.55000000000000004">
      <c r="A156" s="99">
        <v>155</v>
      </c>
      <c r="B156" s="102" t="s">
        <v>1878</v>
      </c>
      <c r="C156" s="102" t="s">
        <v>1879</v>
      </c>
      <c r="D156" s="103">
        <v>43044</v>
      </c>
      <c r="E156" s="102" t="s">
        <v>914</v>
      </c>
      <c r="F156" s="102">
        <v>5</v>
      </c>
      <c r="G156" s="102">
        <v>11</v>
      </c>
      <c r="H156" s="102">
        <v>2017</v>
      </c>
      <c r="I156" s="102" t="s">
        <v>1880</v>
      </c>
      <c r="J156" s="102" t="s">
        <v>1881</v>
      </c>
      <c r="K156" s="102" t="s">
        <v>849</v>
      </c>
      <c r="L156" s="102">
        <v>43</v>
      </c>
      <c r="M156" s="102">
        <v>0</v>
      </c>
      <c r="N156" s="102">
        <v>2</v>
      </c>
      <c r="O156" s="102">
        <v>3</v>
      </c>
      <c r="P156" s="102">
        <v>0</v>
      </c>
      <c r="Q156" s="104">
        <v>0</v>
      </c>
      <c r="R156" s="102">
        <v>0</v>
      </c>
      <c r="S156" s="102" t="s">
        <v>853</v>
      </c>
      <c r="T156" s="102">
        <v>0</v>
      </c>
      <c r="U156" s="102">
        <v>0</v>
      </c>
      <c r="V156" s="102">
        <v>25</v>
      </c>
      <c r="W156" s="102">
        <v>20</v>
      </c>
      <c r="X156" s="102">
        <v>0</v>
      </c>
      <c r="Y156" s="102">
        <v>0</v>
      </c>
      <c r="Z156" s="102">
        <v>1</v>
      </c>
      <c r="AA156" s="102">
        <v>26</v>
      </c>
      <c r="AB156" s="102">
        <v>0</v>
      </c>
      <c r="AC156" s="102">
        <v>0</v>
      </c>
      <c r="AD156" s="102">
        <v>0</v>
      </c>
      <c r="AE156" s="102">
        <v>0</v>
      </c>
      <c r="AF156" s="102">
        <v>0</v>
      </c>
      <c r="AG156" s="102">
        <v>1</v>
      </c>
      <c r="AH156" s="102">
        <v>1</v>
      </c>
      <c r="AI156" s="102" t="s">
        <v>1882</v>
      </c>
      <c r="AJ156" s="102">
        <v>2</v>
      </c>
      <c r="AK156" s="102">
        <v>2</v>
      </c>
      <c r="AL156" s="102">
        <v>1</v>
      </c>
      <c r="AM156" s="102">
        <v>1</v>
      </c>
      <c r="AN156" s="102">
        <v>2</v>
      </c>
      <c r="AO156" s="102">
        <v>1</v>
      </c>
      <c r="AP156" s="102">
        <v>1</v>
      </c>
      <c r="AQ156" s="102">
        <v>2</v>
      </c>
      <c r="AR156" s="102">
        <v>1</v>
      </c>
      <c r="AS156" s="102">
        <v>2</v>
      </c>
      <c r="AT156" s="102">
        <v>0</v>
      </c>
      <c r="AU156" s="102"/>
      <c r="AV156" s="102">
        <v>0</v>
      </c>
      <c r="AW156" s="102">
        <v>1</v>
      </c>
      <c r="AX156" s="102" t="s">
        <v>866</v>
      </c>
      <c r="AY156" s="102" t="s">
        <v>1636</v>
      </c>
      <c r="AZ156" s="102">
        <v>4</v>
      </c>
      <c r="BA156" s="102">
        <v>0</v>
      </c>
      <c r="BB156" s="102">
        <v>1</v>
      </c>
      <c r="BC156" s="102">
        <v>3</v>
      </c>
      <c r="BD156" s="102" t="s">
        <v>1353</v>
      </c>
      <c r="BE156" s="102">
        <v>1</v>
      </c>
      <c r="BF156" s="102">
        <v>0</v>
      </c>
      <c r="BG156" s="102">
        <v>0</v>
      </c>
      <c r="BH156" s="102">
        <v>0</v>
      </c>
      <c r="BI156" s="102">
        <v>1</v>
      </c>
      <c r="BJ156" s="102">
        <v>0</v>
      </c>
      <c r="BK156" s="102">
        <v>1</v>
      </c>
      <c r="BL156" s="102">
        <v>0</v>
      </c>
      <c r="BM156" s="102">
        <v>0</v>
      </c>
      <c r="BN156" s="102">
        <v>0</v>
      </c>
      <c r="BO156" s="102">
        <v>0</v>
      </c>
      <c r="BP156" s="102">
        <v>0</v>
      </c>
      <c r="BQ156" s="102">
        <v>0</v>
      </c>
      <c r="BR156" s="102">
        <v>0</v>
      </c>
      <c r="BS156" s="102">
        <v>0</v>
      </c>
      <c r="BT156" s="102">
        <v>0</v>
      </c>
      <c r="BU156" s="102">
        <v>1</v>
      </c>
      <c r="BV156" s="102">
        <v>0</v>
      </c>
      <c r="BW156" s="102">
        <v>0</v>
      </c>
      <c r="BX156" s="102">
        <v>0</v>
      </c>
      <c r="BY156" s="102">
        <v>0</v>
      </c>
      <c r="BZ156" s="102">
        <v>0</v>
      </c>
      <c r="CA156" s="102" t="s">
        <v>866</v>
      </c>
      <c r="CB156" s="102">
        <v>1</v>
      </c>
      <c r="CC156" s="102">
        <v>2</v>
      </c>
      <c r="CD156" s="102" t="s">
        <v>1883</v>
      </c>
      <c r="CE156" s="102">
        <v>0</v>
      </c>
      <c r="CF156" s="102">
        <v>1</v>
      </c>
      <c r="CG156" s="102">
        <v>0</v>
      </c>
      <c r="CH156" s="102">
        <v>0</v>
      </c>
      <c r="CI156" s="102">
        <v>1</v>
      </c>
      <c r="CJ156" s="102">
        <v>1</v>
      </c>
      <c r="CK156" s="102">
        <v>1</v>
      </c>
      <c r="CL156" s="102">
        <v>0</v>
      </c>
      <c r="CM156" s="102">
        <v>0</v>
      </c>
      <c r="CN156" s="102">
        <v>1</v>
      </c>
      <c r="CO156" s="102">
        <v>1</v>
      </c>
      <c r="CP156" s="102">
        <v>2</v>
      </c>
      <c r="CQ156" s="102">
        <v>1</v>
      </c>
      <c r="CR156" s="102">
        <v>1</v>
      </c>
      <c r="CS156" s="102">
        <v>1</v>
      </c>
      <c r="CT156" s="102" t="s">
        <v>1884</v>
      </c>
      <c r="CU156" s="102">
        <v>0</v>
      </c>
      <c r="CV156" s="102">
        <v>1</v>
      </c>
      <c r="CW156" s="102">
        <v>0</v>
      </c>
      <c r="CX156" s="102">
        <v>0</v>
      </c>
      <c r="CY156" s="102">
        <v>3</v>
      </c>
      <c r="CZ156" s="102">
        <v>1</v>
      </c>
      <c r="DA156" s="102" t="s">
        <v>1885</v>
      </c>
      <c r="DB156" s="102">
        <v>1</v>
      </c>
      <c r="DC156" s="102">
        <v>0</v>
      </c>
      <c r="DD156" s="102">
        <v>0</v>
      </c>
      <c r="DE156" s="102">
        <v>0</v>
      </c>
      <c r="DF156" s="102">
        <v>0</v>
      </c>
      <c r="DG156" s="102">
        <v>0</v>
      </c>
      <c r="DH156" s="102">
        <v>0</v>
      </c>
      <c r="DI156" s="102">
        <v>0</v>
      </c>
      <c r="DJ156" s="102">
        <v>0</v>
      </c>
      <c r="DK156" s="102">
        <v>0</v>
      </c>
      <c r="DL156" s="102">
        <v>1</v>
      </c>
      <c r="DM156" s="102">
        <v>0</v>
      </c>
      <c r="DN156" s="102">
        <v>0</v>
      </c>
      <c r="DO156" s="102">
        <v>0</v>
      </c>
      <c r="DP156" s="102">
        <v>0</v>
      </c>
      <c r="DQ156" s="102">
        <v>1</v>
      </c>
      <c r="DR156" s="102">
        <v>1</v>
      </c>
      <c r="DS156" s="102">
        <v>3</v>
      </c>
      <c r="DT156" s="105" t="s">
        <v>1025</v>
      </c>
      <c r="DU156" s="102">
        <v>0</v>
      </c>
      <c r="DV156" s="102">
        <v>1</v>
      </c>
      <c r="DW156" s="102">
        <v>0</v>
      </c>
      <c r="DX156" s="102" t="s">
        <v>853</v>
      </c>
      <c r="DY156" s="102">
        <v>0</v>
      </c>
      <c r="DZ156" s="102">
        <v>0</v>
      </c>
      <c r="EA156" s="102" t="s">
        <v>853</v>
      </c>
      <c r="EB156" s="102">
        <v>0</v>
      </c>
      <c r="EC156" s="102">
        <v>0</v>
      </c>
      <c r="ED156" s="102">
        <v>1</v>
      </c>
      <c r="EE156" s="102">
        <v>3</v>
      </c>
      <c r="EF156" s="102">
        <v>3</v>
      </c>
      <c r="EG156" s="102">
        <v>1</v>
      </c>
      <c r="EH156" s="102" t="s">
        <v>1886</v>
      </c>
      <c r="EI156" s="102">
        <v>0</v>
      </c>
      <c r="EJ156" s="102">
        <v>1</v>
      </c>
      <c r="EK156" s="102">
        <v>2</v>
      </c>
      <c r="EL156" s="102">
        <v>0</v>
      </c>
      <c r="EM156" s="102"/>
    </row>
    <row r="157" spans="1:143" ht="15.75" customHeight="1" x14ac:dyDescent="0.55000000000000004">
      <c r="A157" s="99">
        <v>156</v>
      </c>
      <c r="B157" s="102" t="s">
        <v>1887</v>
      </c>
      <c r="C157" s="102" t="s">
        <v>1888</v>
      </c>
      <c r="D157" s="103">
        <v>43053</v>
      </c>
      <c r="E157" s="102" t="s">
        <v>1032</v>
      </c>
      <c r="F157" s="102">
        <v>14</v>
      </c>
      <c r="G157" s="102">
        <v>11</v>
      </c>
      <c r="H157" s="102">
        <v>2017</v>
      </c>
      <c r="I157" s="102" t="s">
        <v>1889</v>
      </c>
      <c r="J157" s="102" t="s">
        <v>1890</v>
      </c>
      <c r="K157" s="102" t="s">
        <v>930</v>
      </c>
      <c r="L157" s="102">
        <v>5</v>
      </c>
      <c r="M157" s="102">
        <v>3</v>
      </c>
      <c r="N157" s="102">
        <v>2</v>
      </c>
      <c r="O157" s="102">
        <v>7</v>
      </c>
      <c r="P157" s="102">
        <v>0</v>
      </c>
      <c r="Q157" s="104">
        <v>0</v>
      </c>
      <c r="R157" s="102">
        <v>1</v>
      </c>
      <c r="S157" s="102">
        <v>8</v>
      </c>
      <c r="T157" s="102">
        <v>1</v>
      </c>
      <c r="U157" s="102">
        <v>2</v>
      </c>
      <c r="V157" s="102">
        <v>5</v>
      </c>
      <c r="W157" s="102">
        <v>12</v>
      </c>
      <c r="X157" s="102">
        <v>0</v>
      </c>
      <c r="Y157" s="102">
        <v>1</v>
      </c>
      <c r="Z157" s="102">
        <v>0</v>
      </c>
      <c r="AA157" s="102">
        <v>44</v>
      </c>
      <c r="AB157" s="102">
        <v>0</v>
      </c>
      <c r="AC157" s="102">
        <v>0</v>
      </c>
      <c r="AD157" s="102">
        <v>0</v>
      </c>
      <c r="AE157" s="102">
        <v>0</v>
      </c>
      <c r="AF157" s="102"/>
      <c r="AG157" s="102">
        <v>2</v>
      </c>
      <c r="AH157" s="102"/>
      <c r="AI157" s="102"/>
      <c r="AJ157" s="102">
        <v>3</v>
      </c>
      <c r="AK157" s="102">
        <v>1</v>
      </c>
      <c r="AL157" s="102">
        <v>1</v>
      </c>
      <c r="AM157" s="102">
        <v>0</v>
      </c>
      <c r="AN157" s="102">
        <v>2</v>
      </c>
      <c r="AO157" s="102">
        <v>0</v>
      </c>
      <c r="AP157" s="102">
        <v>1</v>
      </c>
      <c r="AQ157" s="102">
        <v>0</v>
      </c>
      <c r="AR157" s="102">
        <v>0</v>
      </c>
      <c r="AS157" s="102" t="s">
        <v>853</v>
      </c>
      <c r="AT157" s="102">
        <v>0</v>
      </c>
      <c r="AU157" s="102"/>
      <c r="AV157" s="102">
        <v>1</v>
      </c>
      <c r="AW157" s="102">
        <v>1</v>
      </c>
      <c r="AX157" s="102" t="s">
        <v>1056</v>
      </c>
      <c r="AY157" s="102" t="s">
        <v>1143</v>
      </c>
      <c r="AZ157" s="102">
        <v>3</v>
      </c>
      <c r="BA157" s="102">
        <v>0</v>
      </c>
      <c r="BB157" s="102">
        <v>0</v>
      </c>
      <c r="BC157" s="102">
        <v>1</v>
      </c>
      <c r="BD157" s="102" t="s">
        <v>954</v>
      </c>
      <c r="BE157" s="102">
        <v>0</v>
      </c>
      <c r="BF157" s="102">
        <v>0</v>
      </c>
      <c r="BG157" s="102">
        <v>0</v>
      </c>
      <c r="BH157" s="102">
        <v>0</v>
      </c>
      <c r="BI157" s="102">
        <v>0</v>
      </c>
      <c r="BJ157" s="102">
        <v>1</v>
      </c>
      <c r="BK157" s="102">
        <v>0</v>
      </c>
      <c r="BL157" s="102">
        <v>0</v>
      </c>
      <c r="BM157" s="102">
        <v>0</v>
      </c>
      <c r="BN157" s="102">
        <v>0</v>
      </c>
      <c r="BO157" s="102">
        <v>0</v>
      </c>
      <c r="BP157" s="102">
        <v>0</v>
      </c>
      <c r="BQ157" s="102">
        <v>0</v>
      </c>
      <c r="BR157" s="102">
        <v>0</v>
      </c>
      <c r="BS157" s="102">
        <v>0</v>
      </c>
      <c r="BT157" s="102">
        <v>0</v>
      </c>
      <c r="BU157" s="102"/>
      <c r="BV157" s="102">
        <v>0</v>
      </c>
      <c r="BW157" s="102">
        <v>0</v>
      </c>
      <c r="BX157" s="102">
        <v>0</v>
      </c>
      <c r="BY157" s="102">
        <v>0</v>
      </c>
      <c r="BZ157" s="102">
        <v>0</v>
      </c>
      <c r="CA157" s="102">
        <v>5</v>
      </c>
      <c r="CB157" s="102">
        <v>1</v>
      </c>
      <c r="CC157" s="102">
        <v>3</v>
      </c>
      <c r="CD157" s="102" t="s">
        <v>1891</v>
      </c>
      <c r="CE157" s="102">
        <v>0</v>
      </c>
      <c r="CF157" s="102">
        <v>0</v>
      </c>
      <c r="CG157" s="102">
        <v>0</v>
      </c>
      <c r="CH157" s="102">
        <v>0</v>
      </c>
      <c r="CI157" s="102">
        <v>1</v>
      </c>
      <c r="CJ157" s="102">
        <v>1</v>
      </c>
      <c r="CK157" s="102">
        <v>0</v>
      </c>
      <c r="CL157" s="102">
        <v>1</v>
      </c>
      <c r="CM157" s="102">
        <v>1</v>
      </c>
      <c r="CN157" s="102">
        <v>1</v>
      </c>
      <c r="CO157" s="102">
        <v>0</v>
      </c>
      <c r="CP157" s="102">
        <v>0</v>
      </c>
      <c r="CQ157" s="102">
        <v>1</v>
      </c>
      <c r="CR157" s="102">
        <v>1</v>
      </c>
      <c r="CS157" s="102">
        <v>0</v>
      </c>
      <c r="CT157" s="102" t="s">
        <v>853</v>
      </c>
      <c r="CU157" s="102">
        <v>0</v>
      </c>
      <c r="CV157" s="102">
        <v>4</v>
      </c>
      <c r="CW157" s="102">
        <v>0</v>
      </c>
      <c r="CX157" s="102">
        <v>0</v>
      </c>
      <c r="CY157" s="102">
        <v>3</v>
      </c>
      <c r="CZ157" s="102">
        <v>0</v>
      </c>
      <c r="DA157" s="102" t="s">
        <v>853</v>
      </c>
      <c r="DB157" s="102">
        <v>0</v>
      </c>
      <c r="DC157" s="102">
        <v>0</v>
      </c>
      <c r="DD157" s="102">
        <v>0</v>
      </c>
      <c r="DE157" s="102">
        <v>0</v>
      </c>
      <c r="DF157" s="102">
        <v>0</v>
      </c>
      <c r="DG157" s="102">
        <v>0</v>
      </c>
      <c r="DH157" s="102">
        <v>0</v>
      </c>
      <c r="DI157" s="102">
        <v>0</v>
      </c>
      <c r="DJ157" s="102">
        <v>1</v>
      </c>
      <c r="DK157" s="102">
        <v>0</v>
      </c>
      <c r="DL157" s="102">
        <v>1</v>
      </c>
      <c r="DM157" s="102">
        <v>0</v>
      </c>
      <c r="DN157" s="102">
        <v>0</v>
      </c>
      <c r="DO157" s="102">
        <v>0</v>
      </c>
      <c r="DP157" s="102">
        <v>3</v>
      </c>
      <c r="DQ157" s="102">
        <v>0</v>
      </c>
      <c r="DR157" s="102">
        <v>1</v>
      </c>
      <c r="DS157" s="102">
        <v>0</v>
      </c>
      <c r="DT157" s="105" t="s">
        <v>1025</v>
      </c>
      <c r="DU157" s="102">
        <v>0</v>
      </c>
      <c r="DV157" s="102">
        <v>0</v>
      </c>
      <c r="DW157" s="102">
        <v>0</v>
      </c>
      <c r="DX157" s="102" t="s">
        <v>853</v>
      </c>
      <c r="DY157" s="102">
        <v>0</v>
      </c>
      <c r="DZ157" s="102">
        <v>0</v>
      </c>
      <c r="EA157" s="102" t="s">
        <v>853</v>
      </c>
      <c r="EB157" s="102">
        <v>0</v>
      </c>
      <c r="EC157" s="102">
        <v>0</v>
      </c>
      <c r="ED157" s="102">
        <v>1</v>
      </c>
      <c r="EE157" s="102">
        <v>1</v>
      </c>
      <c r="EF157" s="102">
        <v>4</v>
      </c>
      <c r="EG157" s="102">
        <v>1</v>
      </c>
      <c r="EH157" s="102" t="s">
        <v>1892</v>
      </c>
      <c r="EI157" s="102">
        <v>0</v>
      </c>
      <c r="EJ157" s="102">
        <v>0</v>
      </c>
      <c r="EK157" s="102">
        <v>2</v>
      </c>
      <c r="EL157" s="102">
        <v>0</v>
      </c>
      <c r="EM157" s="102"/>
    </row>
    <row r="158" spans="1:143" ht="15.75" customHeight="1" x14ac:dyDescent="0.55000000000000004">
      <c r="A158" s="99">
        <v>157</v>
      </c>
      <c r="B158" s="102" t="s">
        <v>1893</v>
      </c>
      <c r="C158" s="102" t="s">
        <v>1894</v>
      </c>
      <c r="D158" s="103">
        <v>43128</v>
      </c>
      <c r="E158" s="102" t="s">
        <v>914</v>
      </c>
      <c r="F158" s="102">
        <v>28</v>
      </c>
      <c r="G158" s="102">
        <v>1</v>
      </c>
      <c r="H158" s="102">
        <v>2018</v>
      </c>
      <c r="I158" s="102" t="s">
        <v>1895</v>
      </c>
      <c r="J158" s="102" t="s">
        <v>1896</v>
      </c>
      <c r="K158" s="102" t="s">
        <v>873</v>
      </c>
      <c r="L158" s="102">
        <v>38</v>
      </c>
      <c r="M158" s="102">
        <v>2</v>
      </c>
      <c r="N158" s="102">
        <v>2</v>
      </c>
      <c r="O158" s="102">
        <v>4</v>
      </c>
      <c r="P158" s="102">
        <v>0</v>
      </c>
      <c r="Q158" s="104">
        <v>0</v>
      </c>
      <c r="R158" s="102">
        <v>0</v>
      </c>
      <c r="S158" s="102" t="s">
        <v>853</v>
      </c>
      <c r="T158" s="102">
        <v>0</v>
      </c>
      <c r="U158" s="102">
        <v>0</v>
      </c>
      <c r="V158" s="102">
        <v>4</v>
      </c>
      <c r="W158" s="102">
        <v>1</v>
      </c>
      <c r="X158" s="102">
        <v>0</v>
      </c>
      <c r="Y158" s="102">
        <v>1</v>
      </c>
      <c r="Z158" s="102">
        <v>0</v>
      </c>
      <c r="AA158" s="102">
        <v>28</v>
      </c>
      <c r="AB158" s="102">
        <v>0</v>
      </c>
      <c r="AC158" s="102">
        <v>0</v>
      </c>
      <c r="AD158" s="102">
        <v>0</v>
      </c>
      <c r="AE158" s="102">
        <v>0</v>
      </c>
      <c r="AF158" s="102"/>
      <c r="AG158" s="102">
        <v>2</v>
      </c>
      <c r="AH158" s="102"/>
      <c r="AI158" s="102"/>
      <c r="AJ158" s="102">
        <v>3</v>
      </c>
      <c r="AK158" s="102">
        <v>2</v>
      </c>
      <c r="AL158" s="102">
        <v>2</v>
      </c>
      <c r="AM158" s="102">
        <v>0</v>
      </c>
      <c r="AN158" s="102">
        <v>0</v>
      </c>
      <c r="AO158" s="102">
        <v>0</v>
      </c>
      <c r="AP158" s="102">
        <v>1</v>
      </c>
      <c r="AQ158" s="102">
        <v>0</v>
      </c>
      <c r="AR158" s="102">
        <v>0</v>
      </c>
      <c r="AS158" s="102" t="s">
        <v>853</v>
      </c>
      <c r="AT158" s="102"/>
      <c r="AU158" s="102"/>
      <c r="AV158" s="102">
        <v>0</v>
      </c>
      <c r="AW158" s="102">
        <v>0</v>
      </c>
      <c r="AX158" s="102">
        <v>0</v>
      </c>
      <c r="AY158" s="102">
        <v>0</v>
      </c>
      <c r="AZ158" s="102">
        <v>0</v>
      </c>
      <c r="BA158" s="102">
        <v>0</v>
      </c>
      <c r="BB158" s="102">
        <v>0</v>
      </c>
      <c r="BC158" s="102">
        <v>0</v>
      </c>
      <c r="BD158" s="102">
        <v>0</v>
      </c>
      <c r="BE158" s="102">
        <v>0</v>
      </c>
      <c r="BF158" s="102">
        <v>0</v>
      </c>
      <c r="BG158" s="102">
        <v>0</v>
      </c>
      <c r="BH158" s="102">
        <v>0</v>
      </c>
      <c r="BI158" s="102">
        <v>0</v>
      </c>
      <c r="BJ158" s="102">
        <v>0</v>
      </c>
      <c r="BK158" s="102">
        <v>0</v>
      </c>
      <c r="BL158" s="102">
        <v>0</v>
      </c>
      <c r="BM158" s="102">
        <v>0</v>
      </c>
      <c r="BN158" s="102">
        <v>0</v>
      </c>
      <c r="BO158" s="102">
        <v>0</v>
      </c>
      <c r="BP158" s="102">
        <v>0</v>
      </c>
      <c r="BQ158" s="102">
        <v>0</v>
      </c>
      <c r="BR158" s="102">
        <v>0</v>
      </c>
      <c r="BS158" s="102">
        <v>0</v>
      </c>
      <c r="BT158" s="102">
        <v>0</v>
      </c>
      <c r="BU158" s="102">
        <v>0</v>
      </c>
      <c r="BV158" s="102">
        <v>0</v>
      </c>
      <c r="BW158" s="102">
        <v>0</v>
      </c>
      <c r="BX158" s="102">
        <v>0</v>
      </c>
      <c r="BY158" s="102">
        <v>0</v>
      </c>
      <c r="BZ158" s="102">
        <v>0</v>
      </c>
      <c r="CA158" s="102">
        <v>1</v>
      </c>
      <c r="CB158" s="102">
        <v>1</v>
      </c>
      <c r="CC158" s="102">
        <v>2</v>
      </c>
      <c r="CD158" s="102" t="s">
        <v>1897</v>
      </c>
      <c r="CE158" s="102">
        <v>0</v>
      </c>
      <c r="CF158" s="102">
        <v>0</v>
      </c>
      <c r="CG158" s="102">
        <v>0</v>
      </c>
      <c r="CH158" s="102">
        <v>0</v>
      </c>
      <c r="CI158" s="102">
        <v>0</v>
      </c>
      <c r="CJ158" s="102">
        <v>1</v>
      </c>
      <c r="CK158" s="102">
        <v>0</v>
      </c>
      <c r="CL158" s="102">
        <v>0</v>
      </c>
      <c r="CM158" s="102">
        <v>0</v>
      </c>
      <c r="CN158" s="102">
        <v>2</v>
      </c>
      <c r="CO158" s="102">
        <v>0</v>
      </c>
      <c r="CP158" s="102">
        <v>0</v>
      </c>
      <c r="CQ158" s="102">
        <v>0</v>
      </c>
      <c r="CR158" s="102">
        <v>0</v>
      </c>
      <c r="CS158" s="102">
        <v>0</v>
      </c>
      <c r="CT158" s="102" t="s">
        <v>853</v>
      </c>
      <c r="CU158" s="102">
        <v>0</v>
      </c>
      <c r="CV158" s="102">
        <v>0</v>
      </c>
      <c r="CW158" s="102">
        <v>0</v>
      </c>
      <c r="CX158" s="102">
        <v>0</v>
      </c>
      <c r="CY158" s="102">
        <v>0</v>
      </c>
      <c r="CZ158" s="102">
        <v>0</v>
      </c>
      <c r="DA158" s="102" t="s">
        <v>853</v>
      </c>
      <c r="DB158" s="102">
        <v>0</v>
      </c>
      <c r="DC158" s="102">
        <v>0</v>
      </c>
      <c r="DD158" s="102">
        <v>0</v>
      </c>
      <c r="DE158" s="102">
        <v>0</v>
      </c>
      <c r="DF158" s="102">
        <v>0</v>
      </c>
      <c r="DG158" s="102">
        <v>0</v>
      </c>
      <c r="DH158" s="102">
        <v>0</v>
      </c>
      <c r="DI158" s="102">
        <v>0</v>
      </c>
      <c r="DJ158" s="102">
        <v>0</v>
      </c>
      <c r="DK158" s="102">
        <v>1</v>
      </c>
      <c r="DL158" s="102">
        <v>0</v>
      </c>
      <c r="DM158" s="102">
        <v>0</v>
      </c>
      <c r="DN158" s="102">
        <v>0</v>
      </c>
      <c r="DO158" s="102">
        <v>0</v>
      </c>
      <c r="DP158" s="102">
        <v>0</v>
      </c>
      <c r="DQ158" s="102">
        <v>1</v>
      </c>
      <c r="DR158" s="102">
        <v>1</v>
      </c>
      <c r="DS158" s="102">
        <v>4</v>
      </c>
      <c r="DT158" s="105" t="s">
        <v>1067</v>
      </c>
      <c r="DU158" s="102">
        <v>1</v>
      </c>
      <c r="DV158" s="102">
        <v>0</v>
      </c>
      <c r="DW158" s="102">
        <v>0</v>
      </c>
      <c r="DX158" s="102" t="s">
        <v>853</v>
      </c>
      <c r="DY158" s="102">
        <v>0</v>
      </c>
      <c r="DZ158" s="102">
        <v>0</v>
      </c>
      <c r="EA158" s="102" t="s">
        <v>853</v>
      </c>
      <c r="EB158" s="102">
        <v>0</v>
      </c>
      <c r="EC158" s="102">
        <v>0</v>
      </c>
      <c r="ED158" s="102">
        <v>1</v>
      </c>
      <c r="EE158" s="102">
        <v>2</v>
      </c>
      <c r="EF158" s="102">
        <v>3</v>
      </c>
      <c r="EG158" s="102">
        <v>1</v>
      </c>
      <c r="EH158" s="102" t="s">
        <v>1898</v>
      </c>
      <c r="EI158" s="102">
        <v>0</v>
      </c>
      <c r="EJ158" s="102">
        <v>0</v>
      </c>
      <c r="EK158" s="102">
        <v>2</v>
      </c>
      <c r="EL158" s="102">
        <v>0</v>
      </c>
      <c r="EM158" s="102"/>
    </row>
    <row r="159" spans="1:143" ht="15.75" customHeight="1" x14ac:dyDescent="0.55000000000000004">
      <c r="A159" s="99">
        <v>158</v>
      </c>
      <c r="B159" s="102" t="s">
        <v>1899</v>
      </c>
      <c r="C159" s="102" t="s">
        <v>1900</v>
      </c>
      <c r="D159" s="103">
        <v>43145</v>
      </c>
      <c r="E159" s="102" t="s">
        <v>891</v>
      </c>
      <c r="F159" s="102">
        <v>14</v>
      </c>
      <c r="G159" s="102">
        <v>2</v>
      </c>
      <c r="H159" s="102">
        <v>2018</v>
      </c>
      <c r="I159" s="102" t="s">
        <v>1901</v>
      </c>
      <c r="J159" s="102" t="s">
        <v>1633</v>
      </c>
      <c r="K159" s="102" t="s">
        <v>1022</v>
      </c>
      <c r="L159" s="102">
        <v>9</v>
      </c>
      <c r="M159" s="102">
        <v>0</v>
      </c>
      <c r="N159" s="102">
        <v>1</v>
      </c>
      <c r="O159" s="102">
        <v>0</v>
      </c>
      <c r="P159" s="102">
        <v>1</v>
      </c>
      <c r="Q159" s="104">
        <v>0</v>
      </c>
      <c r="R159" s="102">
        <v>0</v>
      </c>
      <c r="S159" s="102" t="s">
        <v>853</v>
      </c>
      <c r="T159" s="102">
        <v>1</v>
      </c>
      <c r="U159" s="102">
        <v>1</v>
      </c>
      <c r="V159" s="102">
        <v>17</v>
      </c>
      <c r="W159" s="102">
        <v>17</v>
      </c>
      <c r="X159" s="102">
        <v>0</v>
      </c>
      <c r="Y159" s="102">
        <v>0</v>
      </c>
      <c r="Z159" s="102">
        <v>0</v>
      </c>
      <c r="AA159" s="102">
        <v>19</v>
      </c>
      <c r="AB159" s="102">
        <v>0</v>
      </c>
      <c r="AC159" s="102">
        <v>0</v>
      </c>
      <c r="AD159" s="102">
        <v>0</v>
      </c>
      <c r="AE159" s="102">
        <v>0</v>
      </c>
      <c r="AF159" s="102"/>
      <c r="AG159" s="102">
        <v>0</v>
      </c>
      <c r="AH159" s="102">
        <v>0</v>
      </c>
      <c r="AI159" s="102" t="s">
        <v>1902</v>
      </c>
      <c r="AJ159" s="102">
        <v>1</v>
      </c>
      <c r="AK159" s="102">
        <v>1</v>
      </c>
      <c r="AL159" s="102">
        <v>0</v>
      </c>
      <c r="AM159" s="102">
        <v>1</v>
      </c>
      <c r="AN159" s="102">
        <v>0</v>
      </c>
      <c r="AO159" s="102">
        <v>0</v>
      </c>
      <c r="AP159" s="102">
        <v>1</v>
      </c>
      <c r="AQ159" s="102">
        <v>0</v>
      </c>
      <c r="AR159" s="102">
        <v>0</v>
      </c>
      <c r="AS159" s="102" t="s">
        <v>853</v>
      </c>
      <c r="AT159" s="102">
        <v>3</v>
      </c>
      <c r="AU159" s="102" t="s">
        <v>1903</v>
      </c>
      <c r="AV159" s="102">
        <v>1</v>
      </c>
      <c r="AW159" s="102">
        <v>1</v>
      </c>
      <c r="AX159" s="102">
        <v>0</v>
      </c>
      <c r="AY159" s="102" t="s">
        <v>1092</v>
      </c>
      <c r="AZ159" s="102">
        <v>1</v>
      </c>
      <c r="BA159" s="102">
        <v>1</v>
      </c>
      <c r="BB159" s="102">
        <v>1</v>
      </c>
      <c r="BC159" s="102">
        <v>3</v>
      </c>
      <c r="BD159" s="102" t="s">
        <v>922</v>
      </c>
      <c r="BE159" s="102">
        <v>0</v>
      </c>
      <c r="BF159" s="102">
        <v>0</v>
      </c>
      <c r="BG159" s="102">
        <v>0</v>
      </c>
      <c r="BH159" s="102">
        <v>4</v>
      </c>
      <c r="BI159" s="102">
        <v>1</v>
      </c>
      <c r="BJ159" s="102">
        <v>0</v>
      </c>
      <c r="BK159" s="102">
        <v>1</v>
      </c>
      <c r="BL159" s="102">
        <v>1</v>
      </c>
      <c r="BM159" s="102">
        <v>0</v>
      </c>
      <c r="BN159" s="102">
        <v>1</v>
      </c>
      <c r="BO159" s="102">
        <v>0</v>
      </c>
      <c r="BP159" s="102">
        <v>1</v>
      </c>
      <c r="BQ159" s="102">
        <v>0</v>
      </c>
      <c r="BR159" s="102">
        <v>0</v>
      </c>
      <c r="BS159" s="102">
        <v>0</v>
      </c>
      <c r="BT159" s="102">
        <v>0</v>
      </c>
      <c r="BU159" s="102">
        <v>2</v>
      </c>
      <c r="BV159" s="102">
        <v>0</v>
      </c>
      <c r="BW159" s="102">
        <v>0</v>
      </c>
      <c r="BX159" s="102">
        <v>0</v>
      </c>
      <c r="BY159" s="102">
        <v>0</v>
      </c>
      <c r="BZ159" s="102">
        <v>1</v>
      </c>
      <c r="CA159" s="102">
        <v>4</v>
      </c>
      <c r="CB159" s="102">
        <v>1</v>
      </c>
      <c r="CC159" s="102">
        <v>2</v>
      </c>
      <c r="CD159" s="102" t="s">
        <v>1904</v>
      </c>
      <c r="CE159" s="102">
        <v>0</v>
      </c>
      <c r="CF159" s="102">
        <v>1</v>
      </c>
      <c r="CG159" s="102">
        <v>0</v>
      </c>
      <c r="CH159" s="102">
        <v>1</v>
      </c>
      <c r="CI159" s="102">
        <v>1</v>
      </c>
      <c r="CJ159" s="102">
        <v>1</v>
      </c>
      <c r="CK159" s="102">
        <v>1</v>
      </c>
      <c r="CL159" s="102">
        <v>0</v>
      </c>
      <c r="CM159" s="102">
        <v>0</v>
      </c>
      <c r="CN159" s="102">
        <v>1</v>
      </c>
      <c r="CO159" s="102">
        <v>0</v>
      </c>
      <c r="CP159" s="102">
        <v>0</v>
      </c>
      <c r="CQ159" s="102">
        <v>1</v>
      </c>
      <c r="CR159" s="102">
        <v>1</v>
      </c>
      <c r="CS159" s="102">
        <v>1</v>
      </c>
      <c r="CT159" s="102" t="s">
        <v>1905</v>
      </c>
      <c r="CU159" s="102">
        <v>0</v>
      </c>
      <c r="CV159" s="102" t="s">
        <v>937</v>
      </c>
      <c r="CW159" s="102">
        <v>1</v>
      </c>
      <c r="CX159" s="102">
        <v>1</v>
      </c>
      <c r="CY159" s="102">
        <v>3</v>
      </c>
      <c r="CZ159" s="102">
        <v>0</v>
      </c>
      <c r="DA159" s="102" t="s">
        <v>853</v>
      </c>
      <c r="DB159" s="102">
        <v>0</v>
      </c>
      <c r="DC159" s="102" t="s">
        <v>1353</v>
      </c>
      <c r="DD159" s="102">
        <v>0</v>
      </c>
      <c r="DE159" s="102">
        <v>0</v>
      </c>
      <c r="DF159" s="102">
        <v>0</v>
      </c>
      <c r="DG159" s="102">
        <v>0</v>
      </c>
      <c r="DH159" s="102">
        <v>0</v>
      </c>
      <c r="DI159" s="102">
        <v>0</v>
      </c>
      <c r="DJ159" s="102">
        <v>0</v>
      </c>
      <c r="DK159" s="102">
        <v>0</v>
      </c>
      <c r="DL159" s="102">
        <v>0</v>
      </c>
      <c r="DM159" s="102">
        <v>1</v>
      </c>
      <c r="DN159" s="102">
        <v>0</v>
      </c>
      <c r="DO159" s="102">
        <v>1</v>
      </c>
      <c r="DP159" s="102">
        <v>0</v>
      </c>
      <c r="DQ159" s="102">
        <v>1</v>
      </c>
      <c r="DR159" s="102">
        <v>1</v>
      </c>
      <c r="DS159" s="102">
        <v>4</v>
      </c>
      <c r="DT159" s="105" t="s">
        <v>1080</v>
      </c>
      <c r="DU159" s="102">
        <v>1</v>
      </c>
      <c r="DV159" s="102">
        <v>1</v>
      </c>
      <c r="DW159" s="102">
        <v>0</v>
      </c>
      <c r="DX159" s="102" t="s">
        <v>853</v>
      </c>
      <c r="DY159" s="102">
        <v>0</v>
      </c>
      <c r="DZ159" s="102">
        <v>0</v>
      </c>
      <c r="EA159" s="102" t="s">
        <v>853</v>
      </c>
      <c r="EB159" s="102">
        <v>1</v>
      </c>
      <c r="EC159" s="102">
        <v>1</v>
      </c>
      <c r="ED159" s="102">
        <v>1</v>
      </c>
      <c r="EE159" s="102">
        <v>2</v>
      </c>
      <c r="EF159" s="102">
        <v>1</v>
      </c>
      <c r="EG159" s="102">
        <v>1</v>
      </c>
      <c r="EH159" s="102" t="s">
        <v>1906</v>
      </c>
      <c r="EI159" s="102">
        <v>2</v>
      </c>
      <c r="EJ159" s="102">
        <v>1</v>
      </c>
      <c r="EK159" s="102">
        <v>3</v>
      </c>
      <c r="EL159" s="102"/>
      <c r="EM159" s="102"/>
    </row>
    <row r="160" spans="1:143" ht="15.75" customHeight="1" x14ac:dyDescent="0.55000000000000004">
      <c r="A160" s="99">
        <v>159</v>
      </c>
      <c r="B160" s="102" t="s">
        <v>1907</v>
      </c>
      <c r="C160" s="102" t="s">
        <v>1147</v>
      </c>
      <c r="D160" s="103">
        <v>43157</v>
      </c>
      <c r="E160" s="102" t="s">
        <v>846</v>
      </c>
      <c r="F160" s="102">
        <v>26</v>
      </c>
      <c r="G160" s="102">
        <v>2</v>
      </c>
      <c r="H160" s="102">
        <v>2018</v>
      </c>
      <c r="I160" s="102" t="s">
        <v>1908</v>
      </c>
      <c r="J160" s="102" t="s">
        <v>1909</v>
      </c>
      <c r="K160" s="102" t="s">
        <v>881</v>
      </c>
      <c r="L160" s="102">
        <v>22</v>
      </c>
      <c r="M160" s="102">
        <v>1</v>
      </c>
      <c r="N160" s="102">
        <v>0</v>
      </c>
      <c r="O160" s="102">
        <v>4</v>
      </c>
      <c r="P160" s="102">
        <v>0</v>
      </c>
      <c r="Q160" s="104">
        <v>0</v>
      </c>
      <c r="R160" s="102">
        <v>1</v>
      </c>
      <c r="S160" s="102">
        <v>7</v>
      </c>
      <c r="T160" s="102">
        <v>0</v>
      </c>
      <c r="U160" s="102">
        <v>0</v>
      </c>
      <c r="V160" s="102">
        <v>4</v>
      </c>
      <c r="W160" s="102">
        <v>0</v>
      </c>
      <c r="X160" s="102">
        <v>1</v>
      </c>
      <c r="Y160" s="102">
        <v>1</v>
      </c>
      <c r="Z160" s="102">
        <v>0</v>
      </c>
      <c r="AA160" s="102">
        <v>27</v>
      </c>
      <c r="AB160" s="102">
        <v>0</v>
      </c>
      <c r="AC160" s="102">
        <v>1</v>
      </c>
      <c r="AD160" s="102">
        <v>0</v>
      </c>
      <c r="AE160" s="102">
        <v>0</v>
      </c>
      <c r="AF160" s="102"/>
      <c r="AG160" s="102"/>
      <c r="AH160" s="102"/>
      <c r="AI160" s="102"/>
      <c r="AJ160" s="102"/>
      <c r="AK160" s="102"/>
      <c r="AL160" s="102"/>
      <c r="AM160" s="102"/>
      <c r="AN160" s="102"/>
      <c r="AO160" s="102">
        <v>1</v>
      </c>
      <c r="AP160" s="102"/>
      <c r="AQ160" s="102"/>
      <c r="AR160" s="102">
        <v>0</v>
      </c>
      <c r="AS160" s="102" t="s">
        <v>853</v>
      </c>
      <c r="AT160" s="102"/>
      <c r="AU160" s="102"/>
      <c r="AV160" s="102">
        <v>0</v>
      </c>
      <c r="AW160" s="102">
        <v>1</v>
      </c>
      <c r="AX160" s="102" t="s">
        <v>1239</v>
      </c>
      <c r="AY160" s="102">
        <v>5</v>
      </c>
      <c r="AZ160" s="102">
        <v>4</v>
      </c>
      <c r="BA160" s="102">
        <v>0</v>
      </c>
      <c r="BB160" s="102">
        <v>0</v>
      </c>
      <c r="BC160" s="102">
        <v>0</v>
      </c>
      <c r="BD160" s="102">
        <v>0</v>
      </c>
      <c r="BE160" s="102">
        <v>0</v>
      </c>
      <c r="BF160" s="102">
        <v>0</v>
      </c>
      <c r="BG160" s="102">
        <v>0</v>
      </c>
      <c r="BH160" s="102">
        <v>0</v>
      </c>
      <c r="BI160" s="102">
        <v>0</v>
      </c>
      <c r="BJ160" s="102">
        <v>0</v>
      </c>
      <c r="BK160" s="102">
        <v>0</v>
      </c>
      <c r="BL160" s="102">
        <v>0</v>
      </c>
      <c r="BM160" s="102">
        <v>0</v>
      </c>
      <c r="BN160" s="102">
        <v>0</v>
      </c>
      <c r="BO160" s="102">
        <v>0</v>
      </c>
      <c r="BP160" s="102">
        <v>0</v>
      </c>
      <c r="BQ160" s="102">
        <v>0</v>
      </c>
      <c r="BR160" s="102">
        <v>0</v>
      </c>
      <c r="BS160" s="102">
        <v>0</v>
      </c>
      <c r="BT160" s="102">
        <v>0</v>
      </c>
      <c r="BU160" s="102">
        <v>0</v>
      </c>
      <c r="BV160" s="102">
        <v>0</v>
      </c>
      <c r="BW160" s="102">
        <v>0</v>
      </c>
      <c r="BX160" s="102">
        <v>0</v>
      </c>
      <c r="BY160" s="102">
        <v>0</v>
      </c>
      <c r="BZ160" s="102">
        <v>0</v>
      </c>
      <c r="CA160" s="102">
        <v>0</v>
      </c>
      <c r="CB160" s="102">
        <v>1</v>
      </c>
      <c r="CC160" s="102">
        <v>1</v>
      </c>
      <c r="CD160" s="102" t="s">
        <v>1910</v>
      </c>
      <c r="CE160" s="102">
        <v>0</v>
      </c>
      <c r="CF160" s="102">
        <v>0</v>
      </c>
      <c r="CG160" s="102">
        <v>0</v>
      </c>
      <c r="CH160" s="102">
        <v>0</v>
      </c>
      <c r="CI160" s="102">
        <v>1</v>
      </c>
      <c r="CJ160" s="102">
        <v>0</v>
      </c>
      <c r="CK160" s="102">
        <v>0</v>
      </c>
      <c r="CL160" s="102">
        <v>0</v>
      </c>
      <c r="CM160" s="102">
        <v>1</v>
      </c>
      <c r="CN160" s="102">
        <v>2</v>
      </c>
      <c r="CO160" s="102">
        <v>0</v>
      </c>
      <c r="CP160" s="102">
        <v>0</v>
      </c>
      <c r="CQ160" s="102">
        <v>0</v>
      </c>
      <c r="CR160" s="102">
        <v>0</v>
      </c>
      <c r="CS160" s="102">
        <v>0</v>
      </c>
      <c r="CT160" s="102" t="s">
        <v>853</v>
      </c>
      <c r="CU160" s="102">
        <v>0</v>
      </c>
      <c r="CV160" s="102">
        <v>0</v>
      </c>
      <c r="CW160" s="102">
        <v>0</v>
      </c>
      <c r="CX160" s="102">
        <v>0</v>
      </c>
      <c r="CY160" s="102">
        <v>0</v>
      </c>
      <c r="CZ160" s="102">
        <v>0</v>
      </c>
      <c r="DA160" s="102" t="s">
        <v>853</v>
      </c>
      <c r="DB160" s="102">
        <v>0</v>
      </c>
      <c r="DC160" s="102">
        <v>0</v>
      </c>
      <c r="DD160" s="102">
        <v>0</v>
      </c>
      <c r="DE160" s="102">
        <v>0</v>
      </c>
      <c r="DF160" s="102">
        <v>0</v>
      </c>
      <c r="DG160" s="102">
        <v>0</v>
      </c>
      <c r="DH160" s="102">
        <v>0</v>
      </c>
      <c r="DI160" s="102">
        <v>0</v>
      </c>
      <c r="DJ160" s="102">
        <v>0</v>
      </c>
      <c r="DK160" s="102">
        <v>1</v>
      </c>
      <c r="DL160" s="102">
        <v>1</v>
      </c>
      <c r="DM160" s="102">
        <v>0</v>
      </c>
      <c r="DN160" s="102">
        <v>0</v>
      </c>
      <c r="DO160" s="102">
        <v>0</v>
      </c>
      <c r="DP160" s="102">
        <v>0</v>
      </c>
      <c r="DQ160" s="102">
        <v>0</v>
      </c>
      <c r="DR160" s="102">
        <v>1</v>
      </c>
      <c r="DS160" s="102">
        <v>0</v>
      </c>
      <c r="DT160" s="105" t="s">
        <v>1059</v>
      </c>
      <c r="DU160" s="102">
        <v>0</v>
      </c>
      <c r="DV160" s="102">
        <v>0</v>
      </c>
      <c r="DW160" s="102">
        <v>0</v>
      </c>
      <c r="DX160" s="102" t="s">
        <v>853</v>
      </c>
      <c r="DY160" s="102">
        <v>0</v>
      </c>
      <c r="DZ160" s="102">
        <v>0</v>
      </c>
      <c r="EA160" s="102" t="s">
        <v>853</v>
      </c>
      <c r="EB160" s="102">
        <v>0</v>
      </c>
      <c r="EC160" s="102">
        <v>0</v>
      </c>
      <c r="ED160" s="102">
        <v>0</v>
      </c>
      <c r="EE160" s="102">
        <v>1</v>
      </c>
      <c r="EF160" s="102">
        <v>1</v>
      </c>
      <c r="EG160" s="102">
        <v>0</v>
      </c>
      <c r="EH160" s="102" t="s">
        <v>853</v>
      </c>
      <c r="EI160" s="102">
        <v>0</v>
      </c>
      <c r="EJ160" s="102">
        <v>1</v>
      </c>
      <c r="EK160" s="102">
        <v>2</v>
      </c>
      <c r="EL160" s="102">
        <v>0</v>
      </c>
      <c r="EM160" s="102"/>
    </row>
    <row r="161" spans="1:143" ht="15.75" customHeight="1" x14ac:dyDescent="0.55000000000000004">
      <c r="A161" s="99">
        <v>160</v>
      </c>
      <c r="B161" s="102" t="s">
        <v>1911</v>
      </c>
      <c r="C161" s="102" t="s">
        <v>1912</v>
      </c>
      <c r="D161" s="103">
        <v>43212</v>
      </c>
      <c r="E161" s="102" t="s">
        <v>914</v>
      </c>
      <c r="F161" s="102">
        <v>22</v>
      </c>
      <c r="G161" s="102">
        <v>4</v>
      </c>
      <c r="H161" s="102">
        <v>2018</v>
      </c>
      <c r="I161" s="102" t="s">
        <v>1913</v>
      </c>
      <c r="J161" s="102" t="s">
        <v>1914</v>
      </c>
      <c r="K161" s="102" t="s">
        <v>1794</v>
      </c>
      <c r="L161" s="102">
        <v>42</v>
      </c>
      <c r="M161" s="102">
        <v>0</v>
      </c>
      <c r="N161" s="102">
        <v>0</v>
      </c>
      <c r="O161" s="102">
        <v>5</v>
      </c>
      <c r="P161" s="102">
        <v>0</v>
      </c>
      <c r="Q161" s="104">
        <v>0</v>
      </c>
      <c r="R161" s="102">
        <v>0</v>
      </c>
      <c r="S161" s="102" t="s">
        <v>853</v>
      </c>
      <c r="T161" s="102">
        <v>0</v>
      </c>
      <c r="U161" s="102">
        <v>0</v>
      </c>
      <c r="V161" s="102">
        <v>4</v>
      </c>
      <c r="W161" s="102">
        <v>4</v>
      </c>
      <c r="X161" s="102">
        <v>0</v>
      </c>
      <c r="Y161" s="102">
        <v>0</v>
      </c>
      <c r="Z161" s="102">
        <v>0</v>
      </c>
      <c r="AA161" s="102">
        <v>29</v>
      </c>
      <c r="AB161" s="102">
        <v>0</v>
      </c>
      <c r="AC161" s="102">
        <v>0</v>
      </c>
      <c r="AD161" s="102">
        <v>0</v>
      </c>
      <c r="AE161" s="102">
        <v>1</v>
      </c>
      <c r="AF161" s="102">
        <v>1</v>
      </c>
      <c r="AG161" s="102">
        <v>1</v>
      </c>
      <c r="AH161" s="102"/>
      <c r="AI161" s="102"/>
      <c r="AJ161" s="102"/>
      <c r="AK161" s="102">
        <v>3</v>
      </c>
      <c r="AL161" s="102"/>
      <c r="AM161" s="102"/>
      <c r="AN161" s="102">
        <v>0</v>
      </c>
      <c r="AO161" s="102">
        <v>0</v>
      </c>
      <c r="AP161" s="102">
        <v>0</v>
      </c>
      <c r="AQ161" s="102">
        <v>0</v>
      </c>
      <c r="AR161" s="102">
        <v>0</v>
      </c>
      <c r="AS161" s="102" t="s">
        <v>853</v>
      </c>
      <c r="AT161" s="102">
        <v>0</v>
      </c>
      <c r="AU161" s="102"/>
      <c r="AV161" s="102">
        <v>1</v>
      </c>
      <c r="AW161" s="102">
        <v>1</v>
      </c>
      <c r="AX161" s="102">
        <v>7</v>
      </c>
      <c r="AY161" s="102">
        <v>9</v>
      </c>
      <c r="AZ161" s="102">
        <v>4</v>
      </c>
      <c r="BA161" s="102">
        <v>1</v>
      </c>
      <c r="BB161" s="102">
        <v>0</v>
      </c>
      <c r="BC161" s="102">
        <v>0</v>
      </c>
      <c r="BD161" s="102">
        <v>0</v>
      </c>
      <c r="BE161" s="102">
        <v>0</v>
      </c>
      <c r="BF161" s="102">
        <v>0</v>
      </c>
      <c r="BG161" s="102">
        <v>0</v>
      </c>
      <c r="BH161" s="102">
        <v>0</v>
      </c>
      <c r="BI161" s="102">
        <v>1</v>
      </c>
      <c r="BJ161" s="102">
        <v>0</v>
      </c>
      <c r="BK161" s="102">
        <v>0</v>
      </c>
      <c r="BL161" s="102">
        <v>0</v>
      </c>
      <c r="BM161" s="102">
        <v>0</v>
      </c>
      <c r="BN161" s="102">
        <v>0</v>
      </c>
      <c r="BO161" s="102">
        <v>0</v>
      </c>
      <c r="BP161" s="102">
        <v>0</v>
      </c>
      <c r="BQ161" s="102">
        <v>0</v>
      </c>
      <c r="BR161" s="102">
        <v>0</v>
      </c>
      <c r="BS161" s="102">
        <v>0</v>
      </c>
      <c r="BT161" s="102">
        <v>0</v>
      </c>
      <c r="BU161" s="102">
        <v>1</v>
      </c>
      <c r="BV161" s="102">
        <v>0</v>
      </c>
      <c r="BW161" s="102">
        <v>0</v>
      </c>
      <c r="BX161" s="102">
        <v>0</v>
      </c>
      <c r="BY161" s="102">
        <v>0</v>
      </c>
      <c r="BZ161" s="102">
        <v>0</v>
      </c>
      <c r="CA161" s="102">
        <v>2</v>
      </c>
      <c r="CB161" s="102">
        <v>1</v>
      </c>
      <c r="CC161" s="102">
        <v>3</v>
      </c>
      <c r="CD161" s="102" t="s">
        <v>1915</v>
      </c>
      <c r="CE161" s="102">
        <v>1</v>
      </c>
      <c r="CF161" s="102">
        <v>0</v>
      </c>
      <c r="CG161" s="102">
        <v>0</v>
      </c>
      <c r="CH161" s="102">
        <v>1</v>
      </c>
      <c r="CI161" s="102">
        <v>1</v>
      </c>
      <c r="CJ161" s="102">
        <v>0</v>
      </c>
      <c r="CK161" s="102">
        <v>1</v>
      </c>
      <c r="CL161" s="102">
        <v>1</v>
      </c>
      <c r="CM161" s="102">
        <v>1</v>
      </c>
      <c r="CN161" s="102">
        <v>1</v>
      </c>
      <c r="CO161" s="102">
        <v>1</v>
      </c>
      <c r="CP161" s="102">
        <v>2</v>
      </c>
      <c r="CQ161" s="102">
        <v>0</v>
      </c>
      <c r="CR161" s="102">
        <v>0</v>
      </c>
      <c r="CS161" s="102">
        <v>0</v>
      </c>
      <c r="CT161" s="102" t="s">
        <v>853</v>
      </c>
      <c r="CU161" s="102">
        <v>0</v>
      </c>
      <c r="CV161" s="102">
        <v>2</v>
      </c>
      <c r="CW161" s="102">
        <v>0</v>
      </c>
      <c r="CX161" s="102">
        <v>0</v>
      </c>
      <c r="CY161" s="102">
        <v>0</v>
      </c>
      <c r="CZ161" s="102">
        <v>0</v>
      </c>
      <c r="DA161" s="102" t="s">
        <v>853</v>
      </c>
      <c r="DB161" s="102">
        <v>0</v>
      </c>
      <c r="DC161" s="102">
        <v>0</v>
      </c>
      <c r="DD161" s="102">
        <v>0</v>
      </c>
      <c r="DE161" s="102">
        <v>0</v>
      </c>
      <c r="DF161" s="102">
        <v>0</v>
      </c>
      <c r="DG161" s="102">
        <v>0</v>
      </c>
      <c r="DH161" s="102">
        <v>0</v>
      </c>
      <c r="DI161" s="102">
        <v>0</v>
      </c>
      <c r="DJ161" s="102">
        <v>0</v>
      </c>
      <c r="DK161" s="102">
        <v>0</v>
      </c>
      <c r="DL161" s="102">
        <v>0</v>
      </c>
      <c r="DM161" s="102">
        <v>0</v>
      </c>
      <c r="DN161" s="102">
        <v>0</v>
      </c>
      <c r="DO161" s="102">
        <v>1</v>
      </c>
      <c r="DP161" s="102">
        <v>3</v>
      </c>
      <c r="DQ161" s="102">
        <v>0</v>
      </c>
      <c r="DR161" s="102">
        <v>0</v>
      </c>
      <c r="DS161" s="102" t="s">
        <v>853</v>
      </c>
      <c r="DT161" s="105" t="s">
        <v>853</v>
      </c>
      <c r="DU161" s="102" t="s">
        <v>853</v>
      </c>
      <c r="DV161" s="102">
        <v>0</v>
      </c>
      <c r="DW161" s="102">
        <v>0</v>
      </c>
      <c r="DX161" s="102" t="s">
        <v>853</v>
      </c>
      <c r="DY161" s="102">
        <v>0</v>
      </c>
      <c r="DZ161" s="102">
        <v>0</v>
      </c>
      <c r="EA161" s="102" t="s">
        <v>853</v>
      </c>
      <c r="EB161" s="102">
        <v>0</v>
      </c>
      <c r="EC161" s="102">
        <v>0</v>
      </c>
      <c r="ED161" s="102">
        <v>1</v>
      </c>
      <c r="EE161" s="102">
        <v>2</v>
      </c>
      <c r="EF161" s="102">
        <v>2</v>
      </c>
      <c r="EG161" s="102">
        <v>0</v>
      </c>
      <c r="EH161" s="102" t="s">
        <v>853</v>
      </c>
      <c r="EI161" s="102">
        <v>2</v>
      </c>
      <c r="EJ161" s="102">
        <v>0</v>
      </c>
      <c r="EK161" s="102">
        <v>1</v>
      </c>
      <c r="EL161" s="102"/>
      <c r="EM161" s="102"/>
    </row>
    <row r="162" spans="1:143" ht="15.75" customHeight="1" x14ac:dyDescent="0.55000000000000004">
      <c r="A162" s="99">
        <v>161</v>
      </c>
      <c r="B162" s="102" t="s">
        <v>1916</v>
      </c>
      <c r="C162" s="102" t="s">
        <v>1917</v>
      </c>
      <c r="D162" s="103">
        <v>43238</v>
      </c>
      <c r="E162" s="102" t="s">
        <v>959</v>
      </c>
      <c r="F162" s="102">
        <v>18</v>
      </c>
      <c r="G162" s="102">
        <v>5</v>
      </c>
      <c r="H162" s="102">
        <v>2018</v>
      </c>
      <c r="I162" s="102" t="s">
        <v>1918</v>
      </c>
      <c r="J162" s="102" t="s">
        <v>1919</v>
      </c>
      <c r="K162" s="102" t="s">
        <v>849</v>
      </c>
      <c r="L162" s="102">
        <v>43</v>
      </c>
      <c r="M162" s="102">
        <v>0</v>
      </c>
      <c r="N162" s="102">
        <v>1</v>
      </c>
      <c r="O162" s="102">
        <v>0</v>
      </c>
      <c r="P162" s="102">
        <v>1</v>
      </c>
      <c r="Q162" s="104">
        <v>0</v>
      </c>
      <c r="R162" s="102">
        <v>0</v>
      </c>
      <c r="S162" s="102" t="s">
        <v>853</v>
      </c>
      <c r="T162" s="102">
        <v>1</v>
      </c>
      <c r="U162" s="102">
        <v>1</v>
      </c>
      <c r="V162" s="102">
        <v>10</v>
      </c>
      <c r="W162" s="102">
        <v>13</v>
      </c>
      <c r="X162" s="102">
        <v>0</v>
      </c>
      <c r="Y162" s="102">
        <v>0</v>
      </c>
      <c r="Z162" s="102">
        <v>0</v>
      </c>
      <c r="AA162" s="102">
        <v>17</v>
      </c>
      <c r="AB162" s="102">
        <v>0</v>
      </c>
      <c r="AC162" s="102">
        <v>0</v>
      </c>
      <c r="AD162" s="102">
        <v>0</v>
      </c>
      <c r="AE162" s="102">
        <v>0</v>
      </c>
      <c r="AF162" s="102">
        <v>0</v>
      </c>
      <c r="AG162" s="102">
        <v>0</v>
      </c>
      <c r="AH162" s="102">
        <v>2</v>
      </c>
      <c r="AI162" s="102" t="s">
        <v>1920</v>
      </c>
      <c r="AJ162" s="102">
        <v>1</v>
      </c>
      <c r="AK162" s="102">
        <v>1</v>
      </c>
      <c r="AL162" s="102">
        <v>0</v>
      </c>
      <c r="AM162" s="102">
        <v>1</v>
      </c>
      <c r="AN162" s="102">
        <v>0</v>
      </c>
      <c r="AO162" s="102">
        <v>0</v>
      </c>
      <c r="AP162" s="102">
        <v>0</v>
      </c>
      <c r="AQ162" s="102"/>
      <c r="AR162" s="102">
        <v>0</v>
      </c>
      <c r="AS162" s="102" t="s">
        <v>853</v>
      </c>
      <c r="AT162" s="102">
        <v>2</v>
      </c>
      <c r="AU162" s="102" t="s">
        <v>1921</v>
      </c>
      <c r="AV162" s="102">
        <v>0</v>
      </c>
      <c r="AW162" s="102">
        <v>0</v>
      </c>
      <c r="AX162" s="102">
        <v>0</v>
      </c>
      <c r="AY162" s="102">
        <v>0</v>
      </c>
      <c r="AZ162" s="102">
        <v>0</v>
      </c>
      <c r="BA162" s="102">
        <v>0</v>
      </c>
      <c r="BB162" s="102">
        <v>0</v>
      </c>
      <c r="BC162" s="102">
        <v>0</v>
      </c>
      <c r="BD162" s="102">
        <v>0</v>
      </c>
      <c r="BE162" s="102">
        <v>0</v>
      </c>
      <c r="BF162" s="102">
        <v>0</v>
      </c>
      <c r="BG162" s="102">
        <v>0</v>
      </c>
      <c r="BH162" s="102">
        <v>0</v>
      </c>
      <c r="BI162" s="102">
        <v>1</v>
      </c>
      <c r="BJ162" s="102">
        <v>0</v>
      </c>
      <c r="BK162" s="102">
        <v>1</v>
      </c>
      <c r="BL162" s="102">
        <v>0</v>
      </c>
      <c r="BM162" s="102">
        <v>0</v>
      </c>
      <c r="BN162" s="102">
        <v>0</v>
      </c>
      <c r="BO162" s="102">
        <v>0</v>
      </c>
      <c r="BP162" s="102">
        <v>1</v>
      </c>
      <c r="BQ162" s="102">
        <v>0</v>
      </c>
      <c r="BR162" s="102">
        <v>0</v>
      </c>
      <c r="BS162" s="102">
        <v>1</v>
      </c>
      <c r="BT162" s="102">
        <v>0</v>
      </c>
      <c r="BU162" s="102">
        <v>2</v>
      </c>
      <c r="BV162" s="102">
        <v>0</v>
      </c>
      <c r="BW162" s="102">
        <v>0</v>
      </c>
      <c r="BX162" s="102">
        <v>0</v>
      </c>
      <c r="BY162" s="102">
        <v>0</v>
      </c>
      <c r="BZ162" s="102">
        <v>0</v>
      </c>
      <c r="CA162" s="102">
        <v>0</v>
      </c>
      <c r="CB162" s="102">
        <v>0</v>
      </c>
      <c r="CC162" s="102" t="s">
        <v>853</v>
      </c>
      <c r="CD162" s="102"/>
      <c r="CE162" s="102">
        <v>0</v>
      </c>
      <c r="CF162" s="102">
        <v>0</v>
      </c>
      <c r="CG162" s="102">
        <v>0</v>
      </c>
      <c r="CH162" s="102">
        <v>0</v>
      </c>
      <c r="CI162" s="102">
        <v>0</v>
      </c>
      <c r="CJ162" s="102">
        <v>0</v>
      </c>
      <c r="CK162" s="102">
        <v>0</v>
      </c>
      <c r="CL162" s="102">
        <v>0</v>
      </c>
      <c r="CM162" s="102">
        <v>0</v>
      </c>
      <c r="CN162" s="102">
        <v>2</v>
      </c>
      <c r="CO162" s="102">
        <v>0</v>
      </c>
      <c r="CP162" s="102">
        <v>0</v>
      </c>
      <c r="CQ162" s="102">
        <v>0</v>
      </c>
      <c r="CR162" s="102">
        <v>0</v>
      </c>
      <c r="CS162" s="102">
        <v>0</v>
      </c>
      <c r="CT162" s="102" t="s">
        <v>853</v>
      </c>
      <c r="CU162" s="102">
        <v>0</v>
      </c>
      <c r="CV162" s="102">
        <v>0</v>
      </c>
      <c r="CW162" s="102">
        <v>2</v>
      </c>
      <c r="CX162" s="102">
        <v>0</v>
      </c>
      <c r="CY162" s="102">
        <v>0</v>
      </c>
      <c r="CZ162" s="102">
        <v>0</v>
      </c>
      <c r="DA162" s="102" t="s">
        <v>853</v>
      </c>
      <c r="DB162" s="102">
        <v>0</v>
      </c>
      <c r="DC162" s="102">
        <v>0</v>
      </c>
      <c r="DD162" s="102">
        <v>0</v>
      </c>
      <c r="DE162" s="102">
        <v>0</v>
      </c>
      <c r="DF162" s="102">
        <v>0</v>
      </c>
      <c r="DG162" s="102">
        <v>0</v>
      </c>
      <c r="DH162" s="102">
        <v>0</v>
      </c>
      <c r="DI162" s="102">
        <v>0</v>
      </c>
      <c r="DJ162" s="102">
        <v>0</v>
      </c>
      <c r="DK162" s="102">
        <v>0</v>
      </c>
      <c r="DL162" s="102">
        <v>0</v>
      </c>
      <c r="DM162" s="102">
        <v>0</v>
      </c>
      <c r="DN162" s="102">
        <v>0</v>
      </c>
      <c r="DO162" s="102">
        <v>1</v>
      </c>
      <c r="DP162" s="102">
        <v>2</v>
      </c>
      <c r="DQ162" s="102">
        <v>1</v>
      </c>
      <c r="DR162" s="102">
        <v>1</v>
      </c>
      <c r="DS162" s="102">
        <v>4</v>
      </c>
      <c r="DT162" s="105" t="s">
        <v>1080</v>
      </c>
      <c r="DU162" s="102">
        <v>0</v>
      </c>
      <c r="DV162" s="102">
        <v>0</v>
      </c>
      <c r="DW162" s="102">
        <v>0</v>
      </c>
      <c r="DX162" s="102" t="s">
        <v>853</v>
      </c>
      <c r="DY162" s="102">
        <v>0</v>
      </c>
      <c r="DZ162" s="102">
        <v>1</v>
      </c>
      <c r="EA162" s="102" t="s">
        <v>1922</v>
      </c>
      <c r="EB162" s="102">
        <v>1</v>
      </c>
      <c r="EC162" s="102">
        <v>0</v>
      </c>
      <c r="ED162" s="102">
        <v>1</v>
      </c>
      <c r="EE162" s="102">
        <v>0</v>
      </c>
      <c r="EF162" s="102">
        <v>2</v>
      </c>
      <c r="EG162" s="102">
        <v>1</v>
      </c>
      <c r="EH162" s="102" t="s">
        <v>1923</v>
      </c>
      <c r="EI162" s="102">
        <v>2</v>
      </c>
      <c r="EJ162" s="102">
        <v>0</v>
      </c>
      <c r="EK162" s="102">
        <v>3</v>
      </c>
      <c r="EL162" s="102"/>
      <c r="EM162" s="102"/>
    </row>
    <row r="163" spans="1:143" ht="15.75" customHeight="1" x14ac:dyDescent="0.55000000000000004">
      <c r="A163" s="99">
        <v>162</v>
      </c>
      <c r="B163" s="102" t="s">
        <v>1924</v>
      </c>
      <c r="C163" s="102" t="s">
        <v>1925</v>
      </c>
      <c r="D163" s="103">
        <v>43279</v>
      </c>
      <c r="E163" s="102" t="s">
        <v>995</v>
      </c>
      <c r="F163" s="102">
        <v>28</v>
      </c>
      <c r="G163" s="102">
        <v>6</v>
      </c>
      <c r="H163" s="102">
        <v>2018</v>
      </c>
      <c r="I163" s="102" t="s">
        <v>1926</v>
      </c>
      <c r="J163" s="102" t="s">
        <v>1927</v>
      </c>
      <c r="K163" s="102" t="s">
        <v>1928</v>
      </c>
      <c r="L163" s="102">
        <v>20</v>
      </c>
      <c r="M163" s="102">
        <v>0</v>
      </c>
      <c r="N163" s="102">
        <v>0</v>
      </c>
      <c r="O163" s="107">
        <v>6</v>
      </c>
      <c r="P163" s="102">
        <v>0</v>
      </c>
      <c r="Q163" s="104">
        <v>0</v>
      </c>
      <c r="R163" s="102">
        <v>0</v>
      </c>
      <c r="S163" s="102" t="s">
        <v>853</v>
      </c>
      <c r="T163" s="102">
        <v>0</v>
      </c>
      <c r="U163" s="102">
        <v>0</v>
      </c>
      <c r="V163" s="102">
        <v>5</v>
      </c>
      <c r="W163" s="102">
        <v>3</v>
      </c>
      <c r="X163" s="102">
        <v>0</v>
      </c>
      <c r="Y163" s="102">
        <v>0</v>
      </c>
      <c r="Z163" s="102">
        <v>0</v>
      </c>
      <c r="AA163" s="102">
        <v>38</v>
      </c>
      <c r="AB163" s="102">
        <v>0</v>
      </c>
      <c r="AC163" s="102">
        <v>2</v>
      </c>
      <c r="AD163" s="102">
        <v>0</v>
      </c>
      <c r="AE163" s="102">
        <v>0</v>
      </c>
      <c r="AF163" s="102"/>
      <c r="AG163" s="102">
        <v>3</v>
      </c>
      <c r="AH163" s="102">
        <v>2</v>
      </c>
      <c r="AI163" s="102" t="s">
        <v>1929</v>
      </c>
      <c r="AJ163" s="102">
        <v>1</v>
      </c>
      <c r="AK163" s="102">
        <v>1</v>
      </c>
      <c r="AL163" s="102">
        <v>0</v>
      </c>
      <c r="AM163" s="102">
        <v>1</v>
      </c>
      <c r="AN163" s="102">
        <v>0</v>
      </c>
      <c r="AO163" s="102">
        <v>0</v>
      </c>
      <c r="AP163" s="102">
        <v>0</v>
      </c>
      <c r="AQ163" s="102">
        <v>2</v>
      </c>
      <c r="AR163" s="102">
        <v>0</v>
      </c>
      <c r="AS163" s="102" t="s">
        <v>853</v>
      </c>
      <c r="AT163" s="102">
        <v>0</v>
      </c>
      <c r="AU163" s="102"/>
      <c r="AV163" s="102">
        <v>0</v>
      </c>
      <c r="AW163" s="102">
        <v>1</v>
      </c>
      <c r="AX163" s="102">
        <v>0</v>
      </c>
      <c r="AY163" s="102">
        <v>9</v>
      </c>
      <c r="AZ163" s="102">
        <v>4</v>
      </c>
      <c r="BA163" s="102">
        <v>0</v>
      </c>
      <c r="BB163" s="102">
        <v>0</v>
      </c>
      <c r="BC163" s="102">
        <v>1</v>
      </c>
      <c r="BD163" s="102">
        <v>3</v>
      </c>
      <c r="BE163" s="102">
        <v>0</v>
      </c>
      <c r="BF163" s="102">
        <v>0</v>
      </c>
      <c r="BG163" s="102">
        <v>0</v>
      </c>
      <c r="BH163" s="102">
        <v>0</v>
      </c>
      <c r="BI163" s="102">
        <v>1</v>
      </c>
      <c r="BJ163" s="102">
        <v>1</v>
      </c>
      <c r="BK163" s="102">
        <v>1</v>
      </c>
      <c r="BL163" s="102">
        <v>0</v>
      </c>
      <c r="BM163" s="102">
        <v>0</v>
      </c>
      <c r="BN163" s="102">
        <v>0</v>
      </c>
      <c r="BO163" s="102">
        <v>0</v>
      </c>
      <c r="BP163" s="102">
        <v>0</v>
      </c>
      <c r="BQ163" s="102">
        <v>0</v>
      </c>
      <c r="BR163" s="102">
        <v>0</v>
      </c>
      <c r="BS163" s="102">
        <v>0</v>
      </c>
      <c r="BT163" s="102">
        <v>0</v>
      </c>
      <c r="BU163" s="102">
        <v>1</v>
      </c>
      <c r="BV163" s="102">
        <v>0</v>
      </c>
      <c r="BW163" s="102">
        <v>0</v>
      </c>
      <c r="BX163" s="102">
        <v>0</v>
      </c>
      <c r="BY163" s="102">
        <v>0</v>
      </c>
      <c r="BZ163" s="102">
        <v>0</v>
      </c>
      <c r="CA163" s="102">
        <v>5</v>
      </c>
      <c r="CB163" s="102">
        <v>1</v>
      </c>
      <c r="CC163" s="102">
        <v>3</v>
      </c>
      <c r="CD163" s="102" t="s">
        <v>1930</v>
      </c>
      <c r="CE163" s="102">
        <v>0</v>
      </c>
      <c r="CF163" s="102">
        <v>0</v>
      </c>
      <c r="CG163" s="102">
        <v>0</v>
      </c>
      <c r="CH163" s="102">
        <v>0</v>
      </c>
      <c r="CI163" s="102">
        <v>1</v>
      </c>
      <c r="CJ163" s="102">
        <v>1</v>
      </c>
      <c r="CK163" s="102">
        <v>1</v>
      </c>
      <c r="CL163" s="102">
        <v>1</v>
      </c>
      <c r="CM163" s="102">
        <v>0</v>
      </c>
      <c r="CN163" s="102">
        <v>0</v>
      </c>
      <c r="CO163" s="102">
        <v>0</v>
      </c>
      <c r="CP163" s="102">
        <v>0</v>
      </c>
      <c r="CQ163" s="102">
        <v>1</v>
      </c>
      <c r="CR163" s="102">
        <v>2</v>
      </c>
      <c r="CS163" s="102">
        <v>0</v>
      </c>
      <c r="CT163" s="102" t="s">
        <v>853</v>
      </c>
      <c r="CU163" s="102">
        <v>0</v>
      </c>
      <c r="CV163" s="102">
        <v>4</v>
      </c>
      <c r="CW163" s="102">
        <v>0</v>
      </c>
      <c r="CX163" s="102">
        <v>1</v>
      </c>
      <c r="CY163" s="102">
        <v>0</v>
      </c>
      <c r="CZ163" s="102">
        <v>1</v>
      </c>
      <c r="DA163" s="102" t="s">
        <v>1931</v>
      </c>
      <c r="DB163" s="102">
        <v>0</v>
      </c>
      <c r="DC163" s="102">
        <v>2</v>
      </c>
      <c r="DD163" s="102">
        <v>0</v>
      </c>
      <c r="DE163" s="102">
        <v>0</v>
      </c>
      <c r="DF163" s="102">
        <v>0</v>
      </c>
      <c r="DG163" s="102">
        <v>0</v>
      </c>
      <c r="DH163" s="102">
        <v>0</v>
      </c>
      <c r="DI163" s="102">
        <v>0</v>
      </c>
      <c r="DJ163" s="102">
        <v>1</v>
      </c>
      <c r="DK163" s="102">
        <v>0</v>
      </c>
      <c r="DL163" s="102">
        <v>0</v>
      </c>
      <c r="DM163" s="102">
        <v>0</v>
      </c>
      <c r="DN163" s="102">
        <v>1</v>
      </c>
      <c r="DO163" s="102">
        <v>0</v>
      </c>
      <c r="DP163" s="102">
        <v>0</v>
      </c>
      <c r="DQ163" s="102">
        <v>1</v>
      </c>
      <c r="DR163" s="102">
        <v>1</v>
      </c>
      <c r="DS163" s="102">
        <v>4</v>
      </c>
      <c r="DT163" s="105" t="s">
        <v>1080</v>
      </c>
      <c r="DU163" s="102">
        <v>0</v>
      </c>
      <c r="DV163" s="102">
        <v>1</v>
      </c>
      <c r="DW163" s="102">
        <v>1</v>
      </c>
      <c r="DX163" s="102" t="s">
        <v>1932</v>
      </c>
      <c r="DY163" s="102">
        <v>1</v>
      </c>
      <c r="DZ163" s="102">
        <v>0</v>
      </c>
      <c r="EA163" s="102" t="s">
        <v>853</v>
      </c>
      <c r="EB163" s="102">
        <v>1</v>
      </c>
      <c r="EC163" s="102">
        <v>0</v>
      </c>
      <c r="ED163" s="102">
        <v>0</v>
      </c>
      <c r="EE163" s="102">
        <v>1</v>
      </c>
      <c r="EF163" s="102">
        <v>1</v>
      </c>
      <c r="EG163" s="102">
        <v>1</v>
      </c>
      <c r="EH163" s="102" t="s">
        <v>1569</v>
      </c>
      <c r="EI163" s="102">
        <v>2</v>
      </c>
      <c r="EJ163" s="102">
        <v>0</v>
      </c>
      <c r="EK163" s="102">
        <v>1</v>
      </c>
      <c r="EL163" s="102">
        <v>2</v>
      </c>
      <c r="EM163" s="102"/>
    </row>
    <row r="164" spans="1:143" ht="15.75" customHeight="1" x14ac:dyDescent="0.55000000000000004">
      <c r="A164" s="99">
        <v>163</v>
      </c>
      <c r="B164" s="102" t="s">
        <v>1933</v>
      </c>
      <c r="C164" s="102" t="s">
        <v>1934</v>
      </c>
      <c r="D164" s="103">
        <v>43355</v>
      </c>
      <c r="E164" s="102" t="s">
        <v>891</v>
      </c>
      <c r="F164" s="102">
        <v>12</v>
      </c>
      <c r="G164" s="102">
        <v>9</v>
      </c>
      <c r="H164" s="102">
        <v>2018</v>
      </c>
      <c r="I164" s="102" t="s">
        <v>1935</v>
      </c>
      <c r="J164" s="102" t="s">
        <v>1936</v>
      </c>
      <c r="K164" s="102" t="s">
        <v>930</v>
      </c>
      <c r="L164" s="102">
        <v>5</v>
      </c>
      <c r="M164" s="102">
        <v>3</v>
      </c>
      <c r="N164" s="102">
        <v>0</v>
      </c>
      <c r="O164" s="106">
        <v>9</v>
      </c>
      <c r="P164" s="102">
        <v>0</v>
      </c>
      <c r="Q164" s="104">
        <v>1</v>
      </c>
      <c r="R164" s="102">
        <v>1</v>
      </c>
      <c r="S164" s="102">
        <v>7</v>
      </c>
      <c r="T164" s="102">
        <v>0</v>
      </c>
      <c r="U164" s="102">
        <v>0</v>
      </c>
      <c r="V164" s="102">
        <v>5</v>
      </c>
      <c r="W164" s="102">
        <v>0</v>
      </c>
      <c r="X164" s="102">
        <v>0</v>
      </c>
      <c r="Y164" s="102">
        <v>1</v>
      </c>
      <c r="Z164" s="102">
        <v>1</v>
      </c>
      <c r="AA164" s="102">
        <v>54</v>
      </c>
      <c r="AB164" s="102">
        <v>0</v>
      </c>
      <c r="AC164" s="102">
        <v>2</v>
      </c>
      <c r="AD164" s="102">
        <v>1</v>
      </c>
      <c r="AE164" s="102">
        <v>0</v>
      </c>
      <c r="AF164" s="102"/>
      <c r="AG164" s="102"/>
      <c r="AH164" s="102"/>
      <c r="AI164" s="102"/>
      <c r="AJ164" s="102"/>
      <c r="AK164" s="102"/>
      <c r="AL164" s="102"/>
      <c r="AM164" s="102"/>
      <c r="AN164" s="102">
        <v>3</v>
      </c>
      <c r="AO164" s="102">
        <v>1</v>
      </c>
      <c r="AP164" s="102">
        <v>1</v>
      </c>
      <c r="AQ164" s="102">
        <v>0</v>
      </c>
      <c r="AR164" s="102">
        <v>0</v>
      </c>
      <c r="AS164" s="102" t="s">
        <v>853</v>
      </c>
      <c r="AT164" s="102"/>
      <c r="AU164" s="102"/>
      <c r="AV164" s="102">
        <v>0</v>
      </c>
      <c r="AW164" s="102">
        <v>0</v>
      </c>
      <c r="AX164" s="102">
        <v>0</v>
      </c>
      <c r="AY164" s="102">
        <v>0</v>
      </c>
      <c r="AZ164" s="102">
        <v>0</v>
      </c>
      <c r="BA164" s="102">
        <v>0</v>
      </c>
      <c r="BB164" s="102">
        <v>0</v>
      </c>
      <c r="BC164" s="102">
        <v>1</v>
      </c>
      <c r="BD164" s="102">
        <v>3</v>
      </c>
      <c r="BE164" s="102">
        <v>0</v>
      </c>
      <c r="BF164" s="102">
        <v>0</v>
      </c>
      <c r="BG164" s="102">
        <v>0</v>
      </c>
      <c r="BH164" s="102">
        <v>0</v>
      </c>
      <c r="BI164" s="102">
        <v>0</v>
      </c>
      <c r="BJ164" s="102">
        <v>0</v>
      </c>
      <c r="BK164" s="102">
        <v>0</v>
      </c>
      <c r="BL164" s="102">
        <v>0</v>
      </c>
      <c r="BM164" s="102">
        <v>0</v>
      </c>
      <c r="BN164" s="102">
        <v>0</v>
      </c>
      <c r="BO164" s="102">
        <v>0</v>
      </c>
      <c r="BP164" s="102">
        <v>0</v>
      </c>
      <c r="BQ164" s="102">
        <v>0</v>
      </c>
      <c r="BR164" s="102">
        <v>0</v>
      </c>
      <c r="BS164" s="102">
        <v>0</v>
      </c>
      <c r="BT164" s="102">
        <v>0</v>
      </c>
      <c r="BU164" s="102"/>
      <c r="BV164" s="102">
        <v>0</v>
      </c>
      <c r="BW164" s="102">
        <v>0</v>
      </c>
      <c r="BX164" s="102">
        <v>0</v>
      </c>
      <c r="BY164" s="102">
        <v>0</v>
      </c>
      <c r="BZ164" s="102">
        <v>0</v>
      </c>
      <c r="CA164" s="102">
        <v>1</v>
      </c>
      <c r="CB164" s="102">
        <v>1</v>
      </c>
      <c r="CC164" s="102">
        <v>2</v>
      </c>
      <c r="CD164" s="102" t="s">
        <v>1937</v>
      </c>
      <c r="CE164" s="102">
        <v>0</v>
      </c>
      <c r="CF164" s="102">
        <v>1</v>
      </c>
      <c r="CG164" s="102">
        <v>0</v>
      </c>
      <c r="CH164" s="102">
        <v>1</v>
      </c>
      <c r="CI164" s="102">
        <v>1</v>
      </c>
      <c r="CJ164" s="102">
        <v>1</v>
      </c>
      <c r="CK164" s="102">
        <v>0</v>
      </c>
      <c r="CL164" s="102">
        <v>0</v>
      </c>
      <c r="CM164" s="102">
        <v>0</v>
      </c>
      <c r="CN164" s="102">
        <v>2</v>
      </c>
      <c r="CO164" s="102">
        <v>0</v>
      </c>
      <c r="CP164" s="102">
        <v>0</v>
      </c>
      <c r="CQ164" s="102">
        <v>0</v>
      </c>
      <c r="CR164" s="102">
        <v>0</v>
      </c>
      <c r="CS164" s="102">
        <v>0</v>
      </c>
      <c r="CT164" s="102" t="s">
        <v>853</v>
      </c>
      <c r="CU164" s="102">
        <v>0</v>
      </c>
      <c r="CV164" s="102">
        <v>0</v>
      </c>
      <c r="CW164" s="102">
        <v>0</v>
      </c>
      <c r="CX164" s="102">
        <v>0</v>
      </c>
      <c r="CY164" s="102">
        <v>0</v>
      </c>
      <c r="CZ164" s="102">
        <v>0</v>
      </c>
      <c r="DA164" s="102" t="s">
        <v>853</v>
      </c>
      <c r="DB164" s="102">
        <v>0</v>
      </c>
      <c r="DC164" s="102">
        <v>0</v>
      </c>
      <c r="DD164" s="102">
        <v>0</v>
      </c>
      <c r="DE164" s="102">
        <v>0</v>
      </c>
      <c r="DF164" s="102">
        <v>0</v>
      </c>
      <c r="DG164" s="102">
        <v>0</v>
      </c>
      <c r="DH164" s="102">
        <v>0</v>
      </c>
      <c r="DI164" s="102">
        <v>0</v>
      </c>
      <c r="DJ164" s="102">
        <v>0</v>
      </c>
      <c r="DK164" s="102">
        <v>1</v>
      </c>
      <c r="DL164" s="102">
        <v>0</v>
      </c>
      <c r="DM164" s="102">
        <v>0</v>
      </c>
      <c r="DN164" s="102">
        <v>0</v>
      </c>
      <c r="DO164" s="102">
        <v>0</v>
      </c>
      <c r="DP164" s="102">
        <v>0</v>
      </c>
      <c r="DQ164" s="102">
        <v>0</v>
      </c>
      <c r="DR164" s="102">
        <v>0</v>
      </c>
      <c r="DS164" s="102" t="s">
        <v>853</v>
      </c>
      <c r="DT164" s="105" t="s">
        <v>853</v>
      </c>
      <c r="DU164" s="102" t="s">
        <v>853</v>
      </c>
      <c r="DV164" s="102">
        <v>0</v>
      </c>
      <c r="DW164" s="102">
        <v>0</v>
      </c>
      <c r="DX164" s="102" t="s">
        <v>853</v>
      </c>
      <c r="DY164" s="102">
        <v>0</v>
      </c>
      <c r="DZ164" s="102">
        <v>0</v>
      </c>
      <c r="EA164" s="102" t="s">
        <v>853</v>
      </c>
      <c r="EB164" s="102">
        <v>0</v>
      </c>
      <c r="EC164" s="102">
        <v>0</v>
      </c>
      <c r="ED164" s="102">
        <v>0</v>
      </c>
      <c r="EE164" s="102">
        <v>1</v>
      </c>
      <c r="EF164" s="102">
        <v>1</v>
      </c>
      <c r="EG164" s="102">
        <v>0</v>
      </c>
      <c r="EH164" s="102" t="s">
        <v>853</v>
      </c>
      <c r="EI164" s="102">
        <v>0</v>
      </c>
      <c r="EJ164" s="102">
        <v>0</v>
      </c>
      <c r="EK164" s="102">
        <v>2</v>
      </c>
      <c r="EL164" s="102">
        <v>0</v>
      </c>
      <c r="EM164" s="102"/>
    </row>
    <row r="165" spans="1:143" ht="15.75" customHeight="1" x14ac:dyDescent="0.55000000000000004">
      <c r="A165" s="99">
        <v>164</v>
      </c>
      <c r="B165" s="102" t="s">
        <v>1938</v>
      </c>
      <c r="C165" s="102" t="s">
        <v>859</v>
      </c>
      <c r="D165" s="103">
        <v>43400</v>
      </c>
      <c r="E165" s="102" t="s">
        <v>860</v>
      </c>
      <c r="F165" s="102">
        <v>27</v>
      </c>
      <c r="G165" s="102">
        <v>10</v>
      </c>
      <c r="H165" s="102">
        <v>2018</v>
      </c>
      <c r="I165" s="102" t="s">
        <v>1939</v>
      </c>
      <c r="J165" s="102" t="s">
        <v>1940</v>
      </c>
      <c r="K165" s="102" t="s">
        <v>873</v>
      </c>
      <c r="L165" s="102">
        <v>38</v>
      </c>
      <c r="M165" s="102">
        <v>2</v>
      </c>
      <c r="N165" s="102">
        <v>0</v>
      </c>
      <c r="O165" s="102">
        <v>3</v>
      </c>
      <c r="P165" s="102">
        <v>0</v>
      </c>
      <c r="Q165" s="104">
        <v>0</v>
      </c>
      <c r="R165" s="102">
        <v>0</v>
      </c>
      <c r="S165" s="102" t="s">
        <v>853</v>
      </c>
      <c r="T165" s="102">
        <v>0</v>
      </c>
      <c r="U165" s="102">
        <v>0</v>
      </c>
      <c r="V165" s="102">
        <v>11</v>
      </c>
      <c r="W165" s="102">
        <v>6</v>
      </c>
      <c r="X165" s="102">
        <v>0</v>
      </c>
      <c r="Y165" s="102">
        <v>0</v>
      </c>
      <c r="Z165" s="102">
        <v>0</v>
      </c>
      <c r="AA165" s="102">
        <v>46</v>
      </c>
      <c r="AB165" s="102">
        <v>0</v>
      </c>
      <c r="AC165" s="102">
        <v>0</v>
      </c>
      <c r="AD165" s="102">
        <v>0</v>
      </c>
      <c r="AE165" s="102">
        <v>0</v>
      </c>
      <c r="AF165" s="102">
        <v>1</v>
      </c>
      <c r="AG165" s="102">
        <v>0</v>
      </c>
      <c r="AH165" s="102">
        <v>0</v>
      </c>
      <c r="AI165" s="102" t="s">
        <v>1043</v>
      </c>
      <c r="AJ165" s="102">
        <v>0</v>
      </c>
      <c r="AK165" s="102">
        <v>0</v>
      </c>
      <c r="AL165" s="102">
        <v>0</v>
      </c>
      <c r="AM165" s="102">
        <v>0</v>
      </c>
      <c r="AN165" s="102">
        <v>0</v>
      </c>
      <c r="AO165" s="102">
        <v>0</v>
      </c>
      <c r="AP165" s="102">
        <v>1</v>
      </c>
      <c r="AQ165" s="102">
        <v>0</v>
      </c>
      <c r="AR165" s="102">
        <v>0</v>
      </c>
      <c r="AS165" s="102" t="s">
        <v>853</v>
      </c>
      <c r="AT165" s="102">
        <v>0</v>
      </c>
      <c r="AU165" s="102"/>
      <c r="AV165" s="102">
        <v>0</v>
      </c>
      <c r="AW165" s="102">
        <v>0</v>
      </c>
      <c r="AX165" s="102">
        <v>0</v>
      </c>
      <c r="AY165" s="102">
        <v>0</v>
      </c>
      <c r="AZ165" s="102">
        <v>0</v>
      </c>
      <c r="BA165" s="102">
        <v>0</v>
      </c>
      <c r="BB165" s="102">
        <v>0</v>
      </c>
      <c r="BC165" s="102">
        <v>0</v>
      </c>
      <c r="BD165" s="102">
        <v>0</v>
      </c>
      <c r="BE165" s="102">
        <v>0</v>
      </c>
      <c r="BF165" s="102">
        <v>0</v>
      </c>
      <c r="BG165" s="102">
        <v>1</v>
      </c>
      <c r="BH165" s="102">
        <v>1</v>
      </c>
      <c r="BI165" s="102">
        <v>0</v>
      </c>
      <c r="BJ165" s="102">
        <v>0</v>
      </c>
      <c r="BK165" s="102">
        <v>0</v>
      </c>
      <c r="BL165" s="102">
        <v>1</v>
      </c>
      <c r="BM165" s="102">
        <v>1</v>
      </c>
      <c r="BN165" s="102">
        <v>0</v>
      </c>
      <c r="BO165" s="102">
        <v>1</v>
      </c>
      <c r="BP165" s="102">
        <v>1</v>
      </c>
      <c r="BQ165" s="102">
        <v>0</v>
      </c>
      <c r="BR165" s="102">
        <v>0</v>
      </c>
      <c r="BS165" s="102">
        <v>0</v>
      </c>
      <c r="BT165" s="102">
        <v>0</v>
      </c>
      <c r="BU165" s="102"/>
      <c r="BV165" s="102">
        <v>0</v>
      </c>
      <c r="BW165" s="102">
        <v>0</v>
      </c>
      <c r="BX165" s="102">
        <v>1</v>
      </c>
      <c r="BY165" s="102">
        <v>1</v>
      </c>
      <c r="BZ165" s="102">
        <v>0</v>
      </c>
      <c r="CA165" s="102">
        <v>0</v>
      </c>
      <c r="CB165" s="102">
        <v>1</v>
      </c>
      <c r="CC165" s="102">
        <v>3</v>
      </c>
      <c r="CD165" s="102" t="s">
        <v>1941</v>
      </c>
      <c r="CE165" s="102">
        <v>0</v>
      </c>
      <c r="CF165" s="102">
        <v>0</v>
      </c>
      <c r="CG165" s="102">
        <v>0</v>
      </c>
      <c r="CH165" s="102">
        <v>0</v>
      </c>
      <c r="CI165" s="102">
        <v>0</v>
      </c>
      <c r="CJ165" s="102">
        <v>1</v>
      </c>
      <c r="CK165" s="102">
        <v>1</v>
      </c>
      <c r="CL165" s="102">
        <v>0</v>
      </c>
      <c r="CM165" s="102">
        <v>0</v>
      </c>
      <c r="CN165" s="102">
        <v>1</v>
      </c>
      <c r="CO165" s="102">
        <v>0</v>
      </c>
      <c r="CP165" s="102">
        <v>0</v>
      </c>
      <c r="CQ165" s="102">
        <v>0</v>
      </c>
      <c r="CR165" s="102">
        <v>0</v>
      </c>
      <c r="CS165" s="102">
        <v>0</v>
      </c>
      <c r="CT165" s="102" t="s">
        <v>853</v>
      </c>
      <c r="CU165" s="102">
        <v>0</v>
      </c>
      <c r="CV165" s="102">
        <v>0</v>
      </c>
      <c r="CW165" s="102">
        <v>1</v>
      </c>
      <c r="CX165" s="102">
        <v>0</v>
      </c>
      <c r="CY165" s="102">
        <v>0</v>
      </c>
      <c r="CZ165" s="102">
        <v>0</v>
      </c>
      <c r="DA165" s="102" t="s">
        <v>853</v>
      </c>
      <c r="DB165" s="102">
        <v>0</v>
      </c>
      <c r="DC165" s="102" t="s">
        <v>1184</v>
      </c>
      <c r="DD165" s="102">
        <v>1</v>
      </c>
      <c r="DE165" s="102">
        <v>1</v>
      </c>
      <c r="DF165" s="102">
        <v>0</v>
      </c>
      <c r="DG165" s="102">
        <v>0</v>
      </c>
      <c r="DH165" s="102">
        <v>0</v>
      </c>
      <c r="DI165" s="102">
        <v>0</v>
      </c>
      <c r="DJ165" s="102">
        <v>0</v>
      </c>
      <c r="DK165" s="102">
        <v>0</v>
      </c>
      <c r="DL165" s="102">
        <v>0</v>
      </c>
      <c r="DM165" s="102">
        <v>0</v>
      </c>
      <c r="DN165" s="102">
        <v>0</v>
      </c>
      <c r="DO165" s="102">
        <v>0</v>
      </c>
      <c r="DP165" s="102">
        <v>0</v>
      </c>
      <c r="DQ165" s="102">
        <v>1</v>
      </c>
      <c r="DR165" s="102">
        <v>1</v>
      </c>
      <c r="DS165" s="102">
        <v>4</v>
      </c>
      <c r="DT165" s="105" t="s">
        <v>1080</v>
      </c>
      <c r="DU165" s="102">
        <v>0</v>
      </c>
      <c r="DV165" s="102">
        <v>1</v>
      </c>
      <c r="DW165" s="102">
        <v>0</v>
      </c>
      <c r="DX165" s="102" t="s">
        <v>853</v>
      </c>
      <c r="DY165" s="102">
        <v>0</v>
      </c>
      <c r="DZ165" s="102">
        <v>0</v>
      </c>
      <c r="EA165" s="102" t="s">
        <v>853</v>
      </c>
      <c r="EB165" s="102">
        <v>0</v>
      </c>
      <c r="EC165" s="102">
        <v>0</v>
      </c>
      <c r="ED165" s="102">
        <v>1</v>
      </c>
      <c r="EE165" s="102">
        <v>1</v>
      </c>
      <c r="EF165" s="102">
        <v>5</v>
      </c>
      <c r="EG165" s="102">
        <v>0</v>
      </c>
      <c r="EH165" s="102" t="s">
        <v>853</v>
      </c>
      <c r="EI165" s="102">
        <v>2</v>
      </c>
      <c r="EJ165" s="102">
        <v>1</v>
      </c>
      <c r="EK165" s="102">
        <v>3</v>
      </c>
      <c r="EL165" s="102"/>
      <c r="EM165" s="102"/>
    </row>
    <row r="166" spans="1:143" ht="15.75" customHeight="1" x14ac:dyDescent="0.55000000000000004">
      <c r="A166" s="99">
        <v>165</v>
      </c>
      <c r="B166" s="102" t="s">
        <v>1942</v>
      </c>
      <c r="C166" s="102" t="s">
        <v>1943</v>
      </c>
      <c r="D166" s="103">
        <v>43411</v>
      </c>
      <c r="E166" s="102" t="s">
        <v>891</v>
      </c>
      <c r="F166" s="102">
        <v>7</v>
      </c>
      <c r="G166" s="102">
        <v>11</v>
      </c>
      <c r="H166" s="102">
        <v>2018</v>
      </c>
      <c r="I166" s="102" t="s">
        <v>1944</v>
      </c>
      <c r="J166" s="102" t="s">
        <v>1945</v>
      </c>
      <c r="K166" s="102" t="s">
        <v>930</v>
      </c>
      <c r="L166" s="102">
        <v>5</v>
      </c>
      <c r="M166" s="102">
        <v>3</v>
      </c>
      <c r="N166" s="102">
        <v>1</v>
      </c>
      <c r="O166" s="102">
        <v>5</v>
      </c>
      <c r="P166" s="102">
        <v>0</v>
      </c>
      <c r="Q166" s="104">
        <v>0</v>
      </c>
      <c r="R166" s="102">
        <v>0</v>
      </c>
      <c r="S166" s="102" t="s">
        <v>853</v>
      </c>
      <c r="T166" s="102">
        <v>0</v>
      </c>
      <c r="U166" s="102">
        <v>0</v>
      </c>
      <c r="V166" s="102">
        <v>12</v>
      </c>
      <c r="W166" s="102">
        <v>21</v>
      </c>
      <c r="X166" s="102">
        <v>0</v>
      </c>
      <c r="Y166" s="102">
        <v>0</v>
      </c>
      <c r="Z166" s="102">
        <v>0</v>
      </c>
      <c r="AA166" s="102">
        <v>28</v>
      </c>
      <c r="AB166" s="102">
        <v>0</v>
      </c>
      <c r="AC166" s="102">
        <v>0</v>
      </c>
      <c r="AD166" s="102">
        <v>0</v>
      </c>
      <c r="AE166" s="102">
        <v>0</v>
      </c>
      <c r="AF166" s="102"/>
      <c r="AG166" s="102">
        <v>2</v>
      </c>
      <c r="AH166" s="102"/>
      <c r="AI166" s="102"/>
      <c r="AJ166" s="102">
        <v>0</v>
      </c>
      <c r="AK166" s="102">
        <v>0</v>
      </c>
      <c r="AL166" s="102">
        <v>0</v>
      </c>
      <c r="AM166" s="102">
        <v>0</v>
      </c>
      <c r="AN166" s="102">
        <v>3</v>
      </c>
      <c r="AO166" s="102">
        <v>0</v>
      </c>
      <c r="AP166" s="102">
        <v>0</v>
      </c>
      <c r="AQ166" s="102">
        <v>0</v>
      </c>
      <c r="AR166" s="102">
        <v>1</v>
      </c>
      <c r="AS166" s="102">
        <v>3</v>
      </c>
      <c r="AT166" s="102">
        <v>0</v>
      </c>
      <c r="AU166" s="102"/>
      <c r="AV166" s="102">
        <v>1</v>
      </c>
      <c r="AW166" s="102">
        <v>0</v>
      </c>
      <c r="AX166" s="102">
        <v>0</v>
      </c>
      <c r="AY166" s="102">
        <v>0</v>
      </c>
      <c r="AZ166" s="102">
        <v>0</v>
      </c>
      <c r="BA166" s="102">
        <v>0</v>
      </c>
      <c r="BB166" s="102">
        <v>0</v>
      </c>
      <c r="BC166" s="102">
        <v>2</v>
      </c>
      <c r="BD166" s="102" t="s">
        <v>1056</v>
      </c>
      <c r="BE166" s="102">
        <v>1</v>
      </c>
      <c r="BF166" s="102">
        <v>0</v>
      </c>
      <c r="BG166" s="102">
        <v>0</v>
      </c>
      <c r="BH166" s="102">
        <v>0</v>
      </c>
      <c r="BI166" s="102">
        <v>1</v>
      </c>
      <c r="BJ166" s="102">
        <v>0</v>
      </c>
      <c r="BK166" s="102">
        <v>0</v>
      </c>
      <c r="BL166" s="102">
        <v>1</v>
      </c>
      <c r="BM166" s="102">
        <v>0</v>
      </c>
      <c r="BN166" s="102">
        <v>1</v>
      </c>
      <c r="BO166" s="102">
        <v>0</v>
      </c>
      <c r="BP166" s="102">
        <v>0</v>
      </c>
      <c r="BQ166" s="102">
        <v>0</v>
      </c>
      <c r="BR166" s="102">
        <v>0</v>
      </c>
      <c r="BS166" s="102">
        <v>0</v>
      </c>
      <c r="BT166" s="102">
        <v>0</v>
      </c>
      <c r="BU166" s="102">
        <v>1</v>
      </c>
      <c r="BV166" s="102">
        <v>0</v>
      </c>
      <c r="BW166" s="102">
        <v>0</v>
      </c>
      <c r="BX166" s="102">
        <v>0</v>
      </c>
      <c r="BY166" s="102">
        <v>0</v>
      </c>
      <c r="BZ166" s="102">
        <v>4</v>
      </c>
      <c r="CA166" s="102">
        <v>4</v>
      </c>
      <c r="CB166" s="102">
        <v>1</v>
      </c>
      <c r="CC166" s="102">
        <v>3</v>
      </c>
      <c r="CD166" s="102" t="s">
        <v>1946</v>
      </c>
      <c r="CE166" s="102">
        <v>1</v>
      </c>
      <c r="CF166" s="102">
        <v>0</v>
      </c>
      <c r="CG166" s="102">
        <v>0</v>
      </c>
      <c r="CH166" s="102">
        <v>1</v>
      </c>
      <c r="CI166" s="102">
        <v>1</v>
      </c>
      <c r="CJ166" s="102">
        <v>1</v>
      </c>
      <c r="CK166" s="102">
        <v>1</v>
      </c>
      <c r="CL166" s="102">
        <v>0</v>
      </c>
      <c r="CM166" s="102">
        <v>0</v>
      </c>
      <c r="CN166" s="102">
        <v>2</v>
      </c>
      <c r="CO166" s="102">
        <v>0</v>
      </c>
      <c r="CP166" s="102">
        <v>0</v>
      </c>
      <c r="CQ166" s="102">
        <v>0</v>
      </c>
      <c r="CR166" s="102">
        <v>0</v>
      </c>
      <c r="CS166" s="102">
        <v>0</v>
      </c>
      <c r="CT166" s="102" t="s">
        <v>853</v>
      </c>
      <c r="CU166" s="102">
        <v>0</v>
      </c>
      <c r="CV166" s="102">
        <v>4</v>
      </c>
      <c r="CW166" s="102">
        <v>0</v>
      </c>
      <c r="CX166" s="102">
        <v>0</v>
      </c>
      <c r="CY166" s="102">
        <v>0</v>
      </c>
      <c r="CZ166" s="102">
        <v>0</v>
      </c>
      <c r="DA166" s="102" t="s">
        <v>853</v>
      </c>
      <c r="DB166" s="102">
        <v>0</v>
      </c>
      <c r="DC166" s="102">
        <v>0</v>
      </c>
      <c r="DD166" s="102">
        <v>0</v>
      </c>
      <c r="DE166" s="102">
        <v>0</v>
      </c>
      <c r="DF166" s="102">
        <v>0</v>
      </c>
      <c r="DG166" s="102">
        <v>0</v>
      </c>
      <c r="DH166" s="102">
        <v>0</v>
      </c>
      <c r="DI166" s="102">
        <v>0</v>
      </c>
      <c r="DJ166" s="102">
        <v>0</v>
      </c>
      <c r="DK166" s="102">
        <v>0</v>
      </c>
      <c r="DL166" s="102">
        <v>0</v>
      </c>
      <c r="DM166" s="102">
        <v>1</v>
      </c>
      <c r="DN166" s="102">
        <v>0</v>
      </c>
      <c r="DO166" s="102">
        <v>1</v>
      </c>
      <c r="DP166" s="102">
        <v>0</v>
      </c>
      <c r="DQ166" s="102">
        <v>1</v>
      </c>
      <c r="DR166" s="102">
        <v>0</v>
      </c>
      <c r="DS166" s="102" t="s">
        <v>853</v>
      </c>
      <c r="DT166" s="105" t="s">
        <v>853</v>
      </c>
      <c r="DU166" s="102" t="s">
        <v>853</v>
      </c>
      <c r="DV166" s="102">
        <v>0</v>
      </c>
      <c r="DW166" s="102">
        <v>0</v>
      </c>
      <c r="DX166" s="102" t="s">
        <v>853</v>
      </c>
      <c r="DY166" s="102">
        <v>0</v>
      </c>
      <c r="DZ166" s="102">
        <v>0</v>
      </c>
      <c r="EA166" s="102" t="s">
        <v>853</v>
      </c>
      <c r="EB166" s="102">
        <v>0</v>
      </c>
      <c r="EC166" s="102">
        <v>1</v>
      </c>
      <c r="ED166" s="102">
        <v>0</v>
      </c>
      <c r="EE166" s="102">
        <v>3</v>
      </c>
      <c r="EF166" s="102">
        <v>1</v>
      </c>
      <c r="EG166" s="102">
        <v>1</v>
      </c>
      <c r="EH166" s="102" t="s">
        <v>1947</v>
      </c>
      <c r="EI166" s="102">
        <v>0</v>
      </c>
      <c r="EJ166" s="102">
        <v>0</v>
      </c>
      <c r="EK166" s="102">
        <v>2</v>
      </c>
      <c r="EL166" s="102">
        <v>0</v>
      </c>
      <c r="EM166" s="102"/>
    </row>
    <row r="167" spans="1:143" ht="15.75" customHeight="1" x14ac:dyDescent="0.55000000000000004">
      <c r="A167" s="99">
        <v>166</v>
      </c>
      <c r="B167" s="102" t="s">
        <v>1948</v>
      </c>
      <c r="C167" s="102" t="s">
        <v>1949</v>
      </c>
      <c r="D167" s="103">
        <v>43488</v>
      </c>
      <c r="E167" s="102" t="s">
        <v>891</v>
      </c>
      <c r="F167" s="102">
        <v>23</v>
      </c>
      <c r="G167" s="102">
        <v>1</v>
      </c>
      <c r="H167" s="102">
        <v>2019</v>
      </c>
      <c r="I167" s="102" t="s">
        <v>1950</v>
      </c>
      <c r="J167" s="102" t="s">
        <v>1951</v>
      </c>
      <c r="K167" s="102" t="s">
        <v>1022</v>
      </c>
      <c r="L167" s="102">
        <v>9</v>
      </c>
      <c r="M167" s="102">
        <v>0</v>
      </c>
      <c r="N167" s="102">
        <v>2</v>
      </c>
      <c r="O167" s="102">
        <v>4</v>
      </c>
      <c r="P167" s="102">
        <v>0</v>
      </c>
      <c r="Q167" s="104">
        <v>0</v>
      </c>
      <c r="R167" s="102">
        <v>0</v>
      </c>
      <c r="S167" s="102" t="s">
        <v>853</v>
      </c>
      <c r="T167" s="102">
        <v>0</v>
      </c>
      <c r="U167" s="102">
        <v>0</v>
      </c>
      <c r="V167" s="102">
        <v>5</v>
      </c>
      <c r="W167" s="102">
        <v>0</v>
      </c>
      <c r="X167" s="102">
        <v>0</v>
      </c>
      <c r="Y167" s="102">
        <v>0</v>
      </c>
      <c r="Z167" s="102">
        <v>1</v>
      </c>
      <c r="AA167" s="102">
        <v>21</v>
      </c>
      <c r="AB167" s="102">
        <v>0</v>
      </c>
      <c r="AC167" s="102">
        <v>0</v>
      </c>
      <c r="AD167" s="102">
        <v>0</v>
      </c>
      <c r="AE167" s="102">
        <v>0</v>
      </c>
      <c r="AF167" s="102"/>
      <c r="AG167" s="102">
        <v>2</v>
      </c>
      <c r="AH167" s="102"/>
      <c r="AI167" s="102"/>
      <c r="AJ167" s="102">
        <v>1</v>
      </c>
      <c r="AK167" s="102">
        <v>2</v>
      </c>
      <c r="AL167" s="102">
        <v>0</v>
      </c>
      <c r="AM167" s="102">
        <v>2</v>
      </c>
      <c r="AN167" s="102">
        <v>0</v>
      </c>
      <c r="AO167" s="102">
        <v>0</v>
      </c>
      <c r="AP167" s="102">
        <v>0</v>
      </c>
      <c r="AQ167" s="102">
        <v>0</v>
      </c>
      <c r="AR167" s="102">
        <v>2</v>
      </c>
      <c r="AS167" s="102">
        <v>0</v>
      </c>
      <c r="AT167" s="102">
        <v>0</v>
      </c>
      <c r="AU167" s="102"/>
      <c r="AV167" s="102">
        <v>1</v>
      </c>
      <c r="AW167" s="102">
        <v>0</v>
      </c>
      <c r="AX167" s="102">
        <v>0</v>
      </c>
      <c r="AY167" s="102">
        <v>0</v>
      </c>
      <c r="AZ167" s="102">
        <v>0</v>
      </c>
      <c r="BA167" s="102">
        <v>0</v>
      </c>
      <c r="BB167" s="102">
        <v>0</v>
      </c>
      <c r="BC167" s="102">
        <v>0</v>
      </c>
      <c r="BD167" s="102">
        <v>0</v>
      </c>
      <c r="BE167" s="102">
        <v>0</v>
      </c>
      <c r="BF167" s="102">
        <v>0</v>
      </c>
      <c r="BG167" s="102">
        <v>0</v>
      </c>
      <c r="BH167" s="102">
        <v>0</v>
      </c>
      <c r="BI167" s="102">
        <v>1</v>
      </c>
      <c r="BJ167" s="102">
        <v>0</v>
      </c>
      <c r="BK167" s="102">
        <v>1</v>
      </c>
      <c r="BL167" s="102">
        <v>0</v>
      </c>
      <c r="BM167" s="102">
        <v>1</v>
      </c>
      <c r="BN167" s="102">
        <v>0</v>
      </c>
      <c r="BO167" s="102">
        <v>0</v>
      </c>
      <c r="BP167" s="102">
        <v>0</v>
      </c>
      <c r="BQ167" s="102">
        <v>0</v>
      </c>
      <c r="BR167" s="102">
        <v>0</v>
      </c>
      <c r="BS167" s="102">
        <v>0</v>
      </c>
      <c r="BT167" s="102">
        <v>0</v>
      </c>
      <c r="BU167" s="102">
        <v>0</v>
      </c>
      <c r="BV167" s="102">
        <v>0</v>
      </c>
      <c r="BW167" s="102">
        <v>0</v>
      </c>
      <c r="BX167" s="102">
        <v>0</v>
      </c>
      <c r="BY167" s="102">
        <v>0</v>
      </c>
      <c r="BZ167" s="102">
        <v>0</v>
      </c>
      <c r="CA167" s="102">
        <v>2</v>
      </c>
      <c r="CB167" s="102">
        <v>1</v>
      </c>
      <c r="CC167" s="102">
        <v>1</v>
      </c>
      <c r="CD167" s="102" t="s">
        <v>1952</v>
      </c>
      <c r="CE167" s="102">
        <v>0</v>
      </c>
      <c r="CF167" s="102">
        <v>0</v>
      </c>
      <c r="CG167" s="102">
        <v>0</v>
      </c>
      <c r="CH167" s="102">
        <v>0</v>
      </c>
      <c r="CI167" s="102">
        <v>0</v>
      </c>
      <c r="CJ167" s="102">
        <v>0</v>
      </c>
      <c r="CK167" s="102">
        <v>0</v>
      </c>
      <c r="CL167" s="102">
        <v>0</v>
      </c>
      <c r="CM167" s="102">
        <v>0</v>
      </c>
      <c r="CN167" s="102">
        <v>1</v>
      </c>
      <c r="CO167" s="102">
        <v>1</v>
      </c>
      <c r="CP167" s="102">
        <v>2</v>
      </c>
      <c r="CQ167" s="102">
        <v>0</v>
      </c>
      <c r="CR167" s="102">
        <v>0</v>
      </c>
      <c r="CS167" s="102">
        <v>0</v>
      </c>
      <c r="CT167" s="102" t="s">
        <v>853</v>
      </c>
      <c r="CU167" s="102">
        <v>0</v>
      </c>
      <c r="CV167" s="102">
        <v>4</v>
      </c>
      <c r="CW167" s="102">
        <v>0</v>
      </c>
      <c r="CX167" s="102">
        <v>0</v>
      </c>
      <c r="CY167" s="102">
        <v>0</v>
      </c>
      <c r="CZ167" s="102">
        <v>0</v>
      </c>
      <c r="DA167" s="102" t="s">
        <v>853</v>
      </c>
      <c r="DB167" s="102">
        <v>0</v>
      </c>
      <c r="DC167" s="102">
        <v>0</v>
      </c>
      <c r="DD167" s="102">
        <v>0</v>
      </c>
      <c r="DE167" s="102">
        <v>0</v>
      </c>
      <c r="DF167" s="102">
        <v>0</v>
      </c>
      <c r="DG167" s="102">
        <v>0</v>
      </c>
      <c r="DH167" s="102">
        <v>0</v>
      </c>
      <c r="DI167" s="102">
        <v>0</v>
      </c>
      <c r="DJ167" s="102">
        <v>0</v>
      </c>
      <c r="DK167" s="102">
        <v>0</v>
      </c>
      <c r="DL167" s="102">
        <v>0</v>
      </c>
      <c r="DM167" s="102">
        <v>0</v>
      </c>
      <c r="DN167" s="102">
        <v>0</v>
      </c>
      <c r="DO167" s="102">
        <v>1</v>
      </c>
      <c r="DP167" s="102">
        <v>0</v>
      </c>
      <c r="DQ167" s="102">
        <v>1</v>
      </c>
      <c r="DR167" s="102">
        <v>1</v>
      </c>
      <c r="DS167" s="102">
        <v>0</v>
      </c>
      <c r="DT167" s="105" t="s">
        <v>1067</v>
      </c>
      <c r="DU167" s="102">
        <v>1</v>
      </c>
      <c r="DV167" s="102">
        <v>0</v>
      </c>
      <c r="DW167" s="102">
        <v>0</v>
      </c>
      <c r="DX167" s="102" t="s">
        <v>853</v>
      </c>
      <c r="DY167" s="102">
        <v>0</v>
      </c>
      <c r="DZ167" s="102">
        <v>0</v>
      </c>
      <c r="EA167" s="102" t="s">
        <v>853</v>
      </c>
      <c r="EB167" s="102">
        <v>0</v>
      </c>
      <c r="EC167" s="102">
        <v>0</v>
      </c>
      <c r="ED167" s="102">
        <v>1</v>
      </c>
      <c r="EE167" s="102">
        <v>2</v>
      </c>
      <c r="EF167" s="102">
        <v>1</v>
      </c>
      <c r="EG167" s="102">
        <v>1</v>
      </c>
      <c r="EH167" s="102" t="s">
        <v>1688</v>
      </c>
      <c r="EI167" s="102">
        <v>2</v>
      </c>
      <c r="EJ167" s="102">
        <v>0</v>
      </c>
      <c r="EK167" s="102">
        <v>0</v>
      </c>
      <c r="EL167" s="102"/>
      <c r="EM167" s="102"/>
    </row>
    <row r="168" spans="1:143" ht="15.75" customHeight="1" x14ac:dyDescent="0.55000000000000004">
      <c r="A168" s="99">
        <v>167</v>
      </c>
      <c r="B168" s="102" t="s">
        <v>1953</v>
      </c>
      <c r="C168" s="102" t="s">
        <v>1954</v>
      </c>
      <c r="D168" s="103">
        <v>43511</v>
      </c>
      <c r="E168" s="102" t="s">
        <v>959</v>
      </c>
      <c r="F168" s="102">
        <v>15</v>
      </c>
      <c r="G168" s="102">
        <v>2</v>
      </c>
      <c r="H168" s="102">
        <v>2019</v>
      </c>
      <c r="I168" s="102" t="s">
        <v>1955</v>
      </c>
      <c r="J168" s="102" t="s">
        <v>1236</v>
      </c>
      <c r="K168" s="102" t="s">
        <v>1111</v>
      </c>
      <c r="L168" s="102">
        <v>13</v>
      </c>
      <c r="M168" s="102">
        <v>1</v>
      </c>
      <c r="N168" s="102">
        <v>0</v>
      </c>
      <c r="O168" s="106">
        <v>9</v>
      </c>
      <c r="P168" s="102">
        <v>1</v>
      </c>
      <c r="Q168" s="104">
        <v>1</v>
      </c>
      <c r="R168" s="102">
        <v>0</v>
      </c>
      <c r="S168" s="102" t="s">
        <v>853</v>
      </c>
      <c r="T168" s="102">
        <v>0</v>
      </c>
      <c r="U168" s="102">
        <v>0</v>
      </c>
      <c r="V168" s="102">
        <v>5</v>
      </c>
      <c r="W168" s="102">
        <v>7</v>
      </c>
      <c r="X168" s="102">
        <v>0</v>
      </c>
      <c r="Y168" s="102">
        <v>0</v>
      </c>
      <c r="Z168" s="102">
        <v>0</v>
      </c>
      <c r="AA168" s="102">
        <v>45</v>
      </c>
      <c r="AB168" s="102">
        <v>0</v>
      </c>
      <c r="AC168" s="102">
        <v>1</v>
      </c>
      <c r="AD168" s="102">
        <v>0</v>
      </c>
      <c r="AE168" s="102">
        <v>0</v>
      </c>
      <c r="AF168" s="102"/>
      <c r="AG168" s="102"/>
      <c r="AH168" s="102"/>
      <c r="AI168" s="102"/>
      <c r="AJ168" s="102"/>
      <c r="AK168" s="102">
        <v>2</v>
      </c>
      <c r="AL168" s="102"/>
      <c r="AM168" s="102"/>
      <c r="AN168" s="102">
        <v>1</v>
      </c>
      <c r="AO168" s="102">
        <v>0</v>
      </c>
      <c r="AP168" s="102">
        <v>0</v>
      </c>
      <c r="AQ168" s="102">
        <v>0</v>
      </c>
      <c r="AR168" s="102">
        <v>0</v>
      </c>
      <c r="AS168" s="102" t="s">
        <v>853</v>
      </c>
      <c r="AT168" s="102">
        <v>0</v>
      </c>
      <c r="AU168" s="102"/>
      <c r="AV168" s="102">
        <v>1</v>
      </c>
      <c r="AW168" s="102">
        <v>1</v>
      </c>
      <c r="AX168" s="102">
        <v>4</v>
      </c>
      <c r="AY168" s="102" t="s">
        <v>1092</v>
      </c>
      <c r="AZ168" s="102">
        <v>4</v>
      </c>
      <c r="BA168" s="102">
        <v>0</v>
      </c>
      <c r="BB168" s="102">
        <v>0</v>
      </c>
      <c r="BC168" s="102">
        <v>1</v>
      </c>
      <c r="BD168" s="102" t="s">
        <v>1353</v>
      </c>
      <c r="BE168" s="102">
        <v>0</v>
      </c>
      <c r="BF168" s="102">
        <v>0</v>
      </c>
      <c r="BG168" s="102">
        <v>0</v>
      </c>
      <c r="BH168" s="102">
        <v>0</v>
      </c>
      <c r="BI168" s="102">
        <v>2</v>
      </c>
      <c r="BJ168" s="102">
        <v>1</v>
      </c>
      <c r="BK168" s="102">
        <v>0</v>
      </c>
      <c r="BL168" s="102">
        <v>1</v>
      </c>
      <c r="BM168" s="102">
        <v>1</v>
      </c>
      <c r="BN168" s="102">
        <v>0</v>
      </c>
      <c r="BO168" s="102">
        <v>0</v>
      </c>
      <c r="BP168" s="102">
        <v>0</v>
      </c>
      <c r="BQ168" s="102">
        <v>0</v>
      </c>
      <c r="BR168" s="102">
        <v>0</v>
      </c>
      <c r="BS168" s="102">
        <v>0</v>
      </c>
      <c r="BT168" s="102">
        <v>0</v>
      </c>
      <c r="BU168" s="102">
        <v>0</v>
      </c>
      <c r="BV168" s="102">
        <v>0</v>
      </c>
      <c r="BW168" s="102">
        <v>0</v>
      </c>
      <c r="BX168" s="102">
        <v>0</v>
      </c>
      <c r="BY168" s="102">
        <v>0</v>
      </c>
      <c r="BZ168" s="102">
        <v>0</v>
      </c>
      <c r="CA168" s="102">
        <v>2</v>
      </c>
      <c r="CB168" s="102">
        <v>1</v>
      </c>
      <c r="CC168" s="102">
        <v>0</v>
      </c>
      <c r="CD168" s="102" t="s">
        <v>1956</v>
      </c>
      <c r="CE168" s="102">
        <v>0</v>
      </c>
      <c r="CF168" s="102">
        <v>0</v>
      </c>
      <c r="CG168" s="102">
        <v>0</v>
      </c>
      <c r="CH168" s="102">
        <v>0</v>
      </c>
      <c r="CI168" s="102">
        <v>1</v>
      </c>
      <c r="CJ168" s="102">
        <v>0</v>
      </c>
      <c r="CK168" s="102">
        <v>0</v>
      </c>
      <c r="CL168" s="102">
        <v>0</v>
      </c>
      <c r="CM168" s="102">
        <v>0</v>
      </c>
      <c r="CN168" s="102">
        <v>1</v>
      </c>
      <c r="CO168" s="102">
        <v>0</v>
      </c>
      <c r="CP168" s="102">
        <v>0</v>
      </c>
      <c r="CQ168" s="102">
        <v>0</v>
      </c>
      <c r="CR168" s="102">
        <v>0</v>
      </c>
      <c r="CS168" s="102">
        <v>0</v>
      </c>
      <c r="CT168" s="102" t="s">
        <v>853</v>
      </c>
      <c r="CU168" s="102">
        <v>0</v>
      </c>
      <c r="CV168" s="102">
        <v>0</v>
      </c>
      <c r="CW168" s="102">
        <v>0</v>
      </c>
      <c r="CX168" s="102">
        <v>0</v>
      </c>
      <c r="CY168" s="102">
        <v>0</v>
      </c>
      <c r="CZ168" s="102">
        <v>0</v>
      </c>
      <c r="DA168" s="102" t="s">
        <v>853</v>
      </c>
      <c r="DB168" s="102">
        <v>0</v>
      </c>
      <c r="DC168" s="102">
        <v>2</v>
      </c>
      <c r="DD168" s="102">
        <v>0</v>
      </c>
      <c r="DE168" s="102">
        <v>0</v>
      </c>
      <c r="DF168" s="102">
        <v>0</v>
      </c>
      <c r="DG168" s="102">
        <v>0</v>
      </c>
      <c r="DH168" s="102">
        <v>1</v>
      </c>
      <c r="DI168" s="102">
        <v>0</v>
      </c>
      <c r="DJ168" s="102">
        <v>0</v>
      </c>
      <c r="DK168" s="102">
        <v>0</v>
      </c>
      <c r="DL168" s="102">
        <v>0</v>
      </c>
      <c r="DM168" s="102">
        <v>0</v>
      </c>
      <c r="DN168" s="102">
        <v>0</v>
      </c>
      <c r="DO168" s="102">
        <v>0</v>
      </c>
      <c r="DP168" s="102">
        <v>0</v>
      </c>
      <c r="DQ168" s="102">
        <v>0</v>
      </c>
      <c r="DR168" s="102">
        <v>1</v>
      </c>
      <c r="DS168" s="102">
        <v>0</v>
      </c>
      <c r="DT168" s="105" t="s">
        <v>945</v>
      </c>
      <c r="DU168" s="102">
        <v>1</v>
      </c>
      <c r="DV168" s="102">
        <v>0</v>
      </c>
      <c r="DW168" s="102">
        <v>0</v>
      </c>
      <c r="DX168" s="102" t="s">
        <v>853</v>
      </c>
      <c r="DY168" s="102">
        <v>0</v>
      </c>
      <c r="DZ168" s="102">
        <v>0</v>
      </c>
      <c r="EA168" s="102" t="s">
        <v>853</v>
      </c>
      <c r="EB168" s="102">
        <v>0</v>
      </c>
      <c r="EC168" s="102">
        <v>0</v>
      </c>
      <c r="ED168" s="102">
        <v>0</v>
      </c>
      <c r="EE168" s="102">
        <v>1</v>
      </c>
      <c r="EF168" s="102">
        <v>1</v>
      </c>
      <c r="EG168" s="102">
        <v>0</v>
      </c>
      <c r="EH168" s="102" t="s">
        <v>853</v>
      </c>
      <c r="EI168" s="102">
        <v>1</v>
      </c>
      <c r="EJ168" s="102">
        <v>0</v>
      </c>
      <c r="EK168" s="102">
        <v>2</v>
      </c>
      <c r="EL168" s="102">
        <v>0</v>
      </c>
      <c r="EM168" s="102"/>
    </row>
    <row r="169" spans="1:143" ht="15.75" customHeight="1" x14ac:dyDescent="0.55000000000000004">
      <c r="A169" s="99">
        <v>168</v>
      </c>
      <c r="B169" s="102" t="s">
        <v>1957</v>
      </c>
      <c r="C169" s="102" t="s">
        <v>1958</v>
      </c>
      <c r="D169" s="103">
        <v>43616</v>
      </c>
      <c r="E169" s="102" t="s">
        <v>959</v>
      </c>
      <c r="F169" s="102">
        <v>31</v>
      </c>
      <c r="G169" s="102">
        <v>5</v>
      </c>
      <c r="H169" s="102">
        <v>2019</v>
      </c>
      <c r="I169" s="102" t="s">
        <v>1959</v>
      </c>
      <c r="J169" s="102" t="s">
        <v>1960</v>
      </c>
      <c r="K169" s="102" t="s">
        <v>1547</v>
      </c>
      <c r="L169" s="102">
        <v>46</v>
      </c>
      <c r="M169" s="102">
        <v>0</v>
      </c>
      <c r="N169" s="102">
        <v>0</v>
      </c>
      <c r="O169" s="107">
        <v>6</v>
      </c>
      <c r="P169" s="102">
        <v>1</v>
      </c>
      <c r="Q169" s="104">
        <v>1</v>
      </c>
      <c r="R169" s="102">
        <v>0</v>
      </c>
      <c r="S169" s="102" t="s">
        <v>853</v>
      </c>
      <c r="T169" s="102">
        <v>0</v>
      </c>
      <c r="U169" s="102">
        <v>0</v>
      </c>
      <c r="V169" s="102">
        <v>12</v>
      </c>
      <c r="W169" s="102">
        <v>4</v>
      </c>
      <c r="X169" s="102">
        <v>0</v>
      </c>
      <c r="Y169" s="102">
        <v>0</v>
      </c>
      <c r="Z169" s="102">
        <v>0</v>
      </c>
      <c r="AA169" s="102">
        <v>40</v>
      </c>
      <c r="AB169" s="102">
        <v>0</v>
      </c>
      <c r="AC169" s="102">
        <v>1</v>
      </c>
      <c r="AD169" s="102">
        <v>0</v>
      </c>
      <c r="AE169" s="102">
        <v>0</v>
      </c>
      <c r="AF169" s="102"/>
      <c r="AG169" s="102">
        <v>3</v>
      </c>
      <c r="AH169" s="102"/>
      <c r="AI169" s="102"/>
      <c r="AJ169" s="102"/>
      <c r="AK169" s="102"/>
      <c r="AL169" s="102"/>
      <c r="AM169" s="102"/>
      <c r="AN169" s="102">
        <v>3</v>
      </c>
      <c r="AO169" s="102"/>
      <c r="AP169" s="102">
        <v>1</v>
      </c>
      <c r="AQ169" s="102">
        <v>2</v>
      </c>
      <c r="AR169" s="102">
        <v>1</v>
      </c>
      <c r="AS169" s="102">
        <v>5</v>
      </c>
      <c r="AT169" s="102">
        <v>0</v>
      </c>
      <c r="AU169" s="102"/>
      <c r="AV169" s="102">
        <v>0</v>
      </c>
      <c r="AW169" s="102">
        <v>0</v>
      </c>
      <c r="AX169" s="102">
        <v>0</v>
      </c>
      <c r="AY169" s="102">
        <v>0</v>
      </c>
      <c r="AZ169" s="102">
        <v>0</v>
      </c>
      <c r="BA169" s="102">
        <v>0</v>
      </c>
      <c r="BB169" s="102">
        <v>0</v>
      </c>
      <c r="BC169" s="102">
        <v>0</v>
      </c>
      <c r="BD169" s="102">
        <v>0</v>
      </c>
      <c r="BE169" s="102">
        <v>0</v>
      </c>
      <c r="BF169" s="102">
        <v>0</v>
      </c>
      <c r="BG169" s="102">
        <v>0</v>
      </c>
      <c r="BH169" s="102">
        <v>0</v>
      </c>
      <c r="BI169" s="102">
        <v>0</v>
      </c>
      <c r="BJ169" s="102">
        <v>0</v>
      </c>
      <c r="BK169" s="102">
        <v>0</v>
      </c>
      <c r="BL169" s="102">
        <v>0</v>
      </c>
      <c r="BM169" s="102">
        <v>1</v>
      </c>
      <c r="BN169" s="102">
        <v>0</v>
      </c>
      <c r="BO169" s="102">
        <v>0</v>
      </c>
      <c r="BP169" s="102">
        <v>0</v>
      </c>
      <c r="BQ169" s="102">
        <v>0</v>
      </c>
      <c r="BR169" s="102">
        <v>0</v>
      </c>
      <c r="BS169" s="102">
        <v>0</v>
      </c>
      <c r="BT169" s="102">
        <v>0</v>
      </c>
      <c r="BU169" s="102"/>
      <c r="BV169" s="102">
        <v>0</v>
      </c>
      <c r="BW169" s="102">
        <v>0</v>
      </c>
      <c r="BX169" s="102">
        <v>0</v>
      </c>
      <c r="BY169" s="102">
        <v>0</v>
      </c>
      <c r="BZ169" s="102">
        <v>0</v>
      </c>
      <c r="CA169" s="102" t="s">
        <v>984</v>
      </c>
      <c r="CB169" s="102">
        <v>1</v>
      </c>
      <c r="CC169" s="102">
        <v>2</v>
      </c>
      <c r="CD169" s="102" t="s">
        <v>1961</v>
      </c>
      <c r="CE169" s="102">
        <v>1</v>
      </c>
      <c r="CF169" s="102">
        <v>0</v>
      </c>
      <c r="CG169" s="102">
        <v>0</v>
      </c>
      <c r="CH169" s="102">
        <v>0</v>
      </c>
      <c r="CI169" s="102">
        <v>1</v>
      </c>
      <c r="CJ169" s="102">
        <v>0</v>
      </c>
      <c r="CK169" s="102">
        <v>1</v>
      </c>
      <c r="CL169" s="102">
        <v>0</v>
      </c>
      <c r="CM169" s="102">
        <v>1</v>
      </c>
      <c r="CN169" s="102">
        <v>2</v>
      </c>
      <c r="CO169" s="102">
        <v>0</v>
      </c>
      <c r="CP169" s="102">
        <v>0</v>
      </c>
      <c r="CQ169" s="102">
        <v>0</v>
      </c>
      <c r="CR169" s="102">
        <v>0</v>
      </c>
      <c r="CS169" s="102">
        <v>0</v>
      </c>
      <c r="CT169" s="102" t="s">
        <v>853</v>
      </c>
      <c r="CU169" s="102">
        <v>0</v>
      </c>
      <c r="CV169" s="102">
        <v>4</v>
      </c>
      <c r="CW169" s="102">
        <v>0</v>
      </c>
      <c r="CX169" s="102">
        <v>0</v>
      </c>
      <c r="CY169" s="102">
        <v>2</v>
      </c>
      <c r="CZ169" s="102">
        <v>0</v>
      </c>
      <c r="DA169" s="102" t="s">
        <v>853</v>
      </c>
      <c r="DB169" s="102">
        <v>0</v>
      </c>
      <c r="DC169" s="102">
        <v>0</v>
      </c>
      <c r="DD169" s="102">
        <v>0</v>
      </c>
      <c r="DE169" s="102">
        <v>0</v>
      </c>
      <c r="DF169" s="102">
        <v>0</v>
      </c>
      <c r="DG169" s="102">
        <v>0</v>
      </c>
      <c r="DH169" s="102">
        <v>1</v>
      </c>
      <c r="DI169" s="102">
        <v>1</v>
      </c>
      <c r="DJ169" s="102">
        <v>0</v>
      </c>
      <c r="DK169" s="102">
        <v>0</v>
      </c>
      <c r="DL169" s="102">
        <v>0</v>
      </c>
      <c r="DM169" s="102">
        <v>0</v>
      </c>
      <c r="DN169" s="102">
        <v>0</v>
      </c>
      <c r="DO169" s="102">
        <v>0</v>
      </c>
      <c r="DP169" s="102">
        <v>0</v>
      </c>
      <c r="DQ169" s="102">
        <v>0</v>
      </c>
      <c r="DR169" s="102">
        <v>0</v>
      </c>
      <c r="DS169" s="102" t="s">
        <v>853</v>
      </c>
      <c r="DT169" s="105" t="s">
        <v>853</v>
      </c>
      <c r="DU169" s="102" t="s">
        <v>853</v>
      </c>
      <c r="DV169" s="102">
        <v>1</v>
      </c>
      <c r="DW169" s="102">
        <v>0</v>
      </c>
      <c r="DX169" s="102" t="s">
        <v>853</v>
      </c>
      <c r="DY169" s="102">
        <v>0</v>
      </c>
      <c r="DZ169" s="102">
        <v>0</v>
      </c>
      <c r="EA169" s="102" t="s">
        <v>853</v>
      </c>
      <c r="EB169" s="102">
        <v>1</v>
      </c>
      <c r="EC169" s="102">
        <v>0</v>
      </c>
      <c r="ED169" s="102">
        <v>1</v>
      </c>
      <c r="EE169" s="102">
        <v>3</v>
      </c>
      <c r="EF169" s="102">
        <v>2</v>
      </c>
      <c r="EG169" s="102">
        <v>1</v>
      </c>
      <c r="EH169" s="102" t="s">
        <v>1962</v>
      </c>
      <c r="EI169" s="102">
        <v>1</v>
      </c>
      <c r="EJ169" s="102">
        <v>0</v>
      </c>
      <c r="EK169" s="102">
        <v>2</v>
      </c>
      <c r="EL169" s="102">
        <v>0</v>
      </c>
      <c r="EM169" s="102"/>
    </row>
    <row r="170" spans="1:143" ht="15.75" customHeight="1" x14ac:dyDescent="0.55000000000000004">
      <c r="A170" s="99">
        <v>169</v>
      </c>
      <c r="B170" s="102" t="s">
        <v>1963</v>
      </c>
      <c r="C170" s="102" t="s">
        <v>1082</v>
      </c>
      <c r="D170" s="103">
        <v>43680</v>
      </c>
      <c r="E170" s="102" t="s">
        <v>860</v>
      </c>
      <c r="F170" s="102">
        <v>3</v>
      </c>
      <c r="G170" s="102">
        <v>8</v>
      </c>
      <c r="H170" s="102">
        <v>2019</v>
      </c>
      <c r="I170" s="102" t="s">
        <v>1964</v>
      </c>
      <c r="J170" s="102" t="s">
        <v>976</v>
      </c>
      <c r="K170" s="102" t="s">
        <v>849</v>
      </c>
      <c r="L170" s="102">
        <v>43</v>
      </c>
      <c r="M170" s="102">
        <v>0</v>
      </c>
      <c r="N170" s="102">
        <v>0</v>
      </c>
      <c r="O170" s="102">
        <v>4</v>
      </c>
      <c r="P170" s="102">
        <v>0</v>
      </c>
      <c r="Q170" s="104">
        <v>0</v>
      </c>
      <c r="R170" s="102">
        <v>0</v>
      </c>
      <c r="S170" s="102" t="s">
        <v>853</v>
      </c>
      <c r="T170" s="102">
        <v>0</v>
      </c>
      <c r="U170" s="102">
        <v>0</v>
      </c>
      <c r="V170" s="102">
        <v>23</v>
      </c>
      <c r="W170" s="102">
        <v>26</v>
      </c>
      <c r="X170" s="102">
        <v>0</v>
      </c>
      <c r="Y170" s="102">
        <v>0</v>
      </c>
      <c r="Z170" s="102">
        <v>0</v>
      </c>
      <c r="AA170" s="102">
        <v>21</v>
      </c>
      <c r="AB170" s="102">
        <v>0</v>
      </c>
      <c r="AC170" s="102">
        <v>0</v>
      </c>
      <c r="AD170" s="102">
        <v>0</v>
      </c>
      <c r="AE170" s="102">
        <v>0</v>
      </c>
      <c r="AF170" s="102"/>
      <c r="AG170" s="102">
        <v>2</v>
      </c>
      <c r="AH170" s="102"/>
      <c r="AI170" s="102"/>
      <c r="AJ170" s="102">
        <v>4</v>
      </c>
      <c r="AK170" s="102">
        <v>2</v>
      </c>
      <c r="AL170" s="102">
        <v>1</v>
      </c>
      <c r="AM170" s="102"/>
      <c r="AN170" s="102"/>
      <c r="AO170" s="102">
        <v>0</v>
      </c>
      <c r="AP170" s="102">
        <v>0</v>
      </c>
      <c r="AQ170" s="102">
        <v>0</v>
      </c>
      <c r="AR170" s="102">
        <v>0</v>
      </c>
      <c r="AS170" s="102" t="s">
        <v>853</v>
      </c>
      <c r="AT170" s="102">
        <v>0</v>
      </c>
      <c r="AU170" s="102"/>
      <c r="AV170" s="102">
        <v>0</v>
      </c>
      <c r="AW170" s="102">
        <v>0</v>
      </c>
      <c r="AX170" s="102">
        <v>0</v>
      </c>
      <c r="AY170" s="102">
        <v>0</v>
      </c>
      <c r="AZ170" s="102">
        <v>0</v>
      </c>
      <c r="BA170" s="102">
        <v>0</v>
      </c>
      <c r="BB170" s="102">
        <v>0</v>
      </c>
      <c r="BC170" s="102">
        <v>0</v>
      </c>
      <c r="BD170" s="102">
        <v>0</v>
      </c>
      <c r="BE170" s="102">
        <v>0</v>
      </c>
      <c r="BF170" s="102">
        <v>0</v>
      </c>
      <c r="BG170" s="102">
        <v>1</v>
      </c>
      <c r="BH170" s="102">
        <v>4</v>
      </c>
      <c r="BI170" s="102">
        <v>1</v>
      </c>
      <c r="BJ170" s="102">
        <v>0</v>
      </c>
      <c r="BK170" s="102">
        <v>1</v>
      </c>
      <c r="BL170" s="102">
        <v>0</v>
      </c>
      <c r="BM170" s="102">
        <v>1</v>
      </c>
      <c r="BN170" s="102">
        <v>0</v>
      </c>
      <c r="BO170" s="102">
        <v>0</v>
      </c>
      <c r="BP170" s="102">
        <v>1</v>
      </c>
      <c r="BQ170" s="102">
        <v>0</v>
      </c>
      <c r="BR170" s="102">
        <v>0</v>
      </c>
      <c r="BS170" s="102">
        <v>0</v>
      </c>
      <c r="BT170" s="102">
        <v>1</v>
      </c>
      <c r="BU170" s="102">
        <v>2</v>
      </c>
      <c r="BV170" s="102">
        <v>0</v>
      </c>
      <c r="BW170" s="102">
        <v>1</v>
      </c>
      <c r="BX170" s="102">
        <v>1</v>
      </c>
      <c r="BY170" s="102">
        <v>0</v>
      </c>
      <c r="BZ170" s="102">
        <v>0</v>
      </c>
      <c r="CA170" s="102">
        <v>2</v>
      </c>
      <c r="CB170" s="102">
        <v>0</v>
      </c>
      <c r="CC170" s="102" t="s">
        <v>853</v>
      </c>
      <c r="CD170" s="102"/>
      <c r="CE170" s="102">
        <v>0</v>
      </c>
      <c r="CF170" s="102">
        <v>0</v>
      </c>
      <c r="CG170" s="102">
        <v>0</v>
      </c>
      <c r="CH170" s="102">
        <v>0</v>
      </c>
      <c r="CI170" s="102">
        <v>0</v>
      </c>
      <c r="CJ170" s="102">
        <v>0</v>
      </c>
      <c r="CK170" s="102">
        <v>0</v>
      </c>
      <c r="CL170" s="102">
        <v>0</v>
      </c>
      <c r="CM170" s="102">
        <v>0</v>
      </c>
      <c r="CN170" s="102">
        <v>2</v>
      </c>
      <c r="CO170" s="102">
        <v>0</v>
      </c>
      <c r="CP170" s="102">
        <v>0</v>
      </c>
      <c r="CQ170" s="102">
        <v>0</v>
      </c>
      <c r="CR170" s="102">
        <v>0</v>
      </c>
      <c r="CS170" s="102">
        <v>0</v>
      </c>
      <c r="CT170" s="102" t="s">
        <v>853</v>
      </c>
      <c r="CU170" s="102">
        <v>0</v>
      </c>
      <c r="CV170" s="102">
        <v>0</v>
      </c>
      <c r="CW170" s="102">
        <v>0</v>
      </c>
      <c r="CX170" s="102">
        <v>0</v>
      </c>
      <c r="CY170" s="102">
        <v>1</v>
      </c>
      <c r="CZ170" s="102">
        <v>0</v>
      </c>
      <c r="DA170" s="102" t="s">
        <v>853</v>
      </c>
      <c r="DB170" s="102">
        <v>0</v>
      </c>
      <c r="DC170" s="102">
        <v>1</v>
      </c>
      <c r="DD170" s="102">
        <v>1</v>
      </c>
      <c r="DE170" s="102">
        <v>0</v>
      </c>
      <c r="DF170" s="102">
        <v>0</v>
      </c>
      <c r="DG170" s="102">
        <v>0</v>
      </c>
      <c r="DH170" s="102">
        <v>0</v>
      </c>
      <c r="DI170" s="102">
        <v>0</v>
      </c>
      <c r="DJ170" s="102">
        <v>0</v>
      </c>
      <c r="DK170" s="102">
        <v>0</v>
      </c>
      <c r="DL170" s="102">
        <v>0</v>
      </c>
      <c r="DM170" s="102">
        <v>0</v>
      </c>
      <c r="DN170" s="102">
        <v>0</v>
      </c>
      <c r="DO170" s="102">
        <v>0</v>
      </c>
      <c r="DP170" s="102">
        <v>0</v>
      </c>
      <c r="DQ170" s="102">
        <v>1</v>
      </c>
      <c r="DR170" s="102">
        <v>1</v>
      </c>
      <c r="DS170" s="102">
        <v>4</v>
      </c>
      <c r="DT170" s="105" t="s">
        <v>1080</v>
      </c>
      <c r="DU170" s="102">
        <v>1</v>
      </c>
      <c r="DV170" s="102">
        <v>0</v>
      </c>
      <c r="DW170" s="102">
        <v>0</v>
      </c>
      <c r="DX170" s="102" t="s">
        <v>853</v>
      </c>
      <c r="DY170" s="102">
        <v>1</v>
      </c>
      <c r="DZ170" s="102">
        <v>0</v>
      </c>
      <c r="EA170" s="102" t="s">
        <v>853</v>
      </c>
      <c r="EB170" s="102">
        <v>0</v>
      </c>
      <c r="EC170" s="102">
        <v>1</v>
      </c>
      <c r="ED170" s="102">
        <v>0</v>
      </c>
      <c r="EE170" s="102">
        <v>1</v>
      </c>
      <c r="EF170" s="102">
        <v>1</v>
      </c>
      <c r="EG170" s="102">
        <v>1</v>
      </c>
      <c r="EH170" s="102" t="s">
        <v>1205</v>
      </c>
      <c r="EI170" s="102">
        <v>2</v>
      </c>
      <c r="EJ170" s="102">
        <v>0</v>
      </c>
      <c r="EK170" s="102">
        <v>3</v>
      </c>
      <c r="EL170" s="102"/>
      <c r="EM170" s="102"/>
    </row>
    <row r="171" spans="1:143" ht="15.75" customHeight="1" x14ac:dyDescent="0.55000000000000004">
      <c r="A171" s="99">
        <v>170</v>
      </c>
      <c r="B171" s="102" t="s">
        <v>1965</v>
      </c>
      <c r="C171" s="102" t="s">
        <v>1966</v>
      </c>
      <c r="D171" s="103">
        <v>43681</v>
      </c>
      <c r="E171" s="102" t="s">
        <v>914</v>
      </c>
      <c r="F171" s="102">
        <v>4</v>
      </c>
      <c r="G171" s="102">
        <v>8</v>
      </c>
      <c r="H171" s="102">
        <v>2019</v>
      </c>
      <c r="I171" s="102" t="s">
        <v>1967</v>
      </c>
      <c r="J171" s="102" t="s">
        <v>1968</v>
      </c>
      <c r="K171" s="102" t="s">
        <v>1478</v>
      </c>
      <c r="L171" s="102">
        <v>35</v>
      </c>
      <c r="M171" s="102">
        <v>1</v>
      </c>
      <c r="N171" s="102">
        <v>0</v>
      </c>
      <c r="O171" s="102">
        <v>5</v>
      </c>
      <c r="P171" s="102">
        <v>0</v>
      </c>
      <c r="Q171" s="104">
        <v>0</v>
      </c>
      <c r="R171" s="102">
        <v>0</v>
      </c>
      <c r="S171" s="102" t="s">
        <v>853</v>
      </c>
      <c r="T171" s="102">
        <v>1</v>
      </c>
      <c r="U171" s="102">
        <v>1</v>
      </c>
      <c r="V171" s="102">
        <v>9</v>
      </c>
      <c r="W171" s="102">
        <v>37</v>
      </c>
      <c r="X171" s="102">
        <v>1</v>
      </c>
      <c r="Y171" s="102">
        <v>0</v>
      </c>
      <c r="Z171" s="102">
        <v>0</v>
      </c>
      <c r="AA171" s="102">
        <v>24</v>
      </c>
      <c r="AB171" s="102">
        <v>0</v>
      </c>
      <c r="AC171" s="102">
        <v>0</v>
      </c>
      <c r="AD171" s="102">
        <v>0</v>
      </c>
      <c r="AE171" s="102">
        <v>0</v>
      </c>
      <c r="AF171" s="102">
        <v>0</v>
      </c>
      <c r="AG171" s="102">
        <v>2</v>
      </c>
      <c r="AH171" s="102"/>
      <c r="AI171" s="102"/>
      <c r="AJ171" s="102">
        <v>1</v>
      </c>
      <c r="AK171" s="102">
        <v>1</v>
      </c>
      <c r="AL171" s="102">
        <v>0</v>
      </c>
      <c r="AM171" s="102">
        <v>1</v>
      </c>
      <c r="AN171" s="102">
        <v>0</v>
      </c>
      <c r="AO171" s="102">
        <v>0</v>
      </c>
      <c r="AP171" s="102">
        <v>1</v>
      </c>
      <c r="AQ171" s="102">
        <v>0</v>
      </c>
      <c r="AR171" s="102">
        <v>0</v>
      </c>
      <c r="AS171" s="102" t="s">
        <v>853</v>
      </c>
      <c r="AT171" s="102">
        <v>1</v>
      </c>
      <c r="AU171" s="102" t="s">
        <v>1969</v>
      </c>
      <c r="AV171" s="102">
        <v>1</v>
      </c>
      <c r="AW171" s="102">
        <v>1</v>
      </c>
      <c r="AX171" s="102">
        <v>0</v>
      </c>
      <c r="AY171" s="102" t="s">
        <v>1970</v>
      </c>
      <c r="AZ171" s="102">
        <v>4</v>
      </c>
      <c r="BA171" s="102">
        <v>0</v>
      </c>
      <c r="BB171" s="102">
        <v>0</v>
      </c>
      <c r="BC171" s="102">
        <v>1</v>
      </c>
      <c r="BD171" s="102">
        <v>1</v>
      </c>
      <c r="BE171" s="102">
        <v>1</v>
      </c>
      <c r="BF171" s="102">
        <v>0</v>
      </c>
      <c r="BG171" s="102">
        <v>0</v>
      </c>
      <c r="BH171" s="102">
        <v>1</v>
      </c>
      <c r="BI171" s="102">
        <v>2</v>
      </c>
      <c r="BJ171" s="102">
        <v>0</v>
      </c>
      <c r="BK171" s="102">
        <v>0</v>
      </c>
      <c r="BL171" s="102">
        <v>0</v>
      </c>
      <c r="BM171" s="102">
        <v>0</v>
      </c>
      <c r="BN171" s="102">
        <v>0</v>
      </c>
      <c r="BO171" s="102">
        <v>0</v>
      </c>
      <c r="BP171" s="102">
        <v>0</v>
      </c>
      <c r="BQ171" s="102">
        <v>0</v>
      </c>
      <c r="BR171" s="102">
        <v>0</v>
      </c>
      <c r="BS171" s="102">
        <v>0</v>
      </c>
      <c r="BT171" s="102">
        <v>0</v>
      </c>
      <c r="BU171" s="102">
        <v>1</v>
      </c>
      <c r="BV171" s="102">
        <v>0</v>
      </c>
      <c r="BW171" s="102">
        <v>0</v>
      </c>
      <c r="BX171" s="102">
        <v>0</v>
      </c>
      <c r="BY171" s="102">
        <v>0</v>
      </c>
      <c r="BZ171" s="102">
        <v>0</v>
      </c>
      <c r="CA171" s="102">
        <v>1</v>
      </c>
      <c r="CB171" s="102">
        <v>1</v>
      </c>
      <c r="CC171" s="102">
        <v>2</v>
      </c>
      <c r="CD171" s="102" t="s">
        <v>1971</v>
      </c>
      <c r="CE171" s="102">
        <v>0</v>
      </c>
      <c r="CF171" s="102">
        <v>1</v>
      </c>
      <c r="CG171" s="102">
        <v>0</v>
      </c>
      <c r="CH171" s="102">
        <v>1</v>
      </c>
      <c r="CI171" s="102">
        <v>1</v>
      </c>
      <c r="CJ171" s="102">
        <v>1</v>
      </c>
      <c r="CK171" s="102">
        <v>0</v>
      </c>
      <c r="CL171" s="102">
        <v>0</v>
      </c>
      <c r="CM171" s="102">
        <v>0</v>
      </c>
      <c r="CN171" s="102">
        <v>1</v>
      </c>
      <c r="CO171" s="102">
        <v>0</v>
      </c>
      <c r="CP171" s="102">
        <v>0</v>
      </c>
      <c r="CQ171" s="102">
        <v>1</v>
      </c>
      <c r="CR171" s="102">
        <v>1</v>
      </c>
      <c r="CS171" s="102">
        <v>1</v>
      </c>
      <c r="CT171" s="102" t="s">
        <v>1972</v>
      </c>
      <c r="CU171" s="102">
        <v>1</v>
      </c>
      <c r="CV171" s="102">
        <v>1</v>
      </c>
      <c r="CW171" s="102">
        <v>0</v>
      </c>
      <c r="CX171" s="102">
        <v>0</v>
      </c>
      <c r="CY171" s="102" t="s">
        <v>1123</v>
      </c>
      <c r="CZ171" s="102">
        <v>0</v>
      </c>
      <c r="DA171" s="102" t="s">
        <v>853</v>
      </c>
      <c r="DB171" s="102">
        <v>0</v>
      </c>
      <c r="DC171" s="102">
        <v>2</v>
      </c>
      <c r="DD171" s="102">
        <v>0</v>
      </c>
      <c r="DE171" s="102">
        <v>0</v>
      </c>
      <c r="DF171" s="102">
        <v>0</v>
      </c>
      <c r="DG171" s="102">
        <v>0</v>
      </c>
      <c r="DH171" s="102">
        <v>0</v>
      </c>
      <c r="DI171" s="102">
        <v>0</v>
      </c>
      <c r="DJ171" s="102">
        <v>0</v>
      </c>
      <c r="DK171" s="102">
        <v>0</v>
      </c>
      <c r="DL171" s="102">
        <v>0</v>
      </c>
      <c r="DM171" s="102">
        <v>0</v>
      </c>
      <c r="DN171" s="102">
        <v>0</v>
      </c>
      <c r="DO171" s="102">
        <v>1</v>
      </c>
      <c r="DP171" s="102">
        <v>0</v>
      </c>
      <c r="DQ171" s="102">
        <v>1</v>
      </c>
      <c r="DR171" s="102">
        <v>0</v>
      </c>
      <c r="DS171" s="102" t="s">
        <v>853</v>
      </c>
      <c r="DT171" s="105" t="s">
        <v>853</v>
      </c>
      <c r="DU171" s="102" t="s">
        <v>853</v>
      </c>
      <c r="DV171" s="102">
        <v>1</v>
      </c>
      <c r="DW171" s="102">
        <v>1</v>
      </c>
      <c r="DX171" s="102" t="s">
        <v>1973</v>
      </c>
      <c r="DY171" s="102">
        <v>0</v>
      </c>
      <c r="DZ171" s="102">
        <v>0</v>
      </c>
      <c r="EA171" s="102" t="s">
        <v>853</v>
      </c>
      <c r="EB171" s="102">
        <v>0</v>
      </c>
      <c r="EC171" s="102">
        <v>0</v>
      </c>
      <c r="ED171" s="102">
        <v>0</v>
      </c>
      <c r="EE171" s="102">
        <v>1</v>
      </c>
      <c r="EF171" s="102">
        <v>2</v>
      </c>
      <c r="EG171" s="102">
        <v>1</v>
      </c>
      <c r="EH171" s="102" t="s">
        <v>1974</v>
      </c>
      <c r="EI171" s="102">
        <v>1</v>
      </c>
      <c r="EJ171" s="102">
        <v>0</v>
      </c>
      <c r="EK171" s="102">
        <v>2</v>
      </c>
      <c r="EL171" s="102">
        <v>0</v>
      </c>
      <c r="EM171" s="102"/>
    </row>
    <row r="172" spans="1:143" ht="15.75" customHeight="1" x14ac:dyDescent="0.55000000000000004">
      <c r="A172" s="99">
        <v>171</v>
      </c>
      <c r="B172" s="102" t="s">
        <v>1975</v>
      </c>
      <c r="C172" s="102" t="s">
        <v>1976</v>
      </c>
      <c r="D172" s="103">
        <v>43708</v>
      </c>
      <c r="E172" s="102" t="s">
        <v>860</v>
      </c>
      <c r="F172" s="102">
        <v>31</v>
      </c>
      <c r="G172" s="102">
        <v>8</v>
      </c>
      <c r="H172" s="102">
        <v>2019</v>
      </c>
      <c r="I172" s="102" t="s">
        <v>1977</v>
      </c>
      <c r="J172" s="102" t="s">
        <v>1978</v>
      </c>
      <c r="K172" s="102" t="s">
        <v>849</v>
      </c>
      <c r="L172" s="102">
        <v>43</v>
      </c>
      <c r="M172" s="102">
        <v>0</v>
      </c>
      <c r="N172" s="102">
        <v>0</v>
      </c>
      <c r="O172" s="102">
        <v>8</v>
      </c>
      <c r="P172" s="102">
        <v>0</v>
      </c>
      <c r="Q172" s="104">
        <v>0</v>
      </c>
      <c r="R172" s="102">
        <v>1</v>
      </c>
      <c r="S172" s="102">
        <v>4</v>
      </c>
      <c r="T172" s="102">
        <v>0</v>
      </c>
      <c r="U172" s="102">
        <v>0</v>
      </c>
      <c r="V172" s="102">
        <v>7</v>
      </c>
      <c r="W172" s="102">
        <v>23</v>
      </c>
      <c r="X172" s="102">
        <v>0</v>
      </c>
      <c r="Y172" s="102">
        <v>0</v>
      </c>
      <c r="Z172" s="102">
        <v>0</v>
      </c>
      <c r="AA172" s="102">
        <v>36</v>
      </c>
      <c r="AB172" s="102">
        <v>0</v>
      </c>
      <c r="AC172" s="102">
        <v>0</v>
      </c>
      <c r="AD172" s="102">
        <v>0</v>
      </c>
      <c r="AE172" s="102">
        <v>0</v>
      </c>
      <c r="AF172" s="102"/>
      <c r="AG172" s="102">
        <v>2</v>
      </c>
      <c r="AH172" s="102"/>
      <c r="AI172" s="102"/>
      <c r="AJ172" s="102">
        <v>3</v>
      </c>
      <c r="AK172" s="102">
        <v>1</v>
      </c>
      <c r="AL172" s="102">
        <v>1</v>
      </c>
      <c r="AM172" s="102">
        <v>0</v>
      </c>
      <c r="AN172" s="102"/>
      <c r="AO172" s="102"/>
      <c r="AP172" s="102">
        <v>0</v>
      </c>
      <c r="AQ172" s="102">
        <v>0</v>
      </c>
      <c r="AR172" s="102">
        <v>0</v>
      </c>
      <c r="AS172" s="102" t="s">
        <v>853</v>
      </c>
      <c r="AT172" s="102">
        <v>0</v>
      </c>
      <c r="AU172" s="102"/>
      <c r="AV172" s="102">
        <v>0</v>
      </c>
      <c r="AW172" s="102">
        <v>1</v>
      </c>
      <c r="AX172" s="102">
        <v>0</v>
      </c>
      <c r="AY172" s="102">
        <v>9</v>
      </c>
      <c r="AZ172" s="102">
        <v>4</v>
      </c>
      <c r="BA172" s="102">
        <v>1</v>
      </c>
      <c r="BB172" s="102">
        <v>1</v>
      </c>
      <c r="BC172" s="102">
        <v>2</v>
      </c>
      <c r="BD172" s="102">
        <v>3</v>
      </c>
      <c r="BE172" s="102">
        <v>0</v>
      </c>
      <c r="BF172" s="102">
        <v>0</v>
      </c>
      <c r="BG172" s="102">
        <v>0</v>
      </c>
      <c r="BH172" s="102">
        <v>0</v>
      </c>
      <c r="BI172" s="102">
        <v>0</v>
      </c>
      <c r="BJ172" s="102">
        <v>0</v>
      </c>
      <c r="BK172" s="102">
        <v>0</v>
      </c>
      <c r="BL172" s="102">
        <v>0</v>
      </c>
      <c r="BM172" s="102">
        <v>1</v>
      </c>
      <c r="BN172" s="102">
        <v>0</v>
      </c>
      <c r="BO172" s="102">
        <v>0</v>
      </c>
      <c r="BP172" s="102">
        <v>0</v>
      </c>
      <c r="BQ172" s="102">
        <v>0</v>
      </c>
      <c r="BR172" s="102">
        <v>0</v>
      </c>
      <c r="BS172" s="102">
        <v>0</v>
      </c>
      <c r="BT172" s="102">
        <v>0</v>
      </c>
      <c r="BU172" s="102"/>
      <c r="BV172" s="102">
        <v>0</v>
      </c>
      <c r="BW172" s="102">
        <v>0</v>
      </c>
      <c r="BX172" s="102">
        <v>0</v>
      </c>
      <c r="BY172" s="102">
        <v>0</v>
      </c>
      <c r="BZ172" s="102">
        <v>3</v>
      </c>
      <c r="CA172" s="102">
        <v>2</v>
      </c>
      <c r="CB172" s="102">
        <v>1</v>
      </c>
      <c r="CC172" s="102">
        <v>1</v>
      </c>
      <c r="CD172" s="102" t="s">
        <v>1979</v>
      </c>
      <c r="CE172" s="102">
        <v>0</v>
      </c>
      <c r="CF172" s="102">
        <v>0</v>
      </c>
      <c r="CG172" s="102">
        <v>0</v>
      </c>
      <c r="CH172" s="102">
        <v>0</v>
      </c>
      <c r="CI172" s="102">
        <v>1</v>
      </c>
      <c r="CJ172" s="102">
        <v>1</v>
      </c>
      <c r="CK172" s="102">
        <v>0</v>
      </c>
      <c r="CL172" s="102">
        <v>0</v>
      </c>
      <c r="CM172" s="102">
        <v>0</v>
      </c>
      <c r="CN172" s="102">
        <v>1</v>
      </c>
      <c r="CO172" s="102">
        <v>1</v>
      </c>
      <c r="CP172" s="102">
        <v>2</v>
      </c>
      <c r="CQ172" s="102">
        <v>1</v>
      </c>
      <c r="CR172" s="102">
        <v>2</v>
      </c>
      <c r="CS172" s="102">
        <v>1</v>
      </c>
      <c r="CT172" s="102" t="s">
        <v>955</v>
      </c>
      <c r="CU172" s="102">
        <v>0</v>
      </c>
      <c r="CV172" s="102">
        <v>2</v>
      </c>
      <c r="CW172" s="102">
        <v>2</v>
      </c>
      <c r="CX172" s="102">
        <v>0</v>
      </c>
      <c r="CY172" s="102" t="s">
        <v>954</v>
      </c>
      <c r="CZ172" s="102">
        <v>0</v>
      </c>
      <c r="DA172" s="102" t="s">
        <v>853</v>
      </c>
      <c r="DB172" s="102">
        <v>0</v>
      </c>
      <c r="DC172" s="102">
        <v>1</v>
      </c>
      <c r="DD172" s="102">
        <v>0</v>
      </c>
      <c r="DE172" s="102">
        <v>0</v>
      </c>
      <c r="DF172" s="102">
        <v>0</v>
      </c>
      <c r="DG172" s="102">
        <v>0</v>
      </c>
      <c r="DH172" s="102">
        <v>0</v>
      </c>
      <c r="DI172" s="102">
        <v>0</v>
      </c>
      <c r="DJ172" s="102">
        <v>0</v>
      </c>
      <c r="DK172" s="102">
        <v>0</v>
      </c>
      <c r="DL172" s="102">
        <v>0</v>
      </c>
      <c r="DM172" s="102">
        <v>0</v>
      </c>
      <c r="DN172" s="102">
        <v>0</v>
      </c>
      <c r="DO172" s="102">
        <v>1</v>
      </c>
      <c r="DP172" s="102">
        <v>1</v>
      </c>
      <c r="DQ172" s="102">
        <v>1</v>
      </c>
      <c r="DR172" s="102">
        <v>0</v>
      </c>
      <c r="DS172" s="102" t="s">
        <v>853</v>
      </c>
      <c r="DT172" s="105" t="s">
        <v>853</v>
      </c>
      <c r="DU172" s="102" t="s">
        <v>853</v>
      </c>
      <c r="DV172" s="102">
        <v>0</v>
      </c>
      <c r="DW172" s="102">
        <v>0</v>
      </c>
      <c r="DX172" s="102" t="s">
        <v>853</v>
      </c>
      <c r="DY172" s="102">
        <v>0</v>
      </c>
      <c r="DZ172" s="102">
        <v>0</v>
      </c>
      <c r="EA172" s="102" t="s">
        <v>853</v>
      </c>
      <c r="EB172" s="102">
        <v>0</v>
      </c>
      <c r="EC172" s="102">
        <v>0</v>
      </c>
      <c r="ED172" s="102">
        <v>0</v>
      </c>
      <c r="EE172" s="102">
        <v>1</v>
      </c>
      <c r="EF172" s="102">
        <v>1</v>
      </c>
      <c r="EG172" s="102">
        <v>0</v>
      </c>
      <c r="EH172" s="102" t="s">
        <v>853</v>
      </c>
      <c r="EI172" s="102">
        <v>1</v>
      </c>
      <c r="EJ172" s="102">
        <v>0</v>
      </c>
      <c r="EK172" s="102">
        <v>2</v>
      </c>
      <c r="EL172" s="102">
        <v>0</v>
      </c>
      <c r="EM172" s="102"/>
    </row>
    <row r="173" spans="1:143" ht="15.75" customHeight="1" x14ac:dyDescent="0.55000000000000004">
      <c r="A173" s="99">
        <v>172</v>
      </c>
      <c r="B173" s="102" t="s">
        <v>1980</v>
      </c>
      <c r="C173" s="102" t="s">
        <v>1981</v>
      </c>
      <c r="D173" s="103">
        <v>43809</v>
      </c>
      <c r="E173" s="102" t="s">
        <v>1032</v>
      </c>
      <c r="F173" s="102">
        <v>10</v>
      </c>
      <c r="G173" s="102">
        <v>12</v>
      </c>
      <c r="H173" s="102">
        <v>2019</v>
      </c>
      <c r="I173" s="102" t="s">
        <v>1982</v>
      </c>
      <c r="J173" s="102" t="s">
        <v>1983</v>
      </c>
      <c r="K173" s="102" t="s">
        <v>910</v>
      </c>
      <c r="L173" s="102">
        <v>30</v>
      </c>
      <c r="M173" s="102">
        <v>2</v>
      </c>
      <c r="N173" s="102">
        <v>0</v>
      </c>
      <c r="O173" s="102">
        <v>4</v>
      </c>
      <c r="P173" s="102">
        <v>0</v>
      </c>
      <c r="Q173" s="104">
        <v>0</v>
      </c>
      <c r="R173" s="102">
        <v>1</v>
      </c>
      <c r="S173" s="102">
        <v>8</v>
      </c>
      <c r="T173" s="102">
        <v>0</v>
      </c>
      <c r="U173" s="102">
        <v>0</v>
      </c>
      <c r="V173" s="102">
        <v>4</v>
      </c>
      <c r="W173" s="102">
        <v>3</v>
      </c>
      <c r="X173" s="102">
        <v>0</v>
      </c>
      <c r="Y173" s="102">
        <v>0</v>
      </c>
      <c r="Z173" s="102">
        <v>0</v>
      </c>
      <c r="AA173" s="102">
        <v>47</v>
      </c>
      <c r="AB173" s="102">
        <v>0</v>
      </c>
      <c r="AC173" s="102">
        <v>1</v>
      </c>
      <c r="AD173" s="102">
        <v>0</v>
      </c>
      <c r="AE173" s="102">
        <v>0</v>
      </c>
      <c r="AF173" s="102">
        <v>4</v>
      </c>
      <c r="AG173" s="102"/>
      <c r="AH173" s="102"/>
      <c r="AI173" s="102"/>
      <c r="AJ173" s="102">
        <v>3</v>
      </c>
      <c r="AK173" s="102">
        <v>1</v>
      </c>
      <c r="AL173" s="102">
        <v>1</v>
      </c>
      <c r="AM173" s="102">
        <v>0</v>
      </c>
      <c r="AN173" s="102">
        <v>1</v>
      </c>
      <c r="AO173" s="102">
        <v>0</v>
      </c>
      <c r="AP173" s="102">
        <v>0</v>
      </c>
      <c r="AQ173" s="102">
        <v>0</v>
      </c>
      <c r="AR173" s="102">
        <v>1</v>
      </c>
      <c r="AS173" s="102">
        <v>0</v>
      </c>
      <c r="AT173" s="102">
        <v>0</v>
      </c>
      <c r="AU173" s="102"/>
      <c r="AV173" s="102">
        <v>0</v>
      </c>
      <c r="AW173" s="102">
        <v>1</v>
      </c>
      <c r="AX173" s="102">
        <v>1</v>
      </c>
      <c r="AY173" s="102" t="s">
        <v>1636</v>
      </c>
      <c r="AZ173" s="102">
        <v>4</v>
      </c>
      <c r="BA173" s="102">
        <v>0</v>
      </c>
      <c r="BB173" s="102">
        <v>0</v>
      </c>
      <c r="BC173" s="102">
        <v>1</v>
      </c>
      <c r="BD173" s="102">
        <v>3</v>
      </c>
      <c r="BE173" s="102">
        <v>0</v>
      </c>
      <c r="BF173" s="102">
        <v>0</v>
      </c>
      <c r="BG173" s="102">
        <v>0</v>
      </c>
      <c r="BH173" s="102">
        <v>1</v>
      </c>
      <c r="BI173" s="102">
        <v>0</v>
      </c>
      <c r="BJ173" s="102">
        <v>0</v>
      </c>
      <c r="BK173" s="102">
        <v>0</v>
      </c>
      <c r="BL173" s="102">
        <v>1</v>
      </c>
      <c r="BM173" s="102">
        <v>0</v>
      </c>
      <c r="BN173" s="102">
        <v>1</v>
      </c>
      <c r="BO173" s="102">
        <v>0</v>
      </c>
      <c r="BP173" s="102">
        <v>1</v>
      </c>
      <c r="BQ173" s="102">
        <v>0</v>
      </c>
      <c r="BR173" s="102">
        <v>0</v>
      </c>
      <c r="BS173" s="102">
        <v>0</v>
      </c>
      <c r="BT173" s="102">
        <v>0</v>
      </c>
      <c r="BU173" s="102">
        <v>0</v>
      </c>
      <c r="BV173" s="102">
        <v>0</v>
      </c>
      <c r="BW173" s="102">
        <v>0</v>
      </c>
      <c r="BX173" s="102">
        <v>0</v>
      </c>
      <c r="BY173" s="102">
        <v>0</v>
      </c>
      <c r="BZ173" s="102">
        <v>0</v>
      </c>
      <c r="CA173" s="102">
        <v>0</v>
      </c>
      <c r="CB173" s="102">
        <v>1</v>
      </c>
      <c r="CC173" s="102">
        <v>3</v>
      </c>
      <c r="CD173" s="102" t="s">
        <v>1984</v>
      </c>
      <c r="CE173" s="102">
        <v>1</v>
      </c>
      <c r="CF173" s="102">
        <v>0</v>
      </c>
      <c r="CG173" s="102">
        <v>0</v>
      </c>
      <c r="CH173" s="102">
        <v>1</v>
      </c>
      <c r="CI173" s="102">
        <v>1</v>
      </c>
      <c r="CJ173" s="102">
        <v>1</v>
      </c>
      <c r="CK173" s="102">
        <v>1</v>
      </c>
      <c r="CL173" s="102">
        <v>1</v>
      </c>
      <c r="CM173" s="102">
        <v>0</v>
      </c>
      <c r="CN173" s="102">
        <v>2</v>
      </c>
      <c r="CO173" s="102">
        <v>0</v>
      </c>
      <c r="CP173" s="102">
        <v>0</v>
      </c>
      <c r="CQ173" s="102">
        <v>0</v>
      </c>
      <c r="CR173" s="102">
        <v>0</v>
      </c>
      <c r="CS173" s="102">
        <v>0</v>
      </c>
      <c r="CT173" s="102" t="s">
        <v>853</v>
      </c>
      <c r="CU173" s="102">
        <v>0</v>
      </c>
      <c r="CV173" s="102">
        <v>0</v>
      </c>
      <c r="CW173" s="102">
        <v>0</v>
      </c>
      <c r="CX173" s="102">
        <v>0</v>
      </c>
      <c r="CY173" s="102">
        <v>3</v>
      </c>
      <c r="CZ173" s="102">
        <v>0</v>
      </c>
      <c r="DA173" s="102" t="s">
        <v>853</v>
      </c>
      <c r="DB173" s="102">
        <v>0</v>
      </c>
      <c r="DC173" s="102" t="s">
        <v>922</v>
      </c>
      <c r="DD173" s="102">
        <v>1</v>
      </c>
      <c r="DE173" s="102">
        <v>1</v>
      </c>
      <c r="DF173" s="102">
        <v>0</v>
      </c>
      <c r="DG173" s="102">
        <v>0</v>
      </c>
      <c r="DH173" s="102">
        <v>0</v>
      </c>
      <c r="DI173" s="102">
        <v>0</v>
      </c>
      <c r="DJ173" s="102">
        <v>0</v>
      </c>
      <c r="DK173" s="102">
        <v>0</v>
      </c>
      <c r="DL173" s="102">
        <v>0</v>
      </c>
      <c r="DM173" s="102">
        <v>0</v>
      </c>
      <c r="DN173" s="102">
        <v>0</v>
      </c>
      <c r="DO173" s="102">
        <v>0</v>
      </c>
      <c r="DP173" s="102">
        <v>0</v>
      </c>
      <c r="DQ173" s="102">
        <v>1</v>
      </c>
      <c r="DR173" s="102">
        <v>0</v>
      </c>
      <c r="DS173" s="102" t="s">
        <v>853</v>
      </c>
      <c r="DT173" s="105" t="s">
        <v>853</v>
      </c>
      <c r="DU173" s="102" t="s">
        <v>853</v>
      </c>
      <c r="DV173" s="102">
        <v>1</v>
      </c>
      <c r="DW173" s="102">
        <v>0</v>
      </c>
      <c r="DX173" s="102" t="s">
        <v>853</v>
      </c>
      <c r="DY173" s="102">
        <v>1</v>
      </c>
      <c r="DZ173" s="102">
        <v>0</v>
      </c>
      <c r="EA173" s="102" t="s">
        <v>853</v>
      </c>
      <c r="EB173" s="102">
        <v>1</v>
      </c>
      <c r="EC173" s="102">
        <v>0</v>
      </c>
      <c r="ED173" s="102">
        <v>0</v>
      </c>
      <c r="EE173" s="102">
        <v>3</v>
      </c>
      <c r="EF173" s="102">
        <v>5</v>
      </c>
      <c r="EG173" s="102">
        <v>1</v>
      </c>
      <c r="EH173" s="102" t="s">
        <v>1985</v>
      </c>
      <c r="EI173" s="102">
        <v>1</v>
      </c>
      <c r="EJ173" s="102">
        <v>0</v>
      </c>
      <c r="EK173" s="102">
        <v>2</v>
      </c>
      <c r="EL173" s="102">
        <v>0</v>
      </c>
      <c r="EM173" s="102"/>
    </row>
    <row r="174" spans="1:143" ht="15.75" customHeight="1" x14ac:dyDescent="0.55000000000000004">
      <c r="A174" s="99">
        <v>173</v>
      </c>
      <c r="B174" s="102" t="s">
        <v>1986</v>
      </c>
      <c r="C174" s="102" t="s">
        <v>1987</v>
      </c>
      <c r="D174" s="103">
        <v>43809</v>
      </c>
      <c r="E174" s="102" t="s">
        <v>1032</v>
      </c>
      <c r="F174" s="102">
        <v>10</v>
      </c>
      <c r="G174" s="102">
        <v>12</v>
      </c>
      <c r="H174" s="102">
        <v>2019</v>
      </c>
      <c r="I174" s="102" t="s">
        <v>1988</v>
      </c>
      <c r="J174" s="102" t="s">
        <v>1983</v>
      </c>
      <c r="K174" s="102" t="s">
        <v>910</v>
      </c>
      <c r="L174" s="102">
        <v>30</v>
      </c>
      <c r="M174" s="102">
        <v>2</v>
      </c>
      <c r="N174" s="102">
        <v>0</v>
      </c>
      <c r="O174" s="102">
        <v>4</v>
      </c>
      <c r="P174" s="102">
        <v>0</v>
      </c>
      <c r="Q174" s="104">
        <v>0</v>
      </c>
      <c r="R174" s="102">
        <v>1</v>
      </c>
      <c r="S174" s="102">
        <v>8</v>
      </c>
      <c r="T174" s="102">
        <v>0</v>
      </c>
      <c r="U174" s="102">
        <v>0</v>
      </c>
      <c r="V174" s="102">
        <v>4</v>
      </c>
      <c r="W174" s="102">
        <v>3</v>
      </c>
      <c r="X174" s="102">
        <v>0</v>
      </c>
      <c r="Y174" s="102">
        <v>0</v>
      </c>
      <c r="Z174" s="102">
        <v>0</v>
      </c>
      <c r="AA174" s="102">
        <v>50</v>
      </c>
      <c r="AB174" s="102">
        <v>1</v>
      </c>
      <c r="AC174" s="102">
        <v>1</v>
      </c>
      <c r="AD174" s="102">
        <v>0</v>
      </c>
      <c r="AE174" s="102">
        <v>0</v>
      </c>
      <c r="AF174" s="102">
        <v>4</v>
      </c>
      <c r="AG174" s="102"/>
      <c r="AH174" s="102"/>
      <c r="AI174" s="102"/>
      <c r="AJ174" s="102"/>
      <c r="AK174" s="102">
        <v>2</v>
      </c>
      <c r="AL174" s="102"/>
      <c r="AM174" s="102"/>
      <c r="AN174" s="102">
        <v>1</v>
      </c>
      <c r="AO174" s="102">
        <v>0</v>
      </c>
      <c r="AP174" s="102">
        <v>0</v>
      </c>
      <c r="AQ174" s="102">
        <v>2</v>
      </c>
      <c r="AR174" s="102">
        <v>0</v>
      </c>
      <c r="AS174" s="102" t="s">
        <v>853</v>
      </c>
      <c r="AT174" s="102">
        <v>3</v>
      </c>
      <c r="AU174" s="102" t="s">
        <v>1989</v>
      </c>
      <c r="AV174" s="102">
        <v>0</v>
      </c>
      <c r="AW174" s="102">
        <v>0</v>
      </c>
      <c r="AX174" s="102">
        <v>1</v>
      </c>
      <c r="AY174" s="102">
        <v>0</v>
      </c>
      <c r="AZ174" s="102">
        <v>1</v>
      </c>
      <c r="BA174" s="102">
        <v>0</v>
      </c>
      <c r="BB174" s="102">
        <v>0</v>
      </c>
      <c r="BC174" s="102">
        <v>0</v>
      </c>
      <c r="BD174" s="102">
        <v>0</v>
      </c>
      <c r="BE174" s="102">
        <v>0</v>
      </c>
      <c r="BF174" s="102">
        <v>0</v>
      </c>
      <c r="BG174" s="102">
        <v>0</v>
      </c>
      <c r="BH174" s="102">
        <v>1</v>
      </c>
      <c r="BI174" s="102">
        <v>0</v>
      </c>
      <c r="BJ174" s="102">
        <v>0</v>
      </c>
      <c r="BK174" s="102">
        <v>0</v>
      </c>
      <c r="BL174" s="102">
        <v>0</v>
      </c>
      <c r="BM174" s="102">
        <v>0</v>
      </c>
      <c r="BN174" s="102">
        <v>0</v>
      </c>
      <c r="BO174" s="102">
        <v>0</v>
      </c>
      <c r="BP174" s="102">
        <v>0</v>
      </c>
      <c r="BQ174" s="102">
        <v>0</v>
      </c>
      <c r="BR174" s="102">
        <v>0</v>
      </c>
      <c r="BS174" s="102">
        <v>0</v>
      </c>
      <c r="BT174" s="102">
        <v>0</v>
      </c>
      <c r="BU174" s="102">
        <v>0</v>
      </c>
      <c r="BV174" s="102">
        <v>0</v>
      </c>
      <c r="BW174" s="102">
        <v>0</v>
      </c>
      <c r="BX174" s="102">
        <v>0</v>
      </c>
      <c r="BY174" s="102">
        <v>0</v>
      </c>
      <c r="BZ174" s="102">
        <v>0</v>
      </c>
      <c r="CA174" s="102">
        <v>3</v>
      </c>
      <c r="CB174" s="102">
        <v>1</v>
      </c>
      <c r="CC174" s="102">
        <v>3</v>
      </c>
      <c r="CD174" s="102" t="s">
        <v>1990</v>
      </c>
      <c r="CE174" s="102">
        <v>1</v>
      </c>
      <c r="CF174" s="102">
        <v>0</v>
      </c>
      <c r="CG174" s="102">
        <v>0</v>
      </c>
      <c r="CH174" s="102">
        <v>0</v>
      </c>
      <c r="CI174" s="102">
        <v>0</v>
      </c>
      <c r="CJ174" s="102">
        <v>0</v>
      </c>
      <c r="CK174" s="102">
        <v>1</v>
      </c>
      <c r="CL174" s="102">
        <v>0</v>
      </c>
      <c r="CM174" s="102">
        <v>0</v>
      </c>
      <c r="CN174" s="102">
        <v>2</v>
      </c>
      <c r="CO174" s="102">
        <v>0</v>
      </c>
      <c r="CP174" s="102">
        <v>0</v>
      </c>
      <c r="CQ174" s="102">
        <v>0</v>
      </c>
      <c r="CR174" s="102">
        <v>0</v>
      </c>
      <c r="CS174" s="102">
        <v>0</v>
      </c>
      <c r="CT174" s="102" t="s">
        <v>853</v>
      </c>
      <c r="CU174" s="102">
        <v>0</v>
      </c>
      <c r="CV174" s="102">
        <v>0</v>
      </c>
      <c r="CW174" s="102">
        <v>0</v>
      </c>
      <c r="CX174" s="102">
        <v>0</v>
      </c>
      <c r="CY174" s="102">
        <v>0</v>
      </c>
      <c r="CZ174" s="102">
        <v>1</v>
      </c>
      <c r="DA174" s="102" t="s">
        <v>1300</v>
      </c>
      <c r="DB174" s="102">
        <v>0</v>
      </c>
      <c r="DC174" s="102" t="s">
        <v>922</v>
      </c>
      <c r="DD174" s="102">
        <v>1</v>
      </c>
      <c r="DE174" s="102">
        <v>1</v>
      </c>
      <c r="DF174" s="102">
        <v>0</v>
      </c>
      <c r="DG174" s="102">
        <v>0</v>
      </c>
      <c r="DH174" s="102">
        <v>0</v>
      </c>
      <c r="DI174" s="102">
        <v>0</v>
      </c>
      <c r="DJ174" s="102">
        <v>0</v>
      </c>
      <c r="DK174" s="102">
        <v>0</v>
      </c>
      <c r="DL174" s="102">
        <v>0</v>
      </c>
      <c r="DM174" s="102">
        <v>0</v>
      </c>
      <c r="DN174" s="102">
        <v>0</v>
      </c>
      <c r="DO174" s="102">
        <v>0</v>
      </c>
      <c r="DP174" s="102">
        <v>0</v>
      </c>
      <c r="DQ174" s="102">
        <v>0</v>
      </c>
      <c r="DR174" s="102">
        <v>0</v>
      </c>
      <c r="DS174" s="102" t="s">
        <v>853</v>
      </c>
      <c r="DT174" s="105" t="s">
        <v>853</v>
      </c>
      <c r="DU174" s="102" t="s">
        <v>853</v>
      </c>
      <c r="DV174" s="102">
        <v>1</v>
      </c>
      <c r="DW174" s="102">
        <v>0</v>
      </c>
      <c r="DX174" s="102" t="s">
        <v>853</v>
      </c>
      <c r="DY174" s="102">
        <v>1</v>
      </c>
      <c r="DZ174" s="102">
        <v>0</v>
      </c>
      <c r="EA174" s="102" t="s">
        <v>853</v>
      </c>
      <c r="EB174" s="102">
        <v>1</v>
      </c>
      <c r="EC174" s="102">
        <v>0</v>
      </c>
      <c r="ED174" s="102">
        <v>0</v>
      </c>
      <c r="EE174" s="102">
        <v>1</v>
      </c>
      <c r="EF174" s="102">
        <v>5</v>
      </c>
      <c r="EG174" s="102">
        <v>1</v>
      </c>
      <c r="EH174" s="102" t="s">
        <v>1985</v>
      </c>
      <c r="EI174" s="102">
        <v>1</v>
      </c>
      <c r="EJ174" s="102">
        <v>0</v>
      </c>
      <c r="EK174" s="102">
        <v>2</v>
      </c>
      <c r="EL174" s="102">
        <v>0</v>
      </c>
      <c r="EM174" s="102"/>
    </row>
    <row r="175" spans="1:143" ht="15.75" customHeight="1" x14ac:dyDescent="0.55000000000000004">
      <c r="A175" s="99">
        <v>174</v>
      </c>
      <c r="B175" s="102" t="s">
        <v>1991</v>
      </c>
      <c r="C175" s="102" t="s">
        <v>1524</v>
      </c>
      <c r="D175" s="103">
        <v>43887</v>
      </c>
      <c r="E175" s="102" t="s">
        <v>891</v>
      </c>
      <c r="F175" s="102">
        <v>26</v>
      </c>
      <c r="G175" s="102">
        <v>2</v>
      </c>
      <c r="H175" s="102">
        <v>2020</v>
      </c>
      <c r="I175" s="102" t="s">
        <v>1992</v>
      </c>
      <c r="J175" s="102" t="s">
        <v>1993</v>
      </c>
      <c r="K175" s="102" t="s">
        <v>1471</v>
      </c>
      <c r="L175" s="102">
        <v>49</v>
      </c>
      <c r="M175" s="102">
        <v>1</v>
      </c>
      <c r="N175" s="102">
        <v>0</v>
      </c>
      <c r="O175" s="106">
        <v>9</v>
      </c>
      <c r="P175" s="102">
        <v>1</v>
      </c>
      <c r="Q175" s="104">
        <v>1</v>
      </c>
      <c r="R175" s="102">
        <v>0</v>
      </c>
      <c r="S175" s="102" t="s">
        <v>853</v>
      </c>
      <c r="T175" s="102">
        <v>0</v>
      </c>
      <c r="U175" s="102">
        <v>0</v>
      </c>
      <c r="V175" s="102">
        <v>5</v>
      </c>
      <c r="W175" s="102">
        <v>0</v>
      </c>
      <c r="X175" s="102">
        <v>0</v>
      </c>
      <c r="Y175" s="102">
        <v>0</v>
      </c>
      <c r="Z175" s="102">
        <v>0</v>
      </c>
      <c r="AA175" s="102">
        <v>51</v>
      </c>
      <c r="AB175" s="102">
        <v>0</v>
      </c>
      <c r="AC175" s="102">
        <v>1</v>
      </c>
      <c r="AD175" s="102">
        <v>0</v>
      </c>
      <c r="AE175" s="102">
        <v>0</v>
      </c>
      <c r="AF175" s="102"/>
      <c r="AG175" s="102">
        <v>2</v>
      </c>
      <c r="AH175" s="102"/>
      <c r="AI175" s="102"/>
      <c r="AJ175" s="102"/>
      <c r="AK175" s="102">
        <v>2</v>
      </c>
      <c r="AL175" s="102"/>
      <c r="AM175" s="102"/>
      <c r="AN175" s="102">
        <v>2</v>
      </c>
      <c r="AO175" s="102">
        <v>1</v>
      </c>
      <c r="AP175" s="102">
        <v>1</v>
      </c>
      <c r="AQ175" s="102">
        <v>0</v>
      </c>
      <c r="AR175" s="102">
        <v>1</v>
      </c>
      <c r="AS175" s="102">
        <v>4</v>
      </c>
      <c r="AT175" s="102">
        <v>1</v>
      </c>
      <c r="AU175" s="102" t="s">
        <v>1994</v>
      </c>
      <c r="AV175" s="102">
        <v>0</v>
      </c>
      <c r="AW175" s="102">
        <v>1</v>
      </c>
      <c r="AX175" s="102">
        <v>0</v>
      </c>
      <c r="AY175" s="102" t="s">
        <v>1092</v>
      </c>
      <c r="AZ175" s="102">
        <v>3</v>
      </c>
      <c r="BA175" s="102">
        <v>0</v>
      </c>
      <c r="BB175" s="102">
        <v>0</v>
      </c>
      <c r="BC175" s="102">
        <v>1</v>
      </c>
      <c r="BD175" s="102">
        <v>1</v>
      </c>
      <c r="BE175" s="102">
        <v>0</v>
      </c>
      <c r="BF175" s="102">
        <v>0</v>
      </c>
      <c r="BG175" s="102">
        <v>0</v>
      </c>
      <c r="BH175" s="102">
        <v>0</v>
      </c>
      <c r="BI175" s="102">
        <v>0</v>
      </c>
      <c r="BJ175" s="102">
        <v>0</v>
      </c>
      <c r="BK175" s="102">
        <v>1</v>
      </c>
      <c r="BL175" s="102">
        <v>0</v>
      </c>
      <c r="BM175" s="102">
        <v>0</v>
      </c>
      <c r="BN175" s="102">
        <v>0</v>
      </c>
      <c r="BO175" s="102">
        <v>0</v>
      </c>
      <c r="BP175" s="102">
        <v>0</v>
      </c>
      <c r="BQ175" s="102">
        <v>0</v>
      </c>
      <c r="BR175" s="102">
        <v>0</v>
      </c>
      <c r="BS175" s="102">
        <v>0</v>
      </c>
      <c r="BT175" s="102">
        <v>0</v>
      </c>
      <c r="BU175" s="102"/>
      <c r="BV175" s="102">
        <v>0</v>
      </c>
      <c r="BW175" s="102">
        <v>0</v>
      </c>
      <c r="BX175" s="102">
        <v>0</v>
      </c>
      <c r="BY175" s="102">
        <v>0</v>
      </c>
      <c r="BZ175" s="102">
        <v>2</v>
      </c>
      <c r="CA175" s="102">
        <v>2</v>
      </c>
      <c r="CB175" s="102">
        <v>1</v>
      </c>
      <c r="CC175" s="102">
        <v>3</v>
      </c>
      <c r="CD175" s="102" t="s">
        <v>1995</v>
      </c>
      <c r="CE175" s="102">
        <v>0</v>
      </c>
      <c r="CF175" s="102">
        <v>0</v>
      </c>
      <c r="CG175" s="102">
        <v>0</v>
      </c>
      <c r="CH175" s="102">
        <v>0</v>
      </c>
      <c r="CI175" s="102">
        <v>1</v>
      </c>
      <c r="CJ175" s="102">
        <v>0</v>
      </c>
      <c r="CK175" s="102">
        <v>0</v>
      </c>
      <c r="CL175" s="102">
        <v>0</v>
      </c>
      <c r="CM175" s="102">
        <v>1</v>
      </c>
      <c r="CN175" s="102">
        <v>2</v>
      </c>
      <c r="CO175" s="102">
        <v>0</v>
      </c>
      <c r="CP175" s="102">
        <v>0</v>
      </c>
      <c r="CQ175" s="102">
        <v>0</v>
      </c>
      <c r="CR175" s="102">
        <v>0</v>
      </c>
      <c r="CS175" s="102">
        <v>0</v>
      </c>
      <c r="CT175" s="102" t="s">
        <v>853</v>
      </c>
      <c r="CU175" s="102">
        <v>0</v>
      </c>
      <c r="CV175" s="102">
        <v>4</v>
      </c>
      <c r="CW175" s="102">
        <v>0</v>
      </c>
      <c r="CX175" s="102">
        <v>0</v>
      </c>
      <c r="CY175" s="102">
        <v>0</v>
      </c>
      <c r="CZ175" s="102">
        <v>1</v>
      </c>
      <c r="DA175" s="102" t="s">
        <v>1996</v>
      </c>
      <c r="DB175" s="102">
        <v>0</v>
      </c>
      <c r="DC175" s="102">
        <v>0</v>
      </c>
      <c r="DD175" s="102">
        <v>0</v>
      </c>
      <c r="DE175" s="102">
        <v>0</v>
      </c>
      <c r="DF175" s="102">
        <v>0</v>
      </c>
      <c r="DG175" s="102">
        <v>0</v>
      </c>
      <c r="DH175" s="102">
        <v>0</v>
      </c>
      <c r="DI175" s="102">
        <v>0</v>
      </c>
      <c r="DJ175" s="102">
        <v>0</v>
      </c>
      <c r="DK175" s="102">
        <v>0</v>
      </c>
      <c r="DL175" s="102">
        <v>1</v>
      </c>
      <c r="DM175" s="102">
        <v>0</v>
      </c>
      <c r="DN175" s="102">
        <v>0</v>
      </c>
      <c r="DO175" s="102">
        <v>1</v>
      </c>
      <c r="DP175" s="102">
        <v>1</v>
      </c>
      <c r="DQ175" s="102">
        <v>0</v>
      </c>
      <c r="DR175" s="102">
        <v>0</v>
      </c>
      <c r="DS175" s="102" t="s">
        <v>853</v>
      </c>
      <c r="DT175" s="105" t="s">
        <v>853</v>
      </c>
      <c r="DU175" s="102" t="s">
        <v>853</v>
      </c>
      <c r="DV175" s="102">
        <v>0</v>
      </c>
      <c r="DW175" s="102">
        <v>0</v>
      </c>
      <c r="DX175" s="102" t="s">
        <v>853</v>
      </c>
      <c r="DY175" s="102">
        <v>0</v>
      </c>
      <c r="DZ175" s="102">
        <v>0</v>
      </c>
      <c r="EA175" s="102" t="s">
        <v>853</v>
      </c>
      <c r="EB175" s="102">
        <v>0</v>
      </c>
      <c r="EC175" s="102">
        <v>0</v>
      </c>
      <c r="ED175" s="102">
        <v>1</v>
      </c>
      <c r="EE175" s="102">
        <v>2</v>
      </c>
      <c r="EF175" s="102">
        <v>2</v>
      </c>
      <c r="EG175" s="102">
        <v>1</v>
      </c>
      <c r="EH175" s="102" t="s">
        <v>1962</v>
      </c>
      <c r="EI175" s="102">
        <v>0</v>
      </c>
      <c r="EJ175" s="102">
        <v>0</v>
      </c>
      <c r="EK175" s="102">
        <v>2</v>
      </c>
      <c r="EL175" s="102">
        <v>0</v>
      </c>
      <c r="EM175" s="102"/>
    </row>
    <row r="176" spans="1:143" ht="15.75" customHeight="1" x14ac:dyDescent="0.55000000000000004">
      <c r="A176" s="99">
        <v>175</v>
      </c>
      <c r="B176" s="102" t="s">
        <v>1997</v>
      </c>
      <c r="C176" s="102" t="s">
        <v>1998</v>
      </c>
      <c r="D176" s="103">
        <v>43905</v>
      </c>
      <c r="E176" s="102" t="s">
        <v>914</v>
      </c>
      <c r="F176" s="102">
        <v>15</v>
      </c>
      <c r="G176" s="102">
        <v>3</v>
      </c>
      <c r="H176" s="102">
        <v>2020</v>
      </c>
      <c r="I176" s="102" t="s">
        <v>1999</v>
      </c>
      <c r="J176" s="102" t="s">
        <v>1329</v>
      </c>
      <c r="K176" s="102" t="s">
        <v>1573</v>
      </c>
      <c r="L176" s="102">
        <v>25</v>
      </c>
      <c r="M176" s="102">
        <v>1</v>
      </c>
      <c r="N176" s="102">
        <v>0</v>
      </c>
      <c r="O176" s="102">
        <v>4</v>
      </c>
      <c r="P176" s="102">
        <v>0</v>
      </c>
      <c r="Q176" s="104">
        <v>0</v>
      </c>
      <c r="R176" s="102">
        <v>1</v>
      </c>
      <c r="S176" s="102">
        <v>8</v>
      </c>
      <c r="T176" s="102">
        <v>0</v>
      </c>
      <c r="U176" s="102">
        <v>0</v>
      </c>
      <c r="V176" s="102">
        <v>4</v>
      </c>
      <c r="W176" s="102">
        <v>3</v>
      </c>
      <c r="X176" s="102">
        <v>0</v>
      </c>
      <c r="Y176" s="102">
        <v>0</v>
      </c>
      <c r="Z176" s="102">
        <v>0</v>
      </c>
      <c r="AA176" s="102">
        <v>31</v>
      </c>
      <c r="AB176" s="102">
        <v>0</v>
      </c>
      <c r="AC176" s="102">
        <v>0</v>
      </c>
      <c r="AD176" s="102">
        <v>0</v>
      </c>
      <c r="AE176" s="102">
        <v>0</v>
      </c>
      <c r="AF176" s="102"/>
      <c r="AG176" s="102">
        <v>2</v>
      </c>
      <c r="AH176" s="102"/>
      <c r="AI176" s="102"/>
      <c r="AJ176" s="102"/>
      <c r="AK176" s="102"/>
      <c r="AL176" s="102"/>
      <c r="AM176" s="102"/>
      <c r="AN176" s="102">
        <v>0</v>
      </c>
      <c r="AO176" s="102">
        <v>0</v>
      </c>
      <c r="AP176" s="102">
        <v>1</v>
      </c>
      <c r="AQ176" s="102">
        <v>1</v>
      </c>
      <c r="AR176" s="102">
        <v>0</v>
      </c>
      <c r="AS176" s="102" t="s">
        <v>853</v>
      </c>
      <c r="AT176" s="102">
        <v>0</v>
      </c>
      <c r="AU176" s="102"/>
      <c r="AV176" s="102">
        <v>0</v>
      </c>
      <c r="AW176" s="102">
        <v>1</v>
      </c>
      <c r="AX176" s="102">
        <v>0</v>
      </c>
      <c r="AY176" s="102">
        <v>9</v>
      </c>
      <c r="AZ176" s="102">
        <v>4</v>
      </c>
      <c r="BA176" s="102">
        <v>0</v>
      </c>
      <c r="BB176" s="102">
        <v>0</v>
      </c>
      <c r="BC176" s="102">
        <v>0</v>
      </c>
      <c r="BD176" s="102">
        <v>0</v>
      </c>
      <c r="BE176" s="102">
        <v>0</v>
      </c>
      <c r="BF176" s="102">
        <v>0</v>
      </c>
      <c r="BG176" s="102">
        <v>0</v>
      </c>
      <c r="BH176" s="102">
        <v>1</v>
      </c>
      <c r="BI176" s="102">
        <v>1</v>
      </c>
      <c r="BJ176" s="102">
        <v>1</v>
      </c>
      <c r="BK176" s="102">
        <v>0</v>
      </c>
      <c r="BL176" s="102">
        <v>0</v>
      </c>
      <c r="BM176" s="102">
        <v>0</v>
      </c>
      <c r="BN176" s="102">
        <v>0</v>
      </c>
      <c r="BO176" s="102">
        <v>0</v>
      </c>
      <c r="BP176" s="102">
        <v>0</v>
      </c>
      <c r="BQ176" s="102">
        <v>0</v>
      </c>
      <c r="BR176" s="102">
        <v>0</v>
      </c>
      <c r="BS176" s="102">
        <v>0</v>
      </c>
      <c r="BT176" s="102">
        <v>0</v>
      </c>
      <c r="BU176" s="102">
        <v>2</v>
      </c>
      <c r="BV176" s="102">
        <v>0</v>
      </c>
      <c r="BW176" s="102">
        <v>0</v>
      </c>
      <c r="BX176" s="102">
        <v>0</v>
      </c>
      <c r="BY176" s="102">
        <v>0</v>
      </c>
      <c r="BZ176" s="102">
        <v>0</v>
      </c>
      <c r="CA176" s="102">
        <v>0</v>
      </c>
      <c r="CB176" s="102">
        <v>1</v>
      </c>
      <c r="CC176" s="102">
        <v>1</v>
      </c>
      <c r="CD176" s="102" t="s">
        <v>2000</v>
      </c>
      <c r="CE176" s="102">
        <v>0</v>
      </c>
      <c r="CF176" s="102">
        <v>0</v>
      </c>
      <c r="CG176" s="102">
        <v>0</v>
      </c>
      <c r="CH176" s="102">
        <v>1</v>
      </c>
      <c r="CI176" s="102">
        <v>1</v>
      </c>
      <c r="CJ176" s="102">
        <v>0</v>
      </c>
      <c r="CK176" s="102">
        <v>1</v>
      </c>
      <c r="CL176" s="102">
        <v>1</v>
      </c>
      <c r="CM176" s="102">
        <v>1</v>
      </c>
      <c r="CN176" s="102">
        <v>2</v>
      </c>
      <c r="CO176" s="102">
        <v>0</v>
      </c>
      <c r="CP176" s="102">
        <v>0</v>
      </c>
      <c r="CQ176" s="102">
        <v>0</v>
      </c>
      <c r="CR176" s="102">
        <v>0</v>
      </c>
      <c r="CS176" s="102">
        <v>0</v>
      </c>
      <c r="CT176" s="102" t="s">
        <v>853</v>
      </c>
      <c r="CU176" s="102">
        <v>0</v>
      </c>
      <c r="CV176" s="102">
        <v>4</v>
      </c>
      <c r="CW176" s="102">
        <v>0</v>
      </c>
      <c r="CX176" s="102">
        <v>0</v>
      </c>
      <c r="CY176" s="102">
        <v>2</v>
      </c>
      <c r="CZ176" s="102">
        <v>0</v>
      </c>
      <c r="DA176" s="102" t="s">
        <v>853</v>
      </c>
      <c r="DB176" s="102">
        <v>0</v>
      </c>
      <c r="DC176" s="102">
        <v>1</v>
      </c>
      <c r="DD176" s="102">
        <v>0</v>
      </c>
      <c r="DE176" s="102">
        <v>0</v>
      </c>
      <c r="DF176" s="102">
        <v>0</v>
      </c>
      <c r="DG176" s="102">
        <v>0</v>
      </c>
      <c r="DH176" s="102">
        <v>0</v>
      </c>
      <c r="DI176" s="102">
        <v>0</v>
      </c>
      <c r="DJ176" s="102">
        <v>0</v>
      </c>
      <c r="DK176" s="102">
        <v>0</v>
      </c>
      <c r="DL176" s="102">
        <v>0</v>
      </c>
      <c r="DM176" s="102">
        <v>0</v>
      </c>
      <c r="DN176" s="102">
        <v>0</v>
      </c>
      <c r="DO176" s="102">
        <v>1</v>
      </c>
      <c r="DP176" s="102">
        <v>2</v>
      </c>
      <c r="DQ176" s="102">
        <v>1</v>
      </c>
      <c r="DR176" s="102">
        <v>0</v>
      </c>
      <c r="DS176" s="102" t="s">
        <v>853</v>
      </c>
      <c r="DT176" s="105" t="s">
        <v>853</v>
      </c>
      <c r="DU176" s="102" t="s">
        <v>853</v>
      </c>
      <c r="DV176" s="102">
        <v>1</v>
      </c>
      <c r="DW176" s="102">
        <v>0</v>
      </c>
      <c r="DX176" s="102" t="s">
        <v>853</v>
      </c>
      <c r="DY176" s="102">
        <v>0</v>
      </c>
      <c r="DZ176" s="102">
        <v>0</v>
      </c>
      <c r="EA176" s="102" t="s">
        <v>853</v>
      </c>
      <c r="EB176" s="102">
        <v>0</v>
      </c>
      <c r="EC176" s="102">
        <v>0</v>
      </c>
      <c r="ED176" s="102">
        <v>1</v>
      </c>
      <c r="EE176" s="102">
        <v>2</v>
      </c>
      <c r="EF176" s="102">
        <v>2</v>
      </c>
      <c r="EG176" s="102">
        <v>0</v>
      </c>
      <c r="EH176" s="102" t="s">
        <v>853</v>
      </c>
      <c r="EI176" s="102">
        <v>0</v>
      </c>
      <c r="EJ176" s="102">
        <v>0</v>
      </c>
      <c r="EK176" s="102">
        <v>2</v>
      </c>
      <c r="EL176" s="102">
        <v>0</v>
      </c>
      <c r="EM176" s="102"/>
    </row>
    <row r="177" spans="1:143" ht="15.75" customHeight="1" x14ac:dyDescent="0.55000000000000004">
      <c r="A177" s="99">
        <v>176</v>
      </c>
      <c r="B177" s="102" t="s">
        <v>1942</v>
      </c>
      <c r="C177" s="102" t="s">
        <v>859</v>
      </c>
      <c r="D177" s="103">
        <v>44271</v>
      </c>
      <c r="E177" s="102" t="s">
        <v>1032</v>
      </c>
      <c r="F177" s="102">
        <v>16</v>
      </c>
      <c r="G177" s="102">
        <v>3</v>
      </c>
      <c r="H177" s="102">
        <v>2021</v>
      </c>
      <c r="I177" s="102" t="s">
        <v>2001</v>
      </c>
      <c r="J177" s="102" t="s">
        <v>1366</v>
      </c>
      <c r="K177" s="102" t="s">
        <v>1367</v>
      </c>
      <c r="L177" s="102">
        <v>10</v>
      </c>
      <c r="M177" s="102">
        <v>0</v>
      </c>
      <c r="N177" s="102">
        <v>0</v>
      </c>
      <c r="O177" s="102">
        <v>4</v>
      </c>
      <c r="P177" s="102">
        <v>0</v>
      </c>
      <c r="Q177" s="104">
        <v>0</v>
      </c>
      <c r="R177" s="102">
        <v>1</v>
      </c>
      <c r="S177" s="102">
        <v>4</v>
      </c>
      <c r="T177" s="102">
        <v>0</v>
      </c>
      <c r="U177" s="102">
        <v>0</v>
      </c>
      <c r="V177" s="102">
        <v>8</v>
      </c>
      <c r="W177" s="102">
        <v>1</v>
      </c>
      <c r="X177" s="102">
        <v>0</v>
      </c>
      <c r="Y177" s="102">
        <v>0</v>
      </c>
      <c r="Z177" s="102">
        <v>0</v>
      </c>
      <c r="AA177" s="102">
        <v>21</v>
      </c>
      <c r="AB177" s="102">
        <v>0</v>
      </c>
      <c r="AC177" s="102">
        <v>0</v>
      </c>
      <c r="AD177" s="102">
        <v>0</v>
      </c>
      <c r="AE177" s="102">
        <v>0</v>
      </c>
      <c r="AF177" s="102">
        <v>1</v>
      </c>
      <c r="AG177" s="102">
        <v>2</v>
      </c>
      <c r="AH177" s="102">
        <v>2</v>
      </c>
      <c r="AI177" s="102" t="s">
        <v>2002</v>
      </c>
      <c r="AJ177" s="102">
        <v>1</v>
      </c>
      <c r="AK177" s="102">
        <v>1</v>
      </c>
      <c r="AL177" s="102">
        <v>0</v>
      </c>
      <c r="AM177" s="102">
        <v>1</v>
      </c>
      <c r="AN177" s="102">
        <v>0</v>
      </c>
      <c r="AO177" s="102">
        <v>0</v>
      </c>
      <c r="AP177" s="102">
        <v>1</v>
      </c>
      <c r="AQ177" s="102">
        <v>0</v>
      </c>
      <c r="AR177" s="102">
        <v>0</v>
      </c>
      <c r="AS177" s="102" t="s">
        <v>853</v>
      </c>
      <c r="AT177" s="102">
        <v>3</v>
      </c>
      <c r="AU177" s="102" t="s">
        <v>2003</v>
      </c>
      <c r="AV177" s="102">
        <v>0</v>
      </c>
      <c r="AW177" s="102">
        <v>0</v>
      </c>
      <c r="AX177" s="102">
        <v>0</v>
      </c>
      <c r="AY177" s="102">
        <v>0</v>
      </c>
      <c r="AZ177" s="102">
        <v>0</v>
      </c>
      <c r="BA177" s="102">
        <v>0</v>
      </c>
      <c r="BB177" s="102">
        <v>0</v>
      </c>
      <c r="BC177" s="102">
        <v>0</v>
      </c>
      <c r="BD177" s="102">
        <v>0</v>
      </c>
      <c r="BE177" s="102">
        <v>0</v>
      </c>
      <c r="BF177" s="102">
        <v>0</v>
      </c>
      <c r="BG177" s="102">
        <v>0</v>
      </c>
      <c r="BH177" s="102">
        <v>0</v>
      </c>
      <c r="BI177" s="102">
        <v>0</v>
      </c>
      <c r="BJ177" s="102">
        <v>0</v>
      </c>
      <c r="BK177" s="102">
        <v>0</v>
      </c>
      <c r="BL177" s="102">
        <v>0</v>
      </c>
      <c r="BM177" s="102">
        <v>0</v>
      </c>
      <c r="BN177" s="102">
        <v>0</v>
      </c>
      <c r="BO177" s="102">
        <v>0</v>
      </c>
      <c r="BP177" s="102">
        <v>0</v>
      </c>
      <c r="BQ177" s="102">
        <v>0</v>
      </c>
      <c r="BR177" s="102">
        <v>0</v>
      </c>
      <c r="BS177" s="102">
        <v>0</v>
      </c>
      <c r="BT177" s="102">
        <v>0</v>
      </c>
      <c r="BU177" s="102">
        <v>1</v>
      </c>
      <c r="BV177" s="102">
        <v>0</v>
      </c>
      <c r="BW177" s="102">
        <v>0</v>
      </c>
      <c r="BX177" s="102">
        <v>0</v>
      </c>
      <c r="BY177" s="102">
        <v>0</v>
      </c>
      <c r="BZ177" s="102">
        <v>6</v>
      </c>
      <c r="CA177" s="102" t="s">
        <v>1184</v>
      </c>
      <c r="CB177" s="102">
        <v>1</v>
      </c>
      <c r="CC177" s="102">
        <v>3</v>
      </c>
      <c r="CD177" s="102" t="s">
        <v>2004</v>
      </c>
      <c r="CE177" s="102">
        <v>0</v>
      </c>
      <c r="CF177" s="102">
        <v>1</v>
      </c>
      <c r="CG177" s="102">
        <v>0</v>
      </c>
      <c r="CH177" s="102">
        <v>0</v>
      </c>
      <c r="CI177" s="102">
        <v>1</v>
      </c>
      <c r="CJ177" s="102">
        <v>0</v>
      </c>
      <c r="CK177" s="102">
        <v>1</v>
      </c>
      <c r="CL177" s="102">
        <v>0</v>
      </c>
      <c r="CM177" s="102">
        <v>0</v>
      </c>
      <c r="CN177" s="102">
        <v>1</v>
      </c>
      <c r="CO177" s="102">
        <v>0</v>
      </c>
      <c r="CP177" s="102">
        <v>0</v>
      </c>
      <c r="CQ177" s="102">
        <v>1</v>
      </c>
      <c r="CR177" s="102">
        <v>1</v>
      </c>
      <c r="CS177" s="102">
        <v>0</v>
      </c>
      <c r="CT177" s="102" t="s">
        <v>853</v>
      </c>
      <c r="CU177" s="102">
        <v>0</v>
      </c>
      <c r="CV177" s="102">
        <v>4</v>
      </c>
      <c r="CW177" s="102">
        <v>0</v>
      </c>
      <c r="CX177" s="102">
        <v>0</v>
      </c>
      <c r="CY177" s="102">
        <v>0</v>
      </c>
      <c r="CZ177" s="102">
        <v>0</v>
      </c>
      <c r="DA177" s="102" t="s">
        <v>853</v>
      </c>
      <c r="DB177" s="102">
        <v>0</v>
      </c>
      <c r="DC177" s="102">
        <v>2</v>
      </c>
      <c r="DD177" s="102">
        <v>1</v>
      </c>
      <c r="DE177" s="102">
        <v>0</v>
      </c>
      <c r="DF177" s="102">
        <v>1</v>
      </c>
      <c r="DG177" s="102">
        <v>0</v>
      </c>
      <c r="DH177" s="102">
        <v>0</v>
      </c>
      <c r="DI177" s="102">
        <v>0</v>
      </c>
      <c r="DJ177" s="102">
        <v>0</v>
      </c>
      <c r="DK177" s="102">
        <v>0</v>
      </c>
      <c r="DL177" s="102">
        <v>0</v>
      </c>
      <c r="DM177" s="102">
        <v>0</v>
      </c>
      <c r="DN177" s="102">
        <v>1</v>
      </c>
      <c r="DO177" s="102">
        <v>0</v>
      </c>
      <c r="DP177" s="102">
        <v>0</v>
      </c>
      <c r="DQ177" s="102">
        <v>1</v>
      </c>
      <c r="DR177" s="102">
        <v>0</v>
      </c>
      <c r="DS177" s="102" t="s">
        <v>853</v>
      </c>
      <c r="DT177" s="105" t="s">
        <v>853</v>
      </c>
      <c r="DU177" s="102" t="s">
        <v>853</v>
      </c>
      <c r="DV177" s="102">
        <v>0</v>
      </c>
      <c r="DW177" s="102">
        <v>0</v>
      </c>
      <c r="DX177" s="102" t="s">
        <v>853</v>
      </c>
      <c r="DY177" s="102">
        <v>0</v>
      </c>
      <c r="DZ177" s="102">
        <v>0</v>
      </c>
      <c r="EA177" s="102" t="s">
        <v>853</v>
      </c>
      <c r="EB177" s="102">
        <v>0</v>
      </c>
      <c r="EC177" s="102">
        <v>0</v>
      </c>
      <c r="ED177" s="102">
        <v>1</v>
      </c>
      <c r="EE177" s="102">
        <v>3</v>
      </c>
      <c r="EF177" s="102">
        <v>1</v>
      </c>
      <c r="EG177" s="102">
        <v>0</v>
      </c>
      <c r="EH177" s="102" t="s">
        <v>853</v>
      </c>
      <c r="EI177" s="102">
        <v>2</v>
      </c>
      <c r="EJ177" s="102">
        <v>0</v>
      </c>
      <c r="EK177" s="102">
        <v>0</v>
      </c>
      <c r="EL177" s="102">
        <v>2</v>
      </c>
      <c r="EM177" s="102"/>
    </row>
    <row r="178" spans="1:143" ht="15.75" customHeight="1" x14ac:dyDescent="0.55000000000000004">
      <c r="A178" s="99">
        <v>177</v>
      </c>
      <c r="B178" s="102" t="s">
        <v>2005</v>
      </c>
      <c r="C178" s="102" t="s">
        <v>2006</v>
      </c>
      <c r="D178" s="103">
        <v>44277</v>
      </c>
      <c r="E178" s="102" t="s">
        <v>846</v>
      </c>
      <c r="F178" s="102">
        <v>22</v>
      </c>
      <c r="G178" s="102">
        <v>3</v>
      </c>
      <c r="H178" s="102">
        <v>2021</v>
      </c>
      <c r="I178" s="102" t="s">
        <v>2007</v>
      </c>
      <c r="J178" s="102" t="s">
        <v>2008</v>
      </c>
      <c r="K178" s="102" t="s">
        <v>1237</v>
      </c>
      <c r="L178" s="102">
        <v>6</v>
      </c>
      <c r="M178" s="102">
        <v>3</v>
      </c>
      <c r="N178" s="102">
        <v>0</v>
      </c>
      <c r="O178" s="102">
        <v>4</v>
      </c>
      <c r="P178" s="102">
        <v>0</v>
      </c>
      <c r="Q178" s="104">
        <v>0</v>
      </c>
      <c r="R178" s="102">
        <v>0</v>
      </c>
      <c r="S178" s="102" t="s">
        <v>853</v>
      </c>
      <c r="T178" s="102">
        <v>0</v>
      </c>
      <c r="U178" s="102">
        <v>0</v>
      </c>
      <c r="V178" s="102">
        <v>10</v>
      </c>
      <c r="W178" s="102">
        <v>1</v>
      </c>
      <c r="X178" s="102">
        <v>0</v>
      </c>
      <c r="Y178" s="102">
        <v>0</v>
      </c>
      <c r="Z178" s="102">
        <v>0</v>
      </c>
      <c r="AA178" s="102">
        <v>21</v>
      </c>
      <c r="AB178" s="102">
        <v>0</v>
      </c>
      <c r="AC178" s="102">
        <v>4</v>
      </c>
      <c r="AD178" s="102">
        <v>1</v>
      </c>
      <c r="AE178" s="102">
        <v>0</v>
      </c>
      <c r="AF178" s="102">
        <v>2</v>
      </c>
      <c r="AG178" s="102">
        <v>1</v>
      </c>
      <c r="AH178" s="102"/>
      <c r="AI178" s="102" t="s">
        <v>2009</v>
      </c>
      <c r="AJ178" s="102"/>
      <c r="AK178" s="102">
        <v>6</v>
      </c>
      <c r="AL178" s="102"/>
      <c r="AM178" s="102"/>
      <c r="AN178" s="102">
        <v>0</v>
      </c>
      <c r="AO178" s="102">
        <v>0</v>
      </c>
      <c r="AP178" s="102">
        <v>1</v>
      </c>
      <c r="AQ178" s="102">
        <v>0</v>
      </c>
      <c r="AR178" s="102">
        <v>0</v>
      </c>
      <c r="AS178" s="102" t="s">
        <v>853</v>
      </c>
      <c r="AT178" s="102">
        <v>3</v>
      </c>
      <c r="AU178" s="102" t="s">
        <v>2010</v>
      </c>
      <c r="AV178" s="102">
        <v>0</v>
      </c>
      <c r="AW178" s="102">
        <v>1</v>
      </c>
      <c r="AX178" s="102">
        <v>0</v>
      </c>
      <c r="AY178" s="102">
        <v>1</v>
      </c>
      <c r="AZ178" s="102">
        <v>4</v>
      </c>
      <c r="BA178" s="102">
        <v>1</v>
      </c>
      <c r="BB178" s="102">
        <v>0</v>
      </c>
      <c r="BC178" s="102">
        <v>0</v>
      </c>
      <c r="BD178" s="102">
        <v>0</v>
      </c>
      <c r="BE178" s="102">
        <v>0</v>
      </c>
      <c r="BF178" s="102">
        <v>0</v>
      </c>
      <c r="BG178" s="102">
        <v>0</v>
      </c>
      <c r="BH178" s="102">
        <v>0</v>
      </c>
      <c r="BI178" s="102">
        <v>2</v>
      </c>
      <c r="BJ178" s="102">
        <v>0</v>
      </c>
      <c r="BK178" s="102">
        <v>1</v>
      </c>
      <c r="BL178" s="102">
        <v>0</v>
      </c>
      <c r="BM178" s="102">
        <v>0</v>
      </c>
      <c r="BN178" s="102">
        <v>0</v>
      </c>
      <c r="BO178" s="102">
        <v>0</v>
      </c>
      <c r="BP178" s="102">
        <v>0</v>
      </c>
      <c r="BQ178" s="102">
        <v>0</v>
      </c>
      <c r="BR178" s="102">
        <v>0</v>
      </c>
      <c r="BS178" s="102">
        <v>0</v>
      </c>
      <c r="BT178" s="102">
        <v>0</v>
      </c>
      <c r="BU178" s="102">
        <v>0</v>
      </c>
      <c r="BV178" s="102">
        <v>0</v>
      </c>
      <c r="BW178" s="102">
        <v>0</v>
      </c>
      <c r="BX178" s="102">
        <v>0</v>
      </c>
      <c r="BY178" s="102">
        <v>0</v>
      </c>
      <c r="BZ178" s="102">
        <v>0</v>
      </c>
      <c r="CA178" s="102">
        <v>0</v>
      </c>
      <c r="CB178" s="102">
        <v>1</v>
      </c>
      <c r="CC178" s="102">
        <v>3</v>
      </c>
      <c r="CD178" s="102" t="s">
        <v>2011</v>
      </c>
      <c r="CE178" s="102">
        <v>0</v>
      </c>
      <c r="CF178" s="102">
        <v>1</v>
      </c>
      <c r="CG178" s="102">
        <v>0</v>
      </c>
      <c r="CH178" s="102">
        <v>0</v>
      </c>
      <c r="CI178" s="102">
        <v>0</v>
      </c>
      <c r="CJ178" s="102">
        <v>0</v>
      </c>
      <c r="CK178" s="102">
        <v>1</v>
      </c>
      <c r="CL178" s="102">
        <v>1</v>
      </c>
      <c r="CM178" s="102">
        <v>1</v>
      </c>
      <c r="CN178" s="102">
        <v>0</v>
      </c>
      <c r="CO178" s="102">
        <v>0</v>
      </c>
      <c r="CP178" s="102">
        <v>0</v>
      </c>
      <c r="CQ178" s="102">
        <v>0</v>
      </c>
      <c r="CR178" s="102">
        <v>0</v>
      </c>
      <c r="CS178" s="102">
        <v>0</v>
      </c>
      <c r="CT178" s="102" t="s">
        <v>853</v>
      </c>
      <c r="CU178" s="102">
        <v>0</v>
      </c>
      <c r="CV178" s="102">
        <v>4</v>
      </c>
      <c r="CW178" s="102">
        <v>0</v>
      </c>
      <c r="CX178" s="102">
        <v>0</v>
      </c>
      <c r="CY178" s="102">
        <v>0</v>
      </c>
      <c r="CZ178" s="102">
        <v>0</v>
      </c>
      <c r="DA178" s="102" t="s">
        <v>853</v>
      </c>
      <c r="DB178" s="102">
        <v>0</v>
      </c>
      <c r="DC178" s="102">
        <v>3</v>
      </c>
      <c r="DD178" s="102">
        <v>0</v>
      </c>
      <c r="DE178" s="102">
        <v>0</v>
      </c>
      <c r="DF178" s="102">
        <v>0</v>
      </c>
      <c r="DG178" s="102">
        <v>0</v>
      </c>
      <c r="DH178" s="102">
        <v>0</v>
      </c>
      <c r="DI178" s="102">
        <v>0</v>
      </c>
      <c r="DJ178" s="102">
        <v>0</v>
      </c>
      <c r="DK178" s="102">
        <v>0</v>
      </c>
      <c r="DL178" s="102">
        <v>0</v>
      </c>
      <c r="DM178" s="102">
        <v>0</v>
      </c>
      <c r="DN178" s="102">
        <v>0</v>
      </c>
      <c r="DO178" s="102">
        <v>1</v>
      </c>
      <c r="DP178" s="102">
        <v>0</v>
      </c>
      <c r="DQ178" s="102">
        <v>1</v>
      </c>
      <c r="DR178" s="102">
        <v>0</v>
      </c>
      <c r="DS178" s="102" t="s">
        <v>853</v>
      </c>
      <c r="DT178" s="105" t="s">
        <v>853</v>
      </c>
      <c r="DU178" s="102" t="s">
        <v>853</v>
      </c>
      <c r="DV178" s="102">
        <v>0</v>
      </c>
      <c r="DW178" s="102">
        <v>0</v>
      </c>
      <c r="DX178" s="102" t="s">
        <v>853</v>
      </c>
      <c r="DY178" s="102">
        <v>0</v>
      </c>
      <c r="DZ178" s="102">
        <v>0</v>
      </c>
      <c r="EA178" s="102" t="s">
        <v>853</v>
      </c>
      <c r="EB178" s="102">
        <v>0</v>
      </c>
      <c r="EC178" s="102">
        <v>0</v>
      </c>
      <c r="ED178" s="102">
        <v>0</v>
      </c>
      <c r="EE178" s="102">
        <v>2</v>
      </c>
      <c r="EF178" s="102">
        <v>2</v>
      </c>
      <c r="EG178" s="102">
        <v>1</v>
      </c>
      <c r="EH178" s="102" t="s">
        <v>2012</v>
      </c>
      <c r="EI178" s="102">
        <v>2</v>
      </c>
      <c r="EJ178" s="102">
        <v>0</v>
      </c>
      <c r="EK178" s="102">
        <v>3</v>
      </c>
      <c r="EL178" s="102"/>
      <c r="EM178" s="102"/>
    </row>
    <row r="179" spans="1:143" ht="15.75" customHeight="1" x14ac:dyDescent="0.55000000000000004">
      <c r="A179" s="99">
        <v>178</v>
      </c>
      <c r="B179" s="102" t="s">
        <v>2013</v>
      </c>
      <c r="C179" s="102" t="s">
        <v>2014</v>
      </c>
      <c r="D179" s="103">
        <v>44286</v>
      </c>
      <c r="E179" s="102" t="s">
        <v>891</v>
      </c>
      <c r="F179" s="102">
        <v>31</v>
      </c>
      <c r="G179" s="102">
        <v>3</v>
      </c>
      <c r="H179" s="102">
        <v>2021</v>
      </c>
      <c r="I179" s="102" t="s">
        <v>2015</v>
      </c>
      <c r="J179" s="102" t="s">
        <v>1297</v>
      </c>
      <c r="K179" s="102" t="s">
        <v>930</v>
      </c>
      <c r="L179" s="102">
        <v>5</v>
      </c>
      <c r="M179" s="102">
        <v>3</v>
      </c>
      <c r="N179" s="102">
        <v>1</v>
      </c>
      <c r="O179" s="107">
        <v>6</v>
      </c>
      <c r="P179" s="102">
        <v>1</v>
      </c>
      <c r="Q179" s="104">
        <v>1</v>
      </c>
      <c r="R179" s="102">
        <v>0</v>
      </c>
      <c r="S179" s="102" t="s">
        <v>853</v>
      </c>
      <c r="T179" s="102">
        <v>0</v>
      </c>
      <c r="U179" s="102">
        <v>0</v>
      </c>
      <c r="V179" s="102">
        <v>4</v>
      </c>
      <c r="W179" s="102">
        <v>1</v>
      </c>
      <c r="X179" s="102">
        <v>0</v>
      </c>
      <c r="Y179" s="102">
        <v>0</v>
      </c>
      <c r="Z179" s="102">
        <v>0</v>
      </c>
      <c r="AA179" s="102">
        <v>44</v>
      </c>
      <c r="AB179" s="102">
        <v>0</v>
      </c>
      <c r="AC179" s="102">
        <v>2</v>
      </c>
      <c r="AD179" s="102">
        <v>0</v>
      </c>
      <c r="AE179" s="102">
        <v>0</v>
      </c>
      <c r="AF179" s="102"/>
      <c r="AG179" s="102"/>
      <c r="AH179" s="102"/>
      <c r="AI179" s="102"/>
      <c r="AJ179" s="102"/>
      <c r="AK179" s="102"/>
      <c r="AL179" s="102"/>
      <c r="AM179" s="102"/>
      <c r="AN179" s="102">
        <v>3</v>
      </c>
      <c r="AO179" s="102">
        <v>1</v>
      </c>
      <c r="AP179" s="102">
        <v>1</v>
      </c>
      <c r="AQ179" s="102">
        <v>0</v>
      </c>
      <c r="AR179" s="102">
        <v>0</v>
      </c>
      <c r="AS179" s="102" t="s">
        <v>853</v>
      </c>
      <c r="AT179" s="102"/>
      <c r="AU179" s="102"/>
      <c r="AV179" s="102">
        <v>0</v>
      </c>
      <c r="AW179" s="102">
        <v>1</v>
      </c>
      <c r="AX179" s="102">
        <v>4</v>
      </c>
      <c r="AY179" s="102" t="s">
        <v>1092</v>
      </c>
      <c r="AZ179" s="102">
        <v>4</v>
      </c>
      <c r="BA179" s="102">
        <v>0</v>
      </c>
      <c r="BB179" s="102">
        <v>0</v>
      </c>
      <c r="BC179" s="102">
        <v>2</v>
      </c>
      <c r="BD179" s="102" t="s">
        <v>922</v>
      </c>
      <c r="BE179" s="102">
        <v>0</v>
      </c>
      <c r="BF179" s="102">
        <v>0</v>
      </c>
      <c r="BG179" s="102">
        <v>0</v>
      </c>
      <c r="BH179" s="102">
        <v>0</v>
      </c>
      <c r="BI179" s="102">
        <v>0</v>
      </c>
      <c r="BJ179" s="102">
        <v>0</v>
      </c>
      <c r="BK179" s="102">
        <v>0</v>
      </c>
      <c r="BL179" s="102">
        <v>0</v>
      </c>
      <c r="BM179" s="102">
        <v>0</v>
      </c>
      <c r="BN179" s="102">
        <v>0</v>
      </c>
      <c r="BO179" s="102">
        <v>0</v>
      </c>
      <c r="BP179" s="102">
        <v>0</v>
      </c>
      <c r="BQ179" s="102">
        <v>0</v>
      </c>
      <c r="BR179" s="102">
        <v>0</v>
      </c>
      <c r="BS179" s="102">
        <v>0</v>
      </c>
      <c r="BT179" s="102">
        <v>0</v>
      </c>
      <c r="BU179" s="102"/>
      <c r="BV179" s="102">
        <v>0</v>
      </c>
      <c r="BW179" s="102">
        <v>0</v>
      </c>
      <c r="BX179" s="102">
        <v>0</v>
      </c>
      <c r="BY179" s="102">
        <v>0</v>
      </c>
      <c r="BZ179" s="102">
        <v>0</v>
      </c>
      <c r="CA179" s="102">
        <v>0</v>
      </c>
      <c r="CB179" s="102">
        <v>0</v>
      </c>
      <c r="CC179" s="102" t="s">
        <v>853</v>
      </c>
      <c r="CD179" s="102"/>
      <c r="CE179" s="102">
        <v>0</v>
      </c>
      <c r="CF179" s="102">
        <v>0</v>
      </c>
      <c r="CG179" s="102">
        <v>0</v>
      </c>
      <c r="CH179" s="102">
        <v>0</v>
      </c>
      <c r="CI179" s="102">
        <v>0</v>
      </c>
      <c r="CJ179" s="102">
        <v>0</v>
      </c>
      <c r="CK179" s="102">
        <v>0</v>
      </c>
      <c r="CL179" s="102">
        <v>0</v>
      </c>
      <c r="CM179" s="102">
        <v>0</v>
      </c>
      <c r="CN179" s="102">
        <v>0</v>
      </c>
      <c r="CO179" s="102">
        <v>0</v>
      </c>
      <c r="CP179" s="102">
        <v>0</v>
      </c>
      <c r="CQ179" s="102">
        <v>0</v>
      </c>
      <c r="CR179" s="102">
        <v>0</v>
      </c>
      <c r="CS179" s="102">
        <v>0</v>
      </c>
      <c r="CT179" s="102">
        <v>0</v>
      </c>
      <c r="CU179" s="102">
        <v>0</v>
      </c>
      <c r="CV179" s="102">
        <v>0</v>
      </c>
      <c r="CW179" s="102">
        <v>0</v>
      </c>
      <c r="CX179" s="102">
        <v>0</v>
      </c>
      <c r="CY179" s="102">
        <v>0</v>
      </c>
      <c r="CZ179" s="102">
        <v>0</v>
      </c>
      <c r="DA179" s="102">
        <v>0</v>
      </c>
      <c r="DB179" s="102">
        <v>0</v>
      </c>
      <c r="DC179" s="102">
        <v>0</v>
      </c>
      <c r="DD179" s="102">
        <v>0</v>
      </c>
      <c r="DE179" s="102">
        <v>0</v>
      </c>
      <c r="DF179" s="102">
        <v>0</v>
      </c>
      <c r="DG179" s="102">
        <v>0</v>
      </c>
      <c r="DH179" s="102">
        <v>0</v>
      </c>
      <c r="DI179" s="102">
        <v>0</v>
      </c>
      <c r="DJ179" s="102">
        <v>0</v>
      </c>
      <c r="DK179" s="102">
        <v>0</v>
      </c>
      <c r="DL179" s="102">
        <v>1</v>
      </c>
      <c r="DM179" s="102">
        <v>0</v>
      </c>
      <c r="DN179" s="102">
        <v>0</v>
      </c>
      <c r="DO179" s="102">
        <v>0</v>
      </c>
      <c r="DP179" s="102">
        <v>0</v>
      </c>
      <c r="DQ179" s="102">
        <v>0</v>
      </c>
      <c r="DR179" s="102">
        <v>0</v>
      </c>
      <c r="DS179" s="102" t="s">
        <v>853</v>
      </c>
      <c r="DT179" s="105" t="s">
        <v>853</v>
      </c>
      <c r="DU179" s="102" t="s">
        <v>853</v>
      </c>
      <c r="DV179" s="102">
        <v>0</v>
      </c>
      <c r="DW179" s="102">
        <v>0</v>
      </c>
      <c r="DX179" s="102" t="s">
        <v>853</v>
      </c>
      <c r="DY179" s="102">
        <v>0</v>
      </c>
      <c r="DZ179" s="102">
        <v>0</v>
      </c>
      <c r="EA179" s="102" t="s">
        <v>853</v>
      </c>
      <c r="EB179" s="102">
        <v>1</v>
      </c>
      <c r="EC179" s="102">
        <v>0</v>
      </c>
      <c r="ED179" s="102">
        <v>0</v>
      </c>
      <c r="EE179" s="102">
        <v>0</v>
      </c>
      <c r="EF179" s="102">
        <v>1</v>
      </c>
      <c r="EG179" s="102">
        <v>1</v>
      </c>
      <c r="EH179" s="102" t="s">
        <v>2016</v>
      </c>
      <c r="EI179" s="102">
        <v>2</v>
      </c>
      <c r="EJ179" s="102">
        <v>0</v>
      </c>
      <c r="EK179" s="102">
        <v>3</v>
      </c>
      <c r="EL179" s="102"/>
      <c r="EM179" s="102"/>
    </row>
    <row r="180" spans="1:143" ht="15.75" customHeight="1" x14ac:dyDescent="0.55000000000000004">
      <c r="A180" s="99">
        <v>179</v>
      </c>
      <c r="B180" s="102" t="s">
        <v>2017</v>
      </c>
      <c r="C180" s="102" t="s">
        <v>2018</v>
      </c>
      <c r="D180" s="103">
        <v>44301</v>
      </c>
      <c r="E180" s="102" t="s">
        <v>995</v>
      </c>
      <c r="F180" s="102">
        <v>15</v>
      </c>
      <c r="G180" s="102">
        <v>4</v>
      </c>
      <c r="H180" s="102">
        <v>2021</v>
      </c>
      <c r="I180" s="102" t="s">
        <v>2019</v>
      </c>
      <c r="J180" s="102" t="s">
        <v>2020</v>
      </c>
      <c r="K180" s="102" t="s">
        <v>1433</v>
      </c>
      <c r="L180" s="102">
        <v>14</v>
      </c>
      <c r="M180" s="102">
        <v>1</v>
      </c>
      <c r="N180" s="102">
        <v>0</v>
      </c>
      <c r="O180" s="106">
        <v>9</v>
      </c>
      <c r="P180" s="102">
        <v>1</v>
      </c>
      <c r="Q180" s="104">
        <v>1</v>
      </c>
      <c r="R180" s="102">
        <v>0</v>
      </c>
      <c r="S180" s="102" t="s">
        <v>853</v>
      </c>
      <c r="T180" s="102">
        <v>0</v>
      </c>
      <c r="U180" s="102">
        <v>0</v>
      </c>
      <c r="V180" s="102">
        <v>8</v>
      </c>
      <c r="W180" s="102">
        <v>7</v>
      </c>
      <c r="X180" s="102">
        <v>0</v>
      </c>
      <c r="Y180" s="102">
        <v>0</v>
      </c>
      <c r="Z180" s="102">
        <v>0</v>
      </c>
      <c r="AA180" s="102">
        <v>19</v>
      </c>
      <c r="AB180" s="102">
        <v>0</v>
      </c>
      <c r="AC180" s="102">
        <v>0</v>
      </c>
      <c r="AD180" s="102">
        <v>0</v>
      </c>
      <c r="AE180" s="102">
        <v>0</v>
      </c>
      <c r="AF180" s="102"/>
      <c r="AG180" s="102">
        <v>0</v>
      </c>
      <c r="AH180" s="102"/>
      <c r="AI180" s="102"/>
      <c r="AJ180" s="102">
        <v>3</v>
      </c>
      <c r="AK180" s="102">
        <v>1</v>
      </c>
      <c r="AL180" s="102">
        <v>1</v>
      </c>
      <c r="AM180" s="102">
        <v>0</v>
      </c>
      <c r="AN180" s="102">
        <v>0</v>
      </c>
      <c r="AO180" s="102">
        <v>0</v>
      </c>
      <c r="AP180" s="102">
        <v>0</v>
      </c>
      <c r="AQ180" s="102">
        <v>0</v>
      </c>
      <c r="AR180" s="102">
        <v>0</v>
      </c>
      <c r="AS180" s="102" t="s">
        <v>853</v>
      </c>
      <c r="AT180" s="102">
        <v>0</v>
      </c>
      <c r="AU180" s="102" t="s">
        <v>853</v>
      </c>
      <c r="AV180" s="102">
        <v>1</v>
      </c>
      <c r="AW180" s="102">
        <v>1</v>
      </c>
      <c r="AX180" s="102">
        <v>4</v>
      </c>
      <c r="AY180" s="102">
        <v>1</v>
      </c>
      <c r="AZ180" s="102">
        <v>4</v>
      </c>
      <c r="BA180" s="102">
        <v>0</v>
      </c>
      <c r="BB180" s="102">
        <v>0</v>
      </c>
      <c r="BC180" s="102">
        <v>1</v>
      </c>
      <c r="BD180" s="102" t="s">
        <v>922</v>
      </c>
      <c r="BE180" s="102">
        <v>0</v>
      </c>
      <c r="BF180" s="102">
        <v>0</v>
      </c>
      <c r="BG180" s="102">
        <v>0</v>
      </c>
      <c r="BH180" s="102">
        <v>1</v>
      </c>
      <c r="BI180" s="102">
        <v>0</v>
      </c>
      <c r="BJ180" s="102">
        <v>0</v>
      </c>
      <c r="BK180" s="102">
        <v>0</v>
      </c>
      <c r="BL180" s="102">
        <v>1</v>
      </c>
      <c r="BM180" s="102">
        <v>0</v>
      </c>
      <c r="BN180" s="102">
        <v>1</v>
      </c>
      <c r="BO180" s="102">
        <v>1</v>
      </c>
      <c r="BP180" s="102">
        <v>1</v>
      </c>
      <c r="BQ180" s="102">
        <v>0</v>
      </c>
      <c r="BR180" s="102">
        <v>0</v>
      </c>
      <c r="BS180" s="102">
        <v>0</v>
      </c>
      <c r="BT180" s="102">
        <v>0</v>
      </c>
      <c r="BU180" s="102"/>
      <c r="BV180" s="102">
        <v>0</v>
      </c>
      <c r="BW180" s="102">
        <v>1</v>
      </c>
      <c r="BX180" s="102">
        <v>0</v>
      </c>
      <c r="BY180" s="102">
        <v>0</v>
      </c>
      <c r="BZ180" s="102">
        <v>0</v>
      </c>
      <c r="CA180" s="102" t="s">
        <v>866</v>
      </c>
      <c r="CB180" s="102">
        <v>1</v>
      </c>
      <c r="CC180" s="102">
        <v>3</v>
      </c>
      <c r="CD180" s="102" t="s">
        <v>2021</v>
      </c>
      <c r="CE180" s="102">
        <v>0</v>
      </c>
      <c r="CF180" s="102">
        <v>1</v>
      </c>
      <c r="CG180" s="102">
        <v>1</v>
      </c>
      <c r="CH180" s="102">
        <v>0</v>
      </c>
      <c r="CI180" s="102">
        <v>0</v>
      </c>
      <c r="CJ180" s="102">
        <v>1</v>
      </c>
      <c r="CK180" s="102">
        <v>1</v>
      </c>
      <c r="CL180" s="102">
        <v>0</v>
      </c>
      <c r="CM180" s="102">
        <v>0</v>
      </c>
      <c r="CN180" s="102">
        <v>1</v>
      </c>
      <c r="CO180" s="102">
        <v>0</v>
      </c>
      <c r="CP180" s="102">
        <v>0</v>
      </c>
      <c r="CQ180" s="102">
        <v>1</v>
      </c>
      <c r="CR180" s="102">
        <v>1</v>
      </c>
      <c r="CS180" s="102">
        <v>1</v>
      </c>
      <c r="CT180" s="102" t="s">
        <v>2022</v>
      </c>
      <c r="CU180" s="102">
        <v>0</v>
      </c>
      <c r="CV180" s="102">
        <v>1</v>
      </c>
      <c r="CW180" s="102">
        <v>1</v>
      </c>
      <c r="CX180" s="102">
        <v>0</v>
      </c>
      <c r="CY180" s="102">
        <v>0</v>
      </c>
      <c r="CZ180" s="102">
        <v>0</v>
      </c>
      <c r="DA180" s="102" t="s">
        <v>853</v>
      </c>
      <c r="DB180" s="102">
        <v>0</v>
      </c>
      <c r="DC180" s="102">
        <v>1</v>
      </c>
      <c r="DD180" s="102">
        <v>0</v>
      </c>
      <c r="DE180" s="102">
        <v>0</v>
      </c>
      <c r="DF180" s="102">
        <v>0</v>
      </c>
      <c r="DG180" s="102">
        <v>0</v>
      </c>
      <c r="DH180" s="102">
        <v>0</v>
      </c>
      <c r="DI180" s="102">
        <v>0</v>
      </c>
      <c r="DJ180" s="102">
        <v>0</v>
      </c>
      <c r="DK180" s="102">
        <v>0</v>
      </c>
      <c r="DL180" s="102">
        <v>0</v>
      </c>
      <c r="DM180" s="102">
        <v>0</v>
      </c>
      <c r="DN180" s="102">
        <v>0</v>
      </c>
      <c r="DO180" s="102">
        <v>1</v>
      </c>
      <c r="DP180" s="102">
        <v>0</v>
      </c>
      <c r="DQ180" s="102">
        <v>1</v>
      </c>
      <c r="DR180" s="102">
        <v>0</v>
      </c>
      <c r="DS180" s="102" t="s">
        <v>853</v>
      </c>
      <c r="DT180" s="105" t="s">
        <v>853</v>
      </c>
      <c r="DU180" s="102" t="s">
        <v>853</v>
      </c>
      <c r="DV180" s="102">
        <v>0</v>
      </c>
      <c r="DW180" s="102">
        <v>0</v>
      </c>
      <c r="DX180" s="102" t="s">
        <v>853</v>
      </c>
      <c r="DY180" s="102">
        <v>1</v>
      </c>
      <c r="DZ180" s="102">
        <v>2</v>
      </c>
      <c r="EA180" s="102" t="s">
        <v>2023</v>
      </c>
      <c r="EB180" s="102">
        <v>0</v>
      </c>
      <c r="EC180" s="102">
        <v>0</v>
      </c>
      <c r="ED180" s="102">
        <v>0</v>
      </c>
      <c r="EE180" s="102">
        <v>0</v>
      </c>
      <c r="EF180" s="102">
        <v>2</v>
      </c>
      <c r="EG180" s="102">
        <v>0</v>
      </c>
      <c r="EH180" s="102" t="s">
        <v>853</v>
      </c>
      <c r="EI180" s="102">
        <v>0</v>
      </c>
      <c r="EJ180" s="102">
        <v>0</v>
      </c>
      <c r="EK180" s="102">
        <v>2</v>
      </c>
      <c r="EL180" s="102"/>
      <c r="EM180" s="102"/>
    </row>
    <row r="181" spans="1:143" ht="15.75" customHeight="1" x14ac:dyDescent="0.55000000000000004">
      <c r="A181" s="99">
        <v>180</v>
      </c>
      <c r="B181" s="102" t="s">
        <v>2024</v>
      </c>
      <c r="C181" s="102" t="s">
        <v>2025</v>
      </c>
      <c r="D181" s="103">
        <v>44342</v>
      </c>
      <c r="E181" s="102" t="s">
        <v>891</v>
      </c>
      <c r="F181" s="102">
        <v>26</v>
      </c>
      <c r="G181" s="102">
        <v>5</v>
      </c>
      <c r="H181" s="102">
        <v>2021</v>
      </c>
      <c r="I181" s="102" t="s">
        <v>2026</v>
      </c>
      <c r="J181" s="102" t="s">
        <v>2027</v>
      </c>
      <c r="K181" s="102" t="s">
        <v>930</v>
      </c>
      <c r="L181" s="102">
        <v>5</v>
      </c>
      <c r="M181" s="102">
        <v>3</v>
      </c>
      <c r="N181" s="102">
        <v>0</v>
      </c>
      <c r="O181" s="106">
        <v>9</v>
      </c>
      <c r="P181" s="102">
        <v>1</v>
      </c>
      <c r="Q181" s="104">
        <v>1</v>
      </c>
      <c r="R181" s="102">
        <v>0</v>
      </c>
      <c r="S181" s="102" t="s">
        <v>853</v>
      </c>
      <c r="T181" s="102">
        <v>0</v>
      </c>
      <c r="U181" s="102" t="s">
        <v>853</v>
      </c>
      <c r="V181" s="102">
        <v>9</v>
      </c>
      <c r="W181" s="102">
        <v>0</v>
      </c>
      <c r="X181" s="102">
        <v>0</v>
      </c>
      <c r="Y181" s="102">
        <v>0</v>
      </c>
      <c r="Z181" s="102">
        <v>0</v>
      </c>
      <c r="AA181" s="102">
        <v>57</v>
      </c>
      <c r="AB181" s="102">
        <v>0</v>
      </c>
      <c r="AC181" s="102">
        <v>0</v>
      </c>
      <c r="AD181" s="102">
        <v>0</v>
      </c>
      <c r="AE181" s="102">
        <v>0</v>
      </c>
      <c r="AF181" s="102"/>
      <c r="AG181" s="102">
        <v>2</v>
      </c>
      <c r="AH181" s="102"/>
      <c r="AI181" s="102"/>
      <c r="AJ181" s="102">
        <v>1</v>
      </c>
      <c r="AK181" s="102">
        <v>1</v>
      </c>
      <c r="AL181" s="102">
        <v>0</v>
      </c>
      <c r="AM181" s="102">
        <v>1</v>
      </c>
      <c r="AN181" s="102">
        <v>3</v>
      </c>
      <c r="AO181" s="102">
        <v>0</v>
      </c>
      <c r="AP181" s="102">
        <v>0</v>
      </c>
      <c r="AQ181" s="102">
        <v>2</v>
      </c>
      <c r="AR181" s="102">
        <v>0</v>
      </c>
      <c r="AS181" s="102" t="s">
        <v>853</v>
      </c>
      <c r="AT181" s="102">
        <v>0</v>
      </c>
      <c r="AU181" s="102" t="s">
        <v>853</v>
      </c>
      <c r="AV181" s="102">
        <v>0</v>
      </c>
      <c r="AW181" s="102">
        <v>1</v>
      </c>
      <c r="AX181" s="102">
        <v>2</v>
      </c>
      <c r="AY181" s="102">
        <v>9</v>
      </c>
      <c r="AZ181" s="102">
        <v>3</v>
      </c>
      <c r="BA181" s="102">
        <v>0</v>
      </c>
      <c r="BB181" s="102">
        <v>0</v>
      </c>
      <c r="BC181" s="102">
        <v>1</v>
      </c>
      <c r="BD181" s="102" t="s">
        <v>937</v>
      </c>
      <c r="BE181" s="102">
        <v>1</v>
      </c>
      <c r="BF181" s="102">
        <v>0</v>
      </c>
      <c r="BG181" s="102">
        <v>0</v>
      </c>
      <c r="BH181" s="102">
        <v>0</v>
      </c>
      <c r="BI181" s="102">
        <v>0</v>
      </c>
      <c r="BJ181" s="102">
        <v>1</v>
      </c>
      <c r="BK181" s="102">
        <v>0</v>
      </c>
      <c r="BL181" s="102">
        <v>0</v>
      </c>
      <c r="BM181" s="102">
        <v>0</v>
      </c>
      <c r="BN181" s="102">
        <v>0</v>
      </c>
      <c r="BO181" s="102">
        <v>0</v>
      </c>
      <c r="BP181" s="102">
        <v>0</v>
      </c>
      <c r="BQ181" s="102">
        <v>0</v>
      </c>
      <c r="BR181" s="102">
        <v>0</v>
      </c>
      <c r="BS181" s="102">
        <v>0</v>
      </c>
      <c r="BT181" s="102">
        <v>0</v>
      </c>
      <c r="BU181" s="102"/>
      <c r="BV181" s="102">
        <v>0</v>
      </c>
      <c r="BW181" s="102">
        <v>0</v>
      </c>
      <c r="BX181" s="102">
        <v>0</v>
      </c>
      <c r="BY181" s="102">
        <v>0</v>
      </c>
      <c r="BZ181" s="102">
        <v>0</v>
      </c>
      <c r="CA181" s="102">
        <v>2</v>
      </c>
      <c r="CB181" s="102">
        <v>1</v>
      </c>
      <c r="CC181" s="102">
        <v>3</v>
      </c>
      <c r="CD181" s="102" t="s">
        <v>2028</v>
      </c>
      <c r="CE181" s="102">
        <v>0</v>
      </c>
      <c r="CF181" s="102">
        <v>0</v>
      </c>
      <c r="CG181" s="102">
        <v>0</v>
      </c>
      <c r="CH181" s="102">
        <v>1</v>
      </c>
      <c r="CI181" s="102">
        <v>1</v>
      </c>
      <c r="CJ181" s="102">
        <v>1</v>
      </c>
      <c r="CK181" s="102">
        <v>1</v>
      </c>
      <c r="CL181" s="102">
        <v>0</v>
      </c>
      <c r="CM181" s="102">
        <v>0</v>
      </c>
      <c r="CN181" s="102">
        <v>1</v>
      </c>
      <c r="CO181" s="102">
        <v>0</v>
      </c>
      <c r="CP181" s="102">
        <v>0</v>
      </c>
      <c r="CQ181" s="102">
        <v>0</v>
      </c>
      <c r="CR181" s="102">
        <v>0</v>
      </c>
      <c r="CS181" s="102">
        <v>1</v>
      </c>
      <c r="CT181" s="102" t="s">
        <v>955</v>
      </c>
      <c r="CU181" s="102">
        <v>0</v>
      </c>
      <c r="CV181" s="102" t="s">
        <v>937</v>
      </c>
      <c r="CW181" s="102">
        <v>0</v>
      </c>
      <c r="CX181" s="102">
        <v>0</v>
      </c>
      <c r="CY181" s="102">
        <v>1</v>
      </c>
      <c r="CZ181" s="102">
        <v>0</v>
      </c>
      <c r="DA181" s="102" t="s">
        <v>853</v>
      </c>
      <c r="DB181" s="102">
        <v>0</v>
      </c>
      <c r="DC181" s="102">
        <v>0</v>
      </c>
      <c r="DD181" s="102">
        <v>0</v>
      </c>
      <c r="DE181" s="102">
        <v>0</v>
      </c>
      <c r="DF181" s="102">
        <v>0</v>
      </c>
      <c r="DG181" s="102">
        <v>0</v>
      </c>
      <c r="DH181" s="102">
        <v>0</v>
      </c>
      <c r="DI181" s="102">
        <v>0</v>
      </c>
      <c r="DJ181" s="102">
        <v>0</v>
      </c>
      <c r="DK181" s="102">
        <v>0</v>
      </c>
      <c r="DL181" s="102">
        <v>0</v>
      </c>
      <c r="DM181" s="102">
        <v>0</v>
      </c>
      <c r="DN181" s="102">
        <v>1</v>
      </c>
      <c r="DO181" s="102">
        <v>0</v>
      </c>
      <c r="DP181" s="102">
        <v>0</v>
      </c>
      <c r="DQ181" s="102">
        <v>0</v>
      </c>
      <c r="DR181" s="102">
        <v>1</v>
      </c>
      <c r="DS181" s="102" t="s">
        <v>2029</v>
      </c>
      <c r="DT181" s="105" t="s">
        <v>1616</v>
      </c>
      <c r="DU181" s="102" t="s">
        <v>1639</v>
      </c>
      <c r="DV181" s="102">
        <v>1</v>
      </c>
      <c r="DW181" s="102">
        <v>0</v>
      </c>
      <c r="DX181" s="102" t="s">
        <v>853</v>
      </c>
      <c r="DY181" s="102">
        <v>0</v>
      </c>
      <c r="DZ181" s="102">
        <v>0</v>
      </c>
      <c r="EA181" s="102" t="s">
        <v>853</v>
      </c>
      <c r="EB181" s="102">
        <v>1</v>
      </c>
      <c r="EC181" s="102">
        <v>0</v>
      </c>
      <c r="ED181" s="102">
        <v>1</v>
      </c>
      <c r="EE181" s="102">
        <v>0</v>
      </c>
      <c r="EF181" s="102">
        <v>3</v>
      </c>
      <c r="EG181" s="102">
        <v>1</v>
      </c>
      <c r="EH181" s="102" t="s">
        <v>2030</v>
      </c>
      <c r="EI181" s="102">
        <v>0</v>
      </c>
      <c r="EJ181" s="102">
        <v>0</v>
      </c>
      <c r="EK181" s="102">
        <v>2</v>
      </c>
      <c r="EL181" s="102"/>
      <c r="EM181" s="102"/>
    </row>
    <row r="182" spans="1:143" ht="15.75" customHeight="1" x14ac:dyDescent="0.55000000000000004">
      <c r="A182" s="99">
        <v>181</v>
      </c>
      <c r="B182" s="102" t="s">
        <v>2031</v>
      </c>
      <c r="C182" s="102" t="s">
        <v>2032</v>
      </c>
      <c r="D182" s="103">
        <v>44530</v>
      </c>
      <c r="E182" s="102" t="s">
        <v>1032</v>
      </c>
      <c r="F182" s="102">
        <v>30</v>
      </c>
      <c r="G182" s="102">
        <v>11</v>
      </c>
      <c r="H182" s="102">
        <v>2021</v>
      </c>
      <c r="I182" s="102" t="s">
        <v>2033</v>
      </c>
      <c r="J182" s="102" t="s">
        <v>2034</v>
      </c>
      <c r="K182" s="102" t="s">
        <v>881</v>
      </c>
      <c r="L182" s="102">
        <v>22</v>
      </c>
      <c r="M182" s="102">
        <v>1</v>
      </c>
      <c r="N182" s="102">
        <v>1</v>
      </c>
      <c r="O182" s="102">
        <v>0</v>
      </c>
      <c r="P182" s="102">
        <v>1</v>
      </c>
      <c r="Q182" s="104">
        <v>0</v>
      </c>
      <c r="R182" s="102">
        <v>0</v>
      </c>
      <c r="S182" s="102" t="s">
        <v>853</v>
      </c>
      <c r="T182" s="102">
        <v>0</v>
      </c>
      <c r="U182" s="102" t="s">
        <v>853</v>
      </c>
      <c r="V182" s="102">
        <v>4</v>
      </c>
      <c r="W182" s="102">
        <v>7</v>
      </c>
      <c r="X182" s="102">
        <v>0</v>
      </c>
      <c r="Y182" s="102">
        <v>0</v>
      </c>
      <c r="Z182" s="102">
        <v>0</v>
      </c>
      <c r="AA182" s="102">
        <v>15</v>
      </c>
      <c r="AB182" s="102">
        <v>0</v>
      </c>
      <c r="AC182" s="102">
        <v>0</v>
      </c>
      <c r="AD182" s="102">
        <v>0</v>
      </c>
      <c r="AE182" s="102">
        <v>0</v>
      </c>
      <c r="AF182" s="102"/>
      <c r="AG182" s="102">
        <v>0</v>
      </c>
      <c r="AH182" s="102"/>
      <c r="AI182" s="102"/>
      <c r="AJ182" s="102">
        <v>3</v>
      </c>
      <c r="AK182" s="102">
        <v>1</v>
      </c>
      <c r="AL182" s="102">
        <v>1</v>
      </c>
      <c r="AM182" s="102">
        <v>0</v>
      </c>
      <c r="AN182" s="102">
        <v>0</v>
      </c>
      <c r="AO182" s="102">
        <v>0</v>
      </c>
      <c r="AP182" s="102">
        <v>0</v>
      </c>
      <c r="AQ182" s="102"/>
      <c r="AR182" s="102">
        <v>0</v>
      </c>
      <c r="AS182" s="102" t="s">
        <v>853</v>
      </c>
      <c r="AT182" s="102">
        <v>0</v>
      </c>
      <c r="AU182" s="102" t="s">
        <v>853</v>
      </c>
      <c r="AV182" s="102">
        <v>0</v>
      </c>
      <c r="AW182" s="102">
        <v>0</v>
      </c>
      <c r="AX182" s="102">
        <v>0</v>
      </c>
      <c r="AY182" s="102">
        <v>0</v>
      </c>
      <c r="AZ182" s="102">
        <v>0</v>
      </c>
      <c r="BA182" s="102">
        <v>1</v>
      </c>
      <c r="BB182" s="102">
        <v>1</v>
      </c>
      <c r="BC182" s="102">
        <v>0</v>
      </c>
      <c r="BD182" s="102">
        <v>0</v>
      </c>
      <c r="BE182" s="102">
        <v>0</v>
      </c>
      <c r="BF182" s="102">
        <v>0</v>
      </c>
      <c r="BG182" s="102">
        <v>0</v>
      </c>
      <c r="BH182" s="102">
        <v>0</v>
      </c>
      <c r="BI182" s="102">
        <v>1</v>
      </c>
      <c r="BJ182" s="102">
        <v>0</v>
      </c>
      <c r="BK182" s="102">
        <v>0</v>
      </c>
      <c r="BL182" s="102">
        <v>0</v>
      </c>
      <c r="BM182" s="102">
        <v>0</v>
      </c>
      <c r="BN182" s="102">
        <v>0</v>
      </c>
      <c r="BO182" s="102">
        <v>0</v>
      </c>
      <c r="BP182" s="102">
        <v>1</v>
      </c>
      <c r="BQ182" s="102">
        <v>0</v>
      </c>
      <c r="BR182" s="102">
        <v>0</v>
      </c>
      <c r="BS182" s="102">
        <v>0</v>
      </c>
      <c r="BT182" s="102">
        <v>1</v>
      </c>
      <c r="BU182" s="102">
        <v>0</v>
      </c>
      <c r="BV182" s="102">
        <v>0</v>
      </c>
      <c r="BW182" s="102">
        <v>1</v>
      </c>
      <c r="BX182" s="102">
        <v>0</v>
      </c>
      <c r="BY182" s="102">
        <v>0</v>
      </c>
      <c r="BZ182" s="102">
        <v>0</v>
      </c>
      <c r="CA182" s="102">
        <v>0</v>
      </c>
      <c r="CB182" s="102">
        <v>1</v>
      </c>
      <c r="CC182" s="102">
        <v>2</v>
      </c>
      <c r="CD182" s="102" t="s">
        <v>2035</v>
      </c>
      <c r="CE182" s="102">
        <v>0</v>
      </c>
      <c r="CF182" s="102">
        <v>1</v>
      </c>
      <c r="CG182" s="102">
        <v>0</v>
      </c>
      <c r="CH182" s="102">
        <v>0</v>
      </c>
      <c r="CI182" s="102">
        <v>0</v>
      </c>
      <c r="CJ182" s="102">
        <v>1</v>
      </c>
      <c r="CK182" s="102">
        <v>0</v>
      </c>
      <c r="CL182" s="102">
        <v>0</v>
      </c>
      <c r="CM182" s="102">
        <v>0</v>
      </c>
      <c r="CN182" s="102">
        <v>0</v>
      </c>
      <c r="CO182" s="102">
        <v>0</v>
      </c>
      <c r="CP182" s="102">
        <v>0</v>
      </c>
      <c r="CQ182" s="102">
        <v>0</v>
      </c>
      <c r="CR182" s="102">
        <v>0</v>
      </c>
      <c r="CS182" s="102">
        <v>0</v>
      </c>
      <c r="CT182" s="102" t="s">
        <v>853</v>
      </c>
      <c r="CU182" s="102">
        <v>0</v>
      </c>
      <c r="CV182" s="102">
        <v>4</v>
      </c>
      <c r="CW182" s="102">
        <v>0</v>
      </c>
      <c r="CX182" s="102">
        <v>0</v>
      </c>
      <c r="CY182" s="102">
        <v>0</v>
      </c>
      <c r="CZ182" s="102">
        <v>0</v>
      </c>
      <c r="DA182" s="102" t="s">
        <v>853</v>
      </c>
      <c r="DB182" s="102">
        <v>0</v>
      </c>
      <c r="DC182" s="102">
        <v>0</v>
      </c>
      <c r="DD182" s="102">
        <v>0</v>
      </c>
      <c r="DE182" s="102">
        <v>0</v>
      </c>
      <c r="DF182" s="102">
        <v>0</v>
      </c>
      <c r="DG182" s="102">
        <v>0</v>
      </c>
      <c r="DH182" s="102">
        <v>0</v>
      </c>
      <c r="DI182" s="102">
        <v>0</v>
      </c>
      <c r="DJ182" s="102">
        <v>0</v>
      </c>
      <c r="DK182" s="102">
        <v>0</v>
      </c>
      <c r="DL182" s="102">
        <v>0</v>
      </c>
      <c r="DM182" s="102">
        <v>0</v>
      </c>
      <c r="DN182" s="102">
        <v>0</v>
      </c>
      <c r="DO182" s="102">
        <v>1</v>
      </c>
      <c r="DP182" s="102">
        <v>0</v>
      </c>
      <c r="DQ182" s="102">
        <v>1</v>
      </c>
      <c r="DR182" s="102">
        <v>1</v>
      </c>
      <c r="DS182" s="102" t="s">
        <v>2036</v>
      </c>
      <c r="DT182" s="105" t="s">
        <v>2037</v>
      </c>
      <c r="DU182" s="102" t="s">
        <v>2038</v>
      </c>
      <c r="DV182" s="102">
        <v>1</v>
      </c>
      <c r="DW182" s="102">
        <v>0</v>
      </c>
      <c r="DX182" s="102" t="s">
        <v>853</v>
      </c>
      <c r="DY182" s="102">
        <v>0</v>
      </c>
      <c r="DZ182" s="102">
        <v>0</v>
      </c>
      <c r="EA182" s="102" t="s">
        <v>853</v>
      </c>
      <c r="EB182" s="102">
        <v>1</v>
      </c>
      <c r="EC182" s="102">
        <v>0</v>
      </c>
      <c r="ED182" s="102">
        <v>1</v>
      </c>
      <c r="EE182" s="102">
        <v>1</v>
      </c>
      <c r="EF182" s="102">
        <v>1</v>
      </c>
      <c r="EG182" s="102">
        <v>0</v>
      </c>
      <c r="EH182" s="102" t="s">
        <v>853</v>
      </c>
      <c r="EI182" s="102">
        <v>2</v>
      </c>
      <c r="EJ182" s="102">
        <v>0</v>
      </c>
      <c r="EK182" s="102">
        <v>3</v>
      </c>
      <c r="EL182" s="102"/>
      <c r="EM182" s="102"/>
    </row>
    <row r="183" spans="1:143" ht="15.75" customHeight="1" x14ac:dyDescent="0.55000000000000004">
      <c r="A183" s="100">
        <v>182</v>
      </c>
      <c r="B183" s="104" t="s">
        <v>2039</v>
      </c>
      <c r="C183" s="104" t="s">
        <v>2040</v>
      </c>
      <c r="D183" s="103">
        <v>44695</v>
      </c>
      <c r="E183" s="104" t="s">
        <v>860</v>
      </c>
      <c r="F183" s="104">
        <v>14</v>
      </c>
      <c r="G183" s="104">
        <v>5</v>
      </c>
      <c r="H183" s="104">
        <v>2022</v>
      </c>
      <c r="I183" s="104" t="s">
        <v>2041</v>
      </c>
      <c r="J183" s="104" t="s">
        <v>1657</v>
      </c>
      <c r="K183" s="104" t="s">
        <v>894</v>
      </c>
      <c r="L183" s="104">
        <v>32</v>
      </c>
      <c r="M183" s="104">
        <v>2</v>
      </c>
      <c r="N183" s="104">
        <v>0</v>
      </c>
      <c r="O183" s="104">
        <v>4</v>
      </c>
      <c r="P183" s="104">
        <v>0</v>
      </c>
      <c r="Q183" s="104">
        <v>0</v>
      </c>
      <c r="R183" s="104">
        <v>0</v>
      </c>
      <c r="S183" s="104" t="s">
        <v>853</v>
      </c>
      <c r="T183" s="104">
        <v>1</v>
      </c>
      <c r="U183" s="104">
        <v>1</v>
      </c>
      <c r="V183" s="104">
        <v>10</v>
      </c>
      <c r="W183" s="104">
        <v>3</v>
      </c>
      <c r="X183" s="104">
        <v>0</v>
      </c>
      <c r="Y183" s="104">
        <v>0</v>
      </c>
      <c r="Z183" s="104">
        <v>0</v>
      </c>
      <c r="AA183" s="104">
        <v>18</v>
      </c>
      <c r="AB183" s="104">
        <v>0</v>
      </c>
      <c r="AC183" s="104">
        <v>0</v>
      </c>
      <c r="AD183" s="104">
        <v>0</v>
      </c>
      <c r="AE183" s="102"/>
      <c r="AF183" s="102"/>
      <c r="AG183" s="104">
        <v>2</v>
      </c>
      <c r="AH183" s="102"/>
      <c r="AI183" s="102"/>
      <c r="AJ183" s="102"/>
      <c r="AK183" s="104">
        <v>2</v>
      </c>
      <c r="AL183" s="102"/>
      <c r="AM183" s="102"/>
      <c r="AN183" s="102"/>
      <c r="AO183" s="102"/>
      <c r="AP183" s="104">
        <v>0</v>
      </c>
      <c r="AQ183" s="104">
        <v>0</v>
      </c>
      <c r="AR183" s="104">
        <v>0</v>
      </c>
      <c r="AS183" s="104" t="s">
        <v>853</v>
      </c>
      <c r="AT183" s="104">
        <v>0</v>
      </c>
      <c r="AU183" s="104" t="s">
        <v>853</v>
      </c>
      <c r="AV183" s="104">
        <v>1</v>
      </c>
      <c r="AW183" s="104">
        <v>0</v>
      </c>
      <c r="AX183" s="104">
        <v>0</v>
      </c>
      <c r="AY183" s="104">
        <v>0</v>
      </c>
      <c r="AZ183" s="104">
        <v>0</v>
      </c>
      <c r="BA183" s="102"/>
      <c r="BB183" s="104">
        <v>1</v>
      </c>
      <c r="BC183" s="102"/>
      <c r="BD183" s="102"/>
      <c r="BE183" s="102"/>
      <c r="BF183" s="104">
        <v>0</v>
      </c>
      <c r="BG183" s="104">
        <v>0</v>
      </c>
      <c r="BH183" s="104">
        <v>1</v>
      </c>
      <c r="BI183" s="104">
        <v>0</v>
      </c>
      <c r="BJ183" s="102"/>
      <c r="BK183" s="102"/>
      <c r="BL183" s="104">
        <v>0</v>
      </c>
      <c r="BM183" s="104">
        <v>0</v>
      </c>
      <c r="BN183" s="104">
        <v>0</v>
      </c>
      <c r="BO183" s="104">
        <v>0</v>
      </c>
      <c r="BP183" s="102"/>
      <c r="BQ183" s="102"/>
      <c r="BR183" s="102"/>
      <c r="BS183" s="102"/>
      <c r="BT183" s="102"/>
      <c r="BU183" s="104">
        <v>1</v>
      </c>
      <c r="BV183" s="102"/>
      <c r="BW183" s="102"/>
      <c r="BX183" s="104">
        <v>0</v>
      </c>
      <c r="BY183" s="104">
        <v>0</v>
      </c>
      <c r="BZ183" s="102"/>
      <c r="CA183" s="102"/>
      <c r="CB183" s="102"/>
      <c r="CC183" s="102"/>
      <c r="CD183" s="102"/>
      <c r="CE183" s="102"/>
      <c r="CF183" s="102"/>
      <c r="CG183" s="102"/>
      <c r="CH183" s="102"/>
      <c r="CI183" s="102"/>
      <c r="CJ183" s="102"/>
      <c r="CK183" s="102"/>
      <c r="CL183" s="102"/>
      <c r="CM183" s="102"/>
      <c r="CN183" s="104">
        <v>1</v>
      </c>
      <c r="CO183" s="104">
        <v>1</v>
      </c>
      <c r="CP183" s="104">
        <v>2</v>
      </c>
      <c r="CQ183" s="104">
        <v>1</v>
      </c>
      <c r="CR183" s="104">
        <v>2</v>
      </c>
      <c r="CS183" s="102"/>
      <c r="CT183" s="102"/>
      <c r="CU183" s="102"/>
      <c r="CV183" s="102"/>
      <c r="CW183" s="102"/>
      <c r="CX183" s="102"/>
      <c r="CY183" s="102"/>
      <c r="CZ183" s="102"/>
      <c r="DA183" s="102"/>
      <c r="DB183" s="102"/>
      <c r="DC183" s="113">
        <v>44565</v>
      </c>
      <c r="DD183" s="104">
        <v>1</v>
      </c>
      <c r="DE183" s="104">
        <v>0</v>
      </c>
      <c r="DF183" s="104">
        <v>0</v>
      </c>
      <c r="DG183" s="104">
        <v>0</v>
      </c>
      <c r="DH183" s="104">
        <v>0</v>
      </c>
      <c r="DI183" s="104">
        <v>0</v>
      </c>
      <c r="DJ183" s="104">
        <v>0</v>
      </c>
      <c r="DK183" s="104">
        <v>0</v>
      </c>
      <c r="DL183" s="104">
        <v>0</v>
      </c>
      <c r="DM183" s="104">
        <v>0</v>
      </c>
      <c r="DN183" s="104">
        <v>0</v>
      </c>
      <c r="DO183" s="104">
        <v>0</v>
      </c>
      <c r="DP183" s="104">
        <v>0</v>
      </c>
      <c r="DQ183" s="104">
        <v>1</v>
      </c>
      <c r="DR183" s="104">
        <v>1</v>
      </c>
      <c r="DS183" s="113">
        <v>44655</v>
      </c>
      <c r="DT183" s="114" t="s">
        <v>2042</v>
      </c>
      <c r="DU183" s="104" t="s">
        <v>925</v>
      </c>
      <c r="DV183" s="104">
        <v>1</v>
      </c>
      <c r="DW183" s="104">
        <v>1</v>
      </c>
      <c r="DX183" s="104" t="s">
        <v>2043</v>
      </c>
      <c r="DY183" s="104">
        <v>1</v>
      </c>
      <c r="DZ183" s="104">
        <v>0</v>
      </c>
      <c r="EA183" s="104" t="s">
        <v>853</v>
      </c>
      <c r="EB183" s="104">
        <v>1</v>
      </c>
      <c r="EC183" s="104">
        <v>1</v>
      </c>
      <c r="ED183" s="104">
        <v>1</v>
      </c>
      <c r="EE183" s="104">
        <v>3</v>
      </c>
      <c r="EF183" s="104">
        <v>1</v>
      </c>
      <c r="EG183" s="104">
        <v>1</v>
      </c>
      <c r="EH183" s="104" t="s">
        <v>2044</v>
      </c>
      <c r="EI183" s="104">
        <v>2</v>
      </c>
      <c r="EJ183" s="104">
        <v>0</v>
      </c>
      <c r="EK183" s="102"/>
      <c r="EL183" s="102"/>
      <c r="EM183" s="102"/>
    </row>
    <row r="184" spans="1:143" ht="15.75" customHeight="1" x14ac:dyDescent="0.5500000000000000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c r="BM184" s="102"/>
      <c r="BN184" s="102"/>
      <c r="BO184" s="102"/>
      <c r="BP184" s="102"/>
      <c r="BQ184" s="102"/>
      <c r="BR184" s="102"/>
      <c r="BS184" s="102"/>
      <c r="BT184" s="102"/>
      <c r="BU184" s="102"/>
      <c r="BV184" s="102"/>
      <c r="BW184" s="102"/>
      <c r="BX184" s="102"/>
      <c r="BY184" s="102"/>
      <c r="BZ184" s="102"/>
      <c r="CA184" s="102"/>
      <c r="CB184" s="102"/>
      <c r="CC184" s="102"/>
      <c r="CD184" s="102"/>
      <c r="CE184" s="102"/>
      <c r="CF184" s="102"/>
      <c r="CG184" s="102"/>
      <c r="CH184" s="102"/>
      <c r="CI184" s="102"/>
      <c r="CJ184" s="102"/>
      <c r="CK184" s="102"/>
      <c r="CL184" s="102"/>
      <c r="CM184" s="102"/>
      <c r="CN184" s="102"/>
      <c r="CO184" s="102"/>
      <c r="CP184" s="102"/>
      <c r="CQ184" s="102"/>
      <c r="CR184" s="102"/>
      <c r="CS184" s="102"/>
      <c r="CT184" s="102"/>
      <c r="CU184" s="102"/>
      <c r="CV184" s="102"/>
      <c r="CW184" s="102"/>
      <c r="CX184" s="102"/>
      <c r="CY184" s="102"/>
      <c r="CZ184" s="102"/>
      <c r="DA184" s="102"/>
      <c r="DB184" s="102"/>
      <c r="DC184" s="102"/>
      <c r="DD184" s="102"/>
      <c r="DE184" s="102"/>
      <c r="DF184" s="102"/>
      <c r="DG184" s="102"/>
      <c r="DH184" s="102"/>
      <c r="DI184" s="102"/>
      <c r="DJ184" s="102"/>
      <c r="DK184" s="102"/>
      <c r="DL184" s="102"/>
      <c r="DM184" s="102"/>
      <c r="DN184" s="102"/>
      <c r="DO184" s="102"/>
      <c r="DP184" s="102"/>
      <c r="DQ184" s="102"/>
      <c r="DR184" s="102"/>
      <c r="DS184" s="102"/>
      <c r="DT184" s="105"/>
      <c r="DU184" s="102"/>
      <c r="DV184" s="102"/>
      <c r="DW184" s="102"/>
      <c r="DX184" s="102"/>
      <c r="DY184" s="102"/>
      <c r="DZ184" s="102"/>
      <c r="EA184" s="102"/>
      <c r="EB184" s="102"/>
      <c r="EC184" s="102"/>
      <c r="ED184" s="102"/>
      <c r="EE184" s="102"/>
      <c r="EF184" s="102"/>
      <c r="EG184" s="102"/>
      <c r="EH184" s="102"/>
      <c r="EI184" s="102"/>
      <c r="EJ184" s="102"/>
      <c r="EK184" s="102"/>
      <c r="EL184" s="102"/>
      <c r="EM184" s="102"/>
    </row>
    <row r="185" spans="1:143" ht="15.75" customHeight="1" x14ac:dyDescent="0.55000000000000004">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2"/>
      <c r="AP185" s="102"/>
      <c r="AQ185" s="102"/>
      <c r="AR185" s="102"/>
      <c r="AS185" s="102"/>
      <c r="AT185" s="102"/>
      <c r="AU185" s="102"/>
      <c r="AV185" s="102"/>
      <c r="AW185" s="102"/>
      <c r="AX185" s="102"/>
      <c r="AY185" s="102"/>
      <c r="AZ185" s="102"/>
      <c r="BA185" s="102"/>
      <c r="BB185" s="102"/>
      <c r="BC185" s="102"/>
      <c r="BD185" s="102"/>
      <c r="BE185" s="102"/>
      <c r="BF185" s="102"/>
      <c r="BG185" s="102"/>
      <c r="BH185" s="102"/>
      <c r="BI185" s="102"/>
      <c r="BJ185" s="102"/>
      <c r="BK185" s="102"/>
      <c r="BL185" s="102"/>
      <c r="BM185" s="102"/>
      <c r="BN185" s="102"/>
      <c r="BO185" s="102"/>
      <c r="BP185" s="102"/>
      <c r="BQ185" s="102"/>
      <c r="BR185" s="102"/>
      <c r="BS185" s="102"/>
      <c r="BT185" s="102"/>
      <c r="BU185" s="102"/>
      <c r="BV185" s="102"/>
      <c r="BW185" s="102"/>
      <c r="BX185" s="102"/>
      <c r="BY185" s="102"/>
      <c r="BZ185" s="102"/>
      <c r="CA185" s="102"/>
      <c r="CB185" s="102"/>
      <c r="CC185" s="102"/>
      <c r="CD185" s="102"/>
      <c r="CE185" s="102"/>
      <c r="CF185" s="102"/>
      <c r="CG185" s="102"/>
      <c r="CH185" s="102"/>
      <c r="CI185" s="102"/>
      <c r="CJ185" s="102"/>
      <c r="CK185" s="102"/>
      <c r="CL185" s="102"/>
      <c r="CM185" s="102"/>
      <c r="CN185" s="102"/>
      <c r="CO185" s="102"/>
      <c r="CP185" s="102"/>
      <c r="CQ185" s="102"/>
      <c r="CR185" s="102"/>
      <c r="CS185" s="102"/>
      <c r="CT185" s="102"/>
      <c r="CU185" s="102"/>
      <c r="CV185" s="102"/>
      <c r="CW185" s="102"/>
      <c r="CX185" s="102"/>
      <c r="CY185" s="102"/>
      <c r="CZ185" s="102"/>
      <c r="DA185" s="102"/>
      <c r="DB185" s="102"/>
      <c r="DC185" s="102"/>
      <c r="DD185" s="102"/>
      <c r="DE185" s="102"/>
      <c r="DF185" s="102"/>
      <c r="DG185" s="102"/>
      <c r="DH185" s="102"/>
      <c r="DI185" s="102"/>
      <c r="DJ185" s="102"/>
      <c r="DK185" s="102"/>
      <c r="DL185" s="102"/>
      <c r="DM185" s="102"/>
      <c r="DN185" s="102"/>
      <c r="DO185" s="102"/>
      <c r="DP185" s="102"/>
      <c r="DQ185" s="102"/>
      <c r="DR185" s="102"/>
      <c r="DS185" s="102"/>
      <c r="DT185" s="105"/>
      <c r="DU185" s="102"/>
      <c r="DV185" s="102"/>
      <c r="DW185" s="102"/>
      <c r="DX185" s="102"/>
      <c r="DY185" s="102"/>
      <c r="DZ185" s="102"/>
      <c r="EA185" s="102"/>
      <c r="EB185" s="102"/>
      <c r="EC185" s="102"/>
      <c r="ED185" s="102"/>
      <c r="EE185" s="102"/>
      <c r="EF185" s="102"/>
      <c r="EG185" s="102"/>
      <c r="EH185" s="102"/>
      <c r="EI185" s="102"/>
      <c r="EJ185" s="102"/>
      <c r="EK185" s="102"/>
      <c r="EL185" s="102"/>
      <c r="EM185" s="102"/>
    </row>
    <row r="186" spans="1:143" ht="15.75" customHeight="1" x14ac:dyDescent="0.55000000000000004">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2"/>
      <c r="AP186" s="102"/>
      <c r="AQ186" s="102"/>
      <c r="AR186" s="102"/>
      <c r="AS186" s="102"/>
      <c r="AT186" s="102"/>
      <c r="AU186" s="102"/>
      <c r="AV186" s="102"/>
      <c r="AW186" s="102"/>
      <c r="AX186" s="102"/>
      <c r="AY186" s="102"/>
      <c r="AZ186" s="102"/>
      <c r="BA186" s="102"/>
      <c r="BB186" s="102"/>
      <c r="BC186" s="102"/>
      <c r="BD186" s="102"/>
      <c r="BE186" s="102"/>
      <c r="BF186" s="102"/>
      <c r="BG186" s="102"/>
      <c r="BH186" s="102"/>
      <c r="BI186" s="102"/>
      <c r="BJ186" s="102"/>
      <c r="BK186" s="102"/>
      <c r="BL186" s="102"/>
      <c r="BM186" s="102"/>
      <c r="BN186" s="102"/>
      <c r="BO186" s="102"/>
      <c r="BP186" s="102"/>
      <c r="BQ186" s="102"/>
      <c r="BR186" s="102"/>
      <c r="BS186" s="102"/>
      <c r="BT186" s="102"/>
      <c r="BU186" s="102"/>
      <c r="BV186" s="102"/>
      <c r="BW186" s="102"/>
      <c r="BX186" s="102"/>
      <c r="BY186" s="102"/>
      <c r="BZ186" s="102"/>
      <c r="CA186" s="102"/>
      <c r="CB186" s="102"/>
      <c r="CC186" s="102"/>
      <c r="CD186" s="102"/>
      <c r="CE186" s="102"/>
      <c r="CF186" s="102"/>
      <c r="CG186" s="102"/>
      <c r="CH186" s="102"/>
      <c r="CI186" s="102"/>
      <c r="CJ186" s="102"/>
      <c r="CK186" s="102"/>
      <c r="CL186" s="102"/>
      <c r="CM186" s="102"/>
      <c r="CN186" s="102"/>
      <c r="CO186" s="102"/>
      <c r="CP186" s="102"/>
      <c r="CQ186" s="102"/>
      <c r="CR186" s="102"/>
      <c r="CS186" s="102"/>
      <c r="CT186" s="102"/>
      <c r="CU186" s="102"/>
      <c r="CV186" s="102"/>
      <c r="CW186" s="102"/>
      <c r="CX186" s="102"/>
      <c r="CY186" s="102"/>
      <c r="CZ186" s="102"/>
      <c r="DA186" s="102"/>
      <c r="DB186" s="102"/>
      <c r="DC186" s="102"/>
      <c r="DD186" s="102"/>
      <c r="DE186" s="102"/>
      <c r="DF186" s="102"/>
      <c r="DG186" s="102"/>
      <c r="DH186" s="102"/>
      <c r="DI186" s="102"/>
      <c r="DJ186" s="102"/>
      <c r="DK186" s="102"/>
      <c r="DL186" s="102"/>
      <c r="DM186" s="102"/>
      <c r="DN186" s="102"/>
      <c r="DO186" s="102"/>
      <c r="DP186" s="102"/>
      <c r="DQ186" s="102"/>
      <c r="DR186" s="102"/>
      <c r="DS186" s="102"/>
      <c r="DT186" s="105"/>
      <c r="DU186" s="102"/>
      <c r="DV186" s="102"/>
      <c r="DW186" s="102"/>
      <c r="DX186" s="102"/>
      <c r="DY186" s="102"/>
      <c r="DZ186" s="102"/>
      <c r="EA186" s="102"/>
      <c r="EB186" s="102"/>
      <c r="EC186" s="102"/>
      <c r="ED186" s="102"/>
      <c r="EE186" s="102"/>
      <c r="EF186" s="102"/>
      <c r="EG186" s="102"/>
      <c r="EH186" s="102"/>
      <c r="EI186" s="102"/>
      <c r="EJ186" s="102"/>
      <c r="EK186" s="102"/>
      <c r="EL186" s="102"/>
      <c r="EM186" s="102"/>
    </row>
    <row r="187" spans="1:143" ht="15.75" customHeight="1" x14ac:dyDescent="0.55000000000000004">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c r="BF187" s="102"/>
      <c r="BG187" s="102"/>
      <c r="BH187" s="102"/>
      <c r="BI187" s="102"/>
      <c r="BJ187" s="102"/>
      <c r="BK187" s="102"/>
      <c r="BL187" s="102"/>
      <c r="BM187" s="102"/>
      <c r="BN187" s="102"/>
      <c r="BO187" s="102"/>
      <c r="BP187" s="102"/>
      <c r="BQ187" s="102"/>
      <c r="BR187" s="102"/>
      <c r="BS187" s="102"/>
      <c r="BT187" s="102"/>
      <c r="BU187" s="102"/>
      <c r="BV187" s="102"/>
      <c r="BW187" s="102"/>
      <c r="BX187" s="102"/>
      <c r="BY187" s="102"/>
      <c r="BZ187" s="102"/>
      <c r="CA187" s="102"/>
      <c r="CB187" s="102"/>
      <c r="CC187" s="102"/>
      <c r="CD187" s="102"/>
      <c r="CE187" s="102"/>
      <c r="CF187" s="102"/>
      <c r="CG187" s="102"/>
      <c r="CH187" s="102"/>
      <c r="CI187" s="102"/>
      <c r="CJ187" s="102"/>
      <c r="CK187" s="102"/>
      <c r="CL187" s="102"/>
      <c r="CM187" s="102"/>
      <c r="CN187" s="102"/>
      <c r="CO187" s="102"/>
      <c r="CP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c r="DL187" s="102"/>
      <c r="DM187" s="102"/>
      <c r="DN187" s="102"/>
      <c r="DO187" s="102"/>
      <c r="DP187" s="102"/>
      <c r="DQ187" s="102"/>
      <c r="DR187" s="102"/>
      <c r="DS187" s="102"/>
      <c r="DT187" s="105"/>
      <c r="DU187" s="102"/>
      <c r="DV187" s="102"/>
      <c r="DW187" s="102"/>
      <c r="DX187" s="102"/>
      <c r="DY187" s="102"/>
      <c r="DZ187" s="102"/>
      <c r="EA187" s="102"/>
      <c r="EB187" s="102"/>
      <c r="EC187" s="102"/>
      <c r="ED187" s="102"/>
      <c r="EE187" s="102"/>
      <c r="EF187" s="102"/>
      <c r="EG187" s="102"/>
      <c r="EH187" s="102"/>
      <c r="EI187" s="102"/>
      <c r="EJ187" s="102"/>
      <c r="EK187" s="102"/>
      <c r="EL187" s="102"/>
      <c r="EM187" s="102"/>
    </row>
    <row r="188" spans="1:143" ht="15.75" customHeight="1" x14ac:dyDescent="0.55000000000000004">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2"/>
      <c r="AP188" s="102"/>
      <c r="AQ188" s="102"/>
      <c r="AR188" s="102"/>
      <c r="AS188" s="102"/>
      <c r="AT188" s="102"/>
      <c r="AU188" s="102"/>
      <c r="AV188" s="102"/>
      <c r="AW188" s="102"/>
      <c r="AX188" s="102"/>
      <c r="AY188" s="102"/>
      <c r="AZ188" s="102"/>
      <c r="BA188" s="102"/>
      <c r="BB188" s="102"/>
      <c r="BC188" s="102"/>
      <c r="BD188" s="102"/>
      <c r="BE188" s="102"/>
      <c r="BF188" s="102"/>
      <c r="BG188" s="102"/>
      <c r="BH188" s="102"/>
      <c r="BI188" s="102"/>
      <c r="BJ188" s="102"/>
      <c r="BK188" s="102"/>
      <c r="BL188" s="102"/>
      <c r="BM188" s="102"/>
      <c r="BN188" s="102"/>
      <c r="BO188" s="102"/>
      <c r="BP188" s="102"/>
      <c r="BQ188" s="102"/>
      <c r="BR188" s="102"/>
      <c r="BS188" s="102"/>
      <c r="BT188" s="102"/>
      <c r="BU188" s="102"/>
      <c r="BV188" s="102"/>
      <c r="BW188" s="102"/>
      <c r="BX188" s="102"/>
      <c r="BY188" s="102"/>
      <c r="BZ188" s="102"/>
      <c r="CA188" s="102"/>
      <c r="CB188" s="102"/>
      <c r="CC188" s="102"/>
      <c r="CD188" s="102"/>
      <c r="CE188" s="102"/>
      <c r="CF188" s="102"/>
      <c r="CG188" s="102"/>
      <c r="CH188" s="102"/>
      <c r="CI188" s="102"/>
      <c r="CJ188" s="102"/>
      <c r="CK188" s="102"/>
      <c r="CL188" s="102"/>
      <c r="CM188" s="102"/>
      <c r="CN188" s="102"/>
      <c r="CO188" s="102"/>
      <c r="CP188" s="102"/>
      <c r="CQ188" s="102"/>
      <c r="CR188" s="102"/>
      <c r="CS188" s="102"/>
      <c r="CT188" s="102"/>
      <c r="CU188" s="102"/>
      <c r="CV188" s="102"/>
      <c r="CW188" s="102"/>
      <c r="CX188" s="102"/>
      <c r="CY188" s="102"/>
      <c r="CZ188" s="102"/>
      <c r="DA188" s="102"/>
      <c r="DB188" s="102"/>
      <c r="DC188" s="102"/>
      <c r="DD188" s="102"/>
      <c r="DE188" s="102"/>
      <c r="DF188" s="102"/>
      <c r="DG188" s="102"/>
      <c r="DH188" s="102"/>
      <c r="DI188" s="102"/>
      <c r="DJ188" s="102"/>
      <c r="DK188" s="102"/>
      <c r="DL188" s="102"/>
      <c r="DM188" s="102"/>
      <c r="DN188" s="102"/>
      <c r="DO188" s="102"/>
      <c r="DP188" s="102"/>
      <c r="DQ188" s="102"/>
      <c r="DR188" s="102"/>
      <c r="DS188" s="102"/>
      <c r="DT188" s="105"/>
      <c r="DU188" s="102"/>
      <c r="DV188" s="102"/>
      <c r="DW188" s="102"/>
      <c r="DX188" s="102"/>
      <c r="DY188" s="102"/>
      <c r="DZ188" s="102"/>
      <c r="EA188" s="102"/>
      <c r="EB188" s="102"/>
      <c r="EC188" s="102"/>
      <c r="ED188" s="102"/>
      <c r="EE188" s="102"/>
      <c r="EF188" s="102"/>
      <c r="EG188" s="102"/>
      <c r="EH188" s="102"/>
      <c r="EI188" s="102"/>
      <c r="EJ188" s="102"/>
      <c r="EK188" s="102"/>
      <c r="EL188" s="102"/>
      <c r="EM188" s="102"/>
    </row>
    <row r="189" spans="1:143" ht="15.75" customHeight="1" x14ac:dyDescent="0.55000000000000004">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c r="BC189" s="102"/>
      <c r="BD189" s="102"/>
      <c r="BE189" s="102"/>
      <c r="BF189" s="102"/>
      <c r="BG189" s="102"/>
      <c r="BH189" s="102"/>
      <c r="BI189" s="102"/>
      <c r="BJ189" s="102"/>
      <c r="BK189" s="102"/>
      <c r="BL189" s="102"/>
      <c r="BM189" s="102"/>
      <c r="BN189" s="102"/>
      <c r="BO189" s="102"/>
      <c r="BP189" s="102"/>
      <c r="BQ189" s="102"/>
      <c r="BR189" s="102"/>
      <c r="BS189" s="102"/>
      <c r="BT189" s="102"/>
      <c r="BU189" s="102"/>
      <c r="BV189" s="102"/>
      <c r="BW189" s="102"/>
      <c r="BX189" s="102"/>
      <c r="BY189" s="102"/>
      <c r="BZ189" s="102"/>
      <c r="CA189" s="102"/>
      <c r="CB189" s="102"/>
      <c r="CC189" s="102"/>
      <c r="CD189" s="102"/>
      <c r="CE189" s="102"/>
      <c r="CF189" s="102"/>
      <c r="CG189" s="102"/>
      <c r="CH189" s="102"/>
      <c r="CI189" s="102"/>
      <c r="CJ189" s="102"/>
      <c r="CK189" s="102"/>
      <c r="CL189" s="102"/>
      <c r="CM189" s="102"/>
      <c r="CN189" s="102"/>
      <c r="CO189" s="102"/>
      <c r="CP189" s="102"/>
      <c r="CQ189" s="102"/>
      <c r="CR189" s="102"/>
      <c r="CS189" s="102"/>
      <c r="CT189" s="102"/>
      <c r="CU189" s="102"/>
      <c r="CV189" s="102"/>
      <c r="CW189" s="102"/>
      <c r="CX189" s="102"/>
      <c r="CY189" s="102"/>
      <c r="CZ189" s="102"/>
      <c r="DA189" s="102"/>
      <c r="DB189" s="102"/>
      <c r="DC189" s="102"/>
      <c r="DD189" s="102"/>
      <c r="DE189" s="102"/>
      <c r="DF189" s="102"/>
      <c r="DG189" s="102"/>
      <c r="DH189" s="102"/>
      <c r="DI189" s="102"/>
      <c r="DJ189" s="102"/>
      <c r="DK189" s="102"/>
      <c r="DL189" s="102"/>
      <c r="DM189" s="102"/>
      <c r="DN189" s="102"/>
      <c r="DO189" s="102"/>
      <c r="DP189" s="102"/>
      <c r="DQ189" s="102"/>
      <c r="DR189" s="102"/>
      <c r="DS189" s="102"/>
      <c r="DT189" s="105"/>
      <c r="DU189" s="102"/>
      <c r="DV189" s="102"/>
      <c r="DW189" s="102"/>
      <c r="DX189" s="102"/>
      <c r="DY189" s="102"/>
      <c r="DZ189" s="102"/>
      <c r="EA189" s="102"/>
      <c r="EB189" s="102"/>
      <c r="EC189" s="102"/>
      <c r="ED189" s="102"/>
      <c r="EE189" s="102"/>
      <c r="EF189" s="102"/>
      <c r="EG189" s="102"/>
      <c r="EH189" s="102"/>
      <c r="EI189" s="102"/>
      <c r="EJ189" s="102"/>
      <c r="EK189" s="102"/>
      <c r="EL189" s="102"/>
      <c r="EM189" s="102"/>
    </row>
    <row r="190" spans="1:143" ht="15.75" customHeight="1" x14ac:dyDescent="0.55000000000000004">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c r="AZ190" s="102"/>
      <c r="BA190" s="102"/>
      <c r="BB190" s="102"/>
      <c r="BC190" s="102"/>
      <c r="BD190" s="102"/>
      <c r="BE190" s="102"/>
      <c r="BF190" s="102"/>
      <c r="BG190" s="102"/>
      <c r="BH190" s="102"/>
      <c r="BI190" s="102"/>
      <c r="BJ190" s="102"/>
      <c r="BK190" s="102"/>
      <c r="BL190" s="102"/>
      <c r="BM190" s="102"/>
      <c r="BN190" s="102"/>
      <c r="BO190" s="102"/>
      <c r="BP190" s="102"/>
      <c r="BQ190" s="102"/>
      <c r="BR190" s="102"/>
      <c r="BS190" s="102"/>
      <c r="BT190" s="102"/>
      <c r="BU190" s="102"/>
      <c r="BV190" s="102"/>
      <c r="BW190" s="102"/>
      <c r="BX190" s="102"/>
      <c r="BY190" s="102"/>
      <c r="BZ190" s="102"/>
      <c r="CA190" s="102"/>
      <c r="CB190" s="102"/>
      <c r="CC190" s="102"/>
      <c r="CD190" s="102"/>
      <c r="CE190" s="102"/>
      <c r="CF190" s="102"/>
      <c r="CG190" s="102"/>
      <c r="CH190" s="102"/>
      <c r="CI190" s="102"/>
      <c r="CJ190" s="102"/>
      <c r="CK190" s="102"/>
      <c r="CL190" s="102"/>
      <c r="CM190" s="102"/>
      <c r="CN190" s="102"/>
      <c r="CO190" s="102"/>
      <c r="CP190" s="102"/>
      <c r="CQ190" s="102"/>
      <c r="CR190" s="102"/>
      <c r="CS190" s="102"/>
      <c r="CT190" s="102"/>
      <c r="CU190" s="102"/>
      <c r="CV190" s="102"/>
      <c r="CW190" s="102"/>
      <c r="CX190" s="102"/>
      <c r="CY190" s="102"/>
      <c r="CZ190" s="102"/>
      <c r="DA190" s="102"/>
      <c r="DB190" s="102"/>
      <c r="DC190" s="102"/>
      <c r="DD190" s="102"/>
      <c r="DE190" s="102"/>
      <c r="DF190" s="102"/>
      <c r="DG190" s="102"/>
      <c r="DH190" s="102"/>
      <c r="DI190" s="102"/>
      <c r="DJ190" s="102"/>
      <c r="DK190" s="102"/>
      <c r="DL190" s="102"/>
      <c r="DM190" s="102"/>
      <c r="DN190" s="102"/>
      <c r="DO190" s="102"/>
      <c r="DP190" s="102"/>
      <c r="DQ190" s="102"/>
      <c r="DR190" s="102"/>
      <c r="DS190" s="102"/>
      <c r="DT190" s="105"/>
      <c r="DU190" s="102"/>
      <c r="DV190" s="102"/>
      <c r="DW190" s="102"/>
      <c r="DX190" s="102"/>
      <c r="DY190" s="102"/>
      <c r="DZ190" s="102"/>
      <c r="EA190" s="102"/>
      <c r="EB190" s="102"/>
      <c r="EC190" s="102"/>
      <c r="ED190" s="102"/>
      <c r="EE190" s="102"/>
      <c r="EF190" s="102"/>
      <c r="EG190" s="102"/>
      <c r="EH190" s="102"/>
      <c r="EI190" s="102"/>
      <c r="EJ190" s="102"/>
      <c r="EK190" s="102"/>
      <c r="EL190" s="102"/>
      <c r="EM190" s="102"/>
    </row>
    <row r="191" spans="1:143" ht="15.75" customHeight="1" x14ac:dyDescent="0.55000000000000004">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2"/>
      <c r="AP191" s="102"/>
      <c r="AQ191" s="102"/>
      <c r="AR191" s="102"/>
      <c r="AS191" s="102"/>
      <c r="AT191" s="102"/>
      <c r="AU191" s="102"/>
      <c r="AV191" s="102"/>
      <c r="AW191" s="102"/>
      <c r="AX191" s="102"/>
      <c r="AY191" s="102"/>
      <c r="AZ191" s="102"/>
      <c r="BA191" s="102"/>
      <c r="BB191" s="102"/>
      <c r="BC191" s="102"/>
      <c r="BD191" s="102"/>
      <c r="BE191" s="102"/>
      <c r="BF191" s="102"/>
      <c r="BG191" s="102"/>
      <c r="BH191" s="102"/>
      <c r="BI191" s="102"/>
      <c r="BJ191" s="102"/>
      <c r="BK191" s="102"/>
      <c r="BL191" s="102"/>
      <c r="BM191" s="102"/>
      <c r="BN191" s="102"/>
      <c r="BO191" s="102"/>
      <c r="BP191" s="102"/>
      <c r="BQ191" s="102"/>
      <c r="BR191" s="102"/>
      <c r="BS191" s="102"/>
      <c r="BT191" s="102"/>
      <c r="BU191" s="102"/>
      <c r="BV191" s="102"/>
      <c r="BW191" s="102"/>
      <c r="BX191" s="102"/>
      <c r="BY191" s="102"/>
      <c r="BZ191" s="102"/>
      <c r="CA191" s="102"/>
      <c r="CB191" s="102"/>
      <c r="CC191" s="102"/>
      <c r="CD191" s="102"/>
      <c r="CE191" s="102"/>
      <c r="CF191" s="102"/>
      <c r="CG191" s="102"/>
      <c r="CH191" s="102"/>
      <c r="CI191" s="102"/>
      <c r="CJ191" s="102"/>
      <c r="CK191" s="102"/>
      <c r="CL191" s="102"/>
      <c r="CM191" s="102"/>
      <c r="CN191" s="102"/>
      <c r="CO191" s="102"/>
      <c r="CP191" s="102"/>
      <c r="CQ191" s="102"/>
      <c r="CR191" s="102"/>
      <c r="CS191" s="102"/>
      <c r="CT191" s="102"/>
      <c r="CU191" s="102"/>
      <c r="CV191" s="102"/>
      <c r="CW191" s="102"/>
      <c r="CX191" s="102"/>
      <c r="CY191" s="102"/>
      <c r="CZ191" s="102"/>
      <c r="DA191" s="102"/>
      <c r="DB191" s="102"/>
      <c r="DC191" s="102"/>
      <c r="DD191" s="102"/>
      <c r="DE191" s="102"/>
      <c r="DF191" s="102"/>
      <c r="DG191" s="102"/>
      <c r="DH191" s="102"/>
      <c r="DI191" s="102"/>
      <c r="DJ191" s="102"/>
      <c r="DK191" s="102"/>
      <c r="DL191" s="102"/>
      <c r="DM191" s="102"/>
      <c r="DN191" s="102"/>
      <c r="DO191" s="102"/>
      <c r="DP191" s="102"/>
      <c r="DQ191" s="102"/>
      <c r="DR191" s="102"/>
      <c r="DS191" s="102"/>
      <c r="DT191" s="105"/>
      <c r="DU191" s="102"/>
      <c r="DV191" s="102"/>
      <c r="DW191" s="102"/>
      <c r="DX191" s="102"/>
      <c r="DY191" s="102"/>
      <c r="DZ191" s="102"/>
      <c r="EA191" s="102"/>
      <c r="EB191" s="102"/>
      <c r="EC191" s="102"/>
      <c r="ED191" s="102"/>
      <c r="EE191" s="102"/>
      <c r="EF191" s="102"/>
      <c r="EG191" s="102"/>
      <c r="EH191" s="102"/>
      <c r="EI191" s="102"/>
      <c r="EJ191" s="102"/>
      <c r="EK191" s="102"/>
      <c r="EL191" s="102"/>
      <c r="EM191" s="102"/>
    </row>
    <row r="192" spans="1:143" ht="15.75" customHeight="1" x14ac:dyDescent="0.55000000000000004">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c r="BC192" s="102"/>
      <c r="BD192" s="102"/>
      <c r="BE192" s="102"/>
      <c r="BF192" s="102"/>
      <c r="BG192" s="102"/>
      <c r="BH192" s="102"/>
      <c r="BI192" s="102"/>
      <c r="BJ192" s="102"/>
      <c r="BK192" s="102"/>
      <c r="BL192" s="102"/>
      <c r="BM192" s="102"/>
      <c r="BN192" s="102"/>
      <c r="BO192" s="102"/>
      <c r="BP192" s="102"/>
      <c r="BQ192" s="102"/>
      <c r="BR192" s="102"/>
      <c r="BS192" s="102"/>
      <c r="BT192" s="102"/>
      <c r="BU192" s="102"/>
      <c r="BV192" s="102"/>
      <c r="BW192" s="102"/>
      <c r="BX192" s="102"/>
      <c r="BY192" s="102"/>
      <c r="BZ192" s="102"/>
      <c r="CA192" s="102"/>
      <c r="CB192" s="102"/>
      <c r="CC192" s="102"/>
      <c r="CD192" s="102"/>
      <c r="CE192" s="102"/>
      <c r="CF192" s="102"/>
      <c r="CG192" s="102"/>
      <c r="CH192" s="102"/>
      <c r="CI192" s="102"/>
      <c r="CJ192" s="102"/>
      <c r="CK192" s="102"/>
      <c r="CL192" s="102"/>
      <c r="CM192" s="102"/>
      <c r="CN192" s="102"/>
      <c r="CO192" s="102"/>
      <c r="CP192" s="102"/>
      <c r="CQ192" s="102"/>
      <c r="CR192" s="102"/>
      <c r="CS192" s="102"/>
      <c r="CT192" s="102"/>
      <c r="CU192" s="102"/>
      <c r="CV192" s="102"/>
      <c r="CW192" s="102"/>
      <c r="CX192" s="102"/>
      <c r="CY192" s="102"/>
      <c r="CZ192" s="102"/>
      <c r="DA192" s="102"/>
      <c r="DB192" s="102"/>
      <c r="DC192" s="102"/>
      <c r="DD192" s="102"/>
      <c r="DE192" s="102"/>
      <c r="DF192" s="102"/>
      <c r="DG192" s="102"/>
      <c r="DH192" s="102"/>
      <c r="DI192" s="102"/>
      <c r="DJ192" s="102"/>
      <c r="DK192" s="102"/>
      <c r="DL192" s="102"/>
      <c r="DM192" s="102"/>
      <c r="DN192" s="102"/>
      <c r="DO192" s="102"/>
      <c r="DP192" s="102"/>
      <c r="DQ192" s="102"/>
      <c r="DR192" s="102"/>
      <c r="DS192" s="102"/>
      <c r="DT192" s="105"/>
      <c r="DU192" s="102"/>
      <c r="DV192" s="102"/>
      <c r="DW192" s="102"/>
      <c r="DX192" s="102"/>
      <c r="DY192" s="102"/>
      <c r="DZ192" s="102"/>
      <c r="EA192" s="102"/>
      <c r="EB192" s="102"/>
      <c r="EC192" s="102"/>
      <c r="ED192" s="102"/>
      <c r="EE192" s="102"/>
      <c r="EF192" s="102"/>
      <c r="EG192" s="102"/>
      <c r="EH192" s="102"/>
      <c r="EI192" s="102"/>
      <c r="EJ192" s="102"/>
      <c r="EK192" s="102"/>
      <c r="EL192" s="102"/>
      <c r="EM192" s="102"/>
    </row>
    <row r="193" spans="1:143" ht="15.75" customHeight="1" x14ac:dyDescent="0.55000000000000004">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c r="AZ193" s="102"/>
      <c r="BA193" s="102"/>
      <c r="BB193" s="102"/>
      <c r="BC193" s="102"/>
      <c r="BD193" s="102"/>
      <c r="BE193" s="102"/>
      <c r="BF193" s="102"/>
      <c r="BG193" s="102"/>
      <c r="BH193" s="102"/>
      <c r="BI193" s="102"/>
      <c r="BJ193" s="102"/>
      <c r="BK193" s="102"/>
      <c r="BL193" s="102"/>
      <c r="BM193" s="102"/>
      <c r="BN193" s="102"/>
      <c r="BO193" s="102"/>
      <c r="BP193" s="102"/>
      <c r="BQ193" s="102"/>
      <c r="BR193" s="102"/>
      <c r="BS193" s="102"/>
      <c r="BT193" s="102"/>
      <c r="BU193" s="102"/>
      <c r="BV193" s="102"/>
      <c r="BW193" s="102"/>
      <c r="BX193" s="102"/>
      <c r="BY193" s="102"/>
      <c r="BZ193" s="102"/>
      <c r="CA193" s="102"/>
      <c r="CB193" s="102"/>
      <c r="CC193" s="102"/>
      <c r="CD193" s="102"/>
      <c r="CE193" s="102"/>
      <c r="CF193" s="102"/>
      <c r="CG193" s="102"/>
      <c r="CH193" s="102"/>
      <c r="CI193" s="102"/>
      <c r="CJ193" s="102"/>
      <c r="CK193" s="102"/>
      <c r="CL193" s="102"/>
      <c r="CM193" s="102"/>
      <c r="CN193" s="102"/>
      <c r="CO193" s="102"/>
      <c r="CP193" s="102"/>
      <c r="CQ193" s="102"/>
      <c r="CR193" s="102"/>
      <c r="CS193" s="102"/>
      <c r="CT193" s="102"/>
      <c r="CU193" s="102"/>
      <c r="CV193" s="102"/>
      <c r="CW193" s="102"/>
      <c r="CX193" s="102"/>
      <c r="CY193" s="102"/>
      <c r="CZ193" s="102"/>
      <c r="DA193" s="102"/>
      <c r="DB193" s="102"/>
      <c r="DC193" s="102"/>
      <c r="DD193" s="102"/>
      <c r="DE193" s="102"/>
      <c r="DF193" s="102"/>
      <c r="DG193" s="102"/>
      <c r="DH193" s="102"/>
      <c r="DI193" s="102"/>
      <c r="DJ193" s="102"/>
      <c r="DK193" s="102"/>
      <c r="DL193" s="102"/>
      <c r="DM193" s="102"/>
      <c r="DN193" s="102"/>
      <c r="DO193" s="102"/>
      <c r="DP193" s="102"/>
      <c r="DQ193" s="102"/>
      <c r="DR193" s="102"/>
      <c r="DS193" s="102"/>
      <c r="DT193" s="105"/>
      <c r="DU193" s="102"/>
      <c r="DV193" s="102"/>
      <c r="DW193" s="102"/>
      <c r="DX193" s="102"/>
      <c r="DY193" s="102"/>
      <c r="DZ193" s="102"/>
      <c r="EA193" s="102"/>
      <c r="EB193" s="102"/>
      <c r="EC193" s="102"/>
      <c r="ED193" s="102"/>
      <c r="EE193" s="102"/>
      <c r="EF193" s="102"/>
      <c r="EG193" s="102"/>
      <c r="EH193" s="102"/>
      <c r="EI193" s="102"/>
      <c r="EJ193" s="102"/>
      <c r="EK193" s="102"/>
      <c r="EL193" s="102"/>
      <c r="EM193" s="102"/>
    </row>
    <row r="194" spans="1:143" ht="15.75" customHeight="1" x14ac:dyDescent="0.5500000000000000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c r="CG194" s="102"/>
      <c r="CH194" s="102"/>
      <c r="CI194" s="102"/>
      <c r="CJ194" s="102"/>
      <c r="CK194" s="102"/>
      <c r="CL194" s="102"/>
      <c r="CM194" s="102"/>
      <c r="CN194" s="102"/>
      <c r="CO194" s="102"/>
      <c r="CP194" s="102"/>
      <c r="CQ194" s="102"/>
      <c r="CR194" s="102"/>
      <c r="CS194" s="102"/>
      <c r="CT194" s="102"/>
      <c r="CU194" s="102"/>
      <c r="CV194" s="102"/>
      <c r="CW194" s="102"/>
      <c r="CX194" s="102"/>
      <c r="CY194" s="102"/>
      <c r="CZ194" s="102"/>
      <c r="DA194" s="102"/>
      <c r="DB194" s="102"/>
      <c r="DC194" s="102"/>
      <c r="DD194" s="102"/>
      <c r="DE194" s="102"/>
      <c r="DF194" s="102"/>
      <c r="DG194" s="102"/>
      <c r="DH194" s="102"/>
      <c r="DI194" s="102"/>
      <c r="DJ194" s="102"/>
      <c r="DK194" s="102"/>
      <c r="DL194" s="102"/>
      <c r="DM194" s="102"/>
      <c r="DN194" s="102"/>
      <c r="DO194" s="102"/>
      <c r="DP194" s="102"/>
      <c r="DQ194" s="102"/>
      <c r="DR194" s="102"/>
      <c r="DS194" s="102"/>
      <c r="DT194" s="105"/>
      <c r="DU194" s="102"/>
      <c r="DV194" s="102"/>
      <c r="DW194" s="102"/>
      <c r="DX194" s="102"/>
      <c r="DY194" s="102"/>
      <c r="DZ194" s="102"/>
      <c r="EA194" s="102"/>
      <c r="EB194" s="102"/>
      <c r="EC194" s="102"/>
      <c r="ED194" s="102"/>
      <c r="EE194" s="102"/>
      <c r="EF194" s="102"/>
      <c r="EG194" s="102"/>
      <c r="EH194" s="102"/>
      <c r="EI194" s="102"/>
      <c r="EJ194" s="102"/>
      <c r="EK194" s="102"/>
      <c r="EL194" s="102"/>
      <c r="EM194" s="102"/>
    </row>
    <row r="195" spans="1:143" ht="15.75" customHeight="1" x14ac:dyDescent="0.55000000000000004">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02"/>
      <c r="BG195" s="102"/>
      <c r="BH195" s="102"/>
      <c r="BI195" s="102"/>
      <c r="BJ195" s="102"/>
      <c r="BK195" s="102"/>
      <c r="BL195" s="102"/>
      <c r="BM195" s="102"/>
      <c r="BN195" s="102"/>
      <c r="BO195" s="102"/>
      <c r="BP195" s="102"/>
      <c r="BQ195" s="102"/>
      <c r="BR195" s="102"/>
      <c r="BS195" s="102"/>
      <c r="BT195" s="102"/>
      <c r="BU195" s="102"/>
      <c r="BV195" s="102"/>
      <c r="BW195" s="102"/>
      <c r="BX195" s="102"/>
      <c r="BY195" s="102"/>
      <c r="BZ195" s="102"/>
      <c r="CA195" s="102"/>
      <c r="CB195" s="102"/>
      <c r="CC195" s="102"/>
      <c r="CD195" s="102"/>
      <c r="CE195" s="102"/>
      <c r="CF195" s="102"/>
      <c r="CG195" s="102"/>
      <c r="CH195" s="102"/>
      <c r="CI195" s="102"/>
      <c r="CJ195" s="102"/>
      <c r="CK195" s="102"/>
      <c r="CL195" s="102"/>
      <c r="CM195" s="102"/>
      <c r="CN195" s="102"/>
      <c r="CO195" s="102"/>
      <c r="CP195" s="102"/>
      <c r="CQ195" s="102"/>
      <c r="CR195" s="102"/>
      <c r="CS195" s="102"/>
      <c r="CT195" s="102"/>
      <c r="CU195" s="102"/>
      <c r="CV195" s="102"/>
      <c r="CW195" s="102"/>
      <c r="CX195" s="102"/>
      <c r="CY195" s="102"/>
      <c r="CZ195" s="102"/>
      <c r="DA195" s="102"/>
      <c r="DB195" s="102"/>
      <c r="DC195" s="102"/>
      <c r="DD195" s="102"/>
      <c r="DE195" s="102"/>
      <c r="DF195" s="102"/>
      <c r="DG195" s="102"/>
      <c r="DH195" s="102"/>
      <c r="DI195" s="102"/>
      <c r="DJ195" s="102"/>
      <c r="DK195" s="102"/>
      <c r="DL195" s="102"/>
      <c r="DM195" s="102"/>
      <c r="DN195" s="102"/>
      <c r="DO195" s="102"/>
      <c r="DP195" s="102"/>
      <c r="DQ195" s="102"/>
      <c r="DR195" s="102"/>
      <c r="DS195" s="102"/>
      <c r="DT195" s="105"/>
      <c r="DU195" s="102"/>
      <c r="DV195" s="102"/>
      <c r="DW195" s="102"/>
      <c r="DX195" s="102"/>
      <c r="DY195" s="102"/>
      <c r="DZ195" s="102"/>
      <c r="EA195" s="102"/>
      <c r="EB195" s="102"/>
      <c r="EC195" s="102"/>
      <c r="ED195" s="102"/>
      <c r="EE195" s="102"/>
      <c r="EF195" s="102"/>
      <c r="EG195" s="102"/>
      <c r="EH195" s="102"/>
      <c r="EI195" s="102"/>
      <c r="EJ195" s="102"/>
      <c r="EK195" s="102"/>
      <c r="EL195" s="102"/>
      <c r="EM195" s="102"/>
    </row>
    <row r="196" spans="1:143" ht="15.75" customHeight="1" x14ac:dyDescent="0.55000000000000004">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c r="BC196" s="102"/>
      <c r="BD196" s="102"/>
      <c r="BE196" s="102"/>
      <c r="BF196" s="102"/>
      <c r="BG196" s="102"/>
      <c r="BH196" s="102"/>
      <c r="BI196" s="102"/>
      <c r="BJ196" s="102"/>
      <c r="BK196" s="102"/>
      <c r="BL196" s="102"/>
      <c r="BM196" s="102"/>
      <c r="BN196" s="102"/>
      <c r="BO196" s="102"/>
      <c r="BP196" s="102"/>
      <c r="BQ196" s="102"/>
      <c r="BR196" s="102"/>
      <c r="BS196" s="102"/>
      <c r="BT196" s="102"/>
      <c r="BU196" s="102"/>
      <c r="BV196" s="102"/>
      <c r="BW196" s="102"/>
      <c r="BX196" s="102"/>
      <c r="BY196" s="102"/>
      <c r="BZ196" s="102"/>
      <c r="CA196" s="102"/>
      <c r="CB196" s="102"/>
      <c r="CC196" s="102"/>
      <c r="CD196" s="102"/>
      <c r="CE196" s="102"/>
      <c r="CF196" s="102"/>
      <c r="CG196" s="102"/>
      <c r="CH196" s="102"/>
      <c r="CI196" s="102"/>
      <c r="CJ196" s="102"/>
      <c r="CK196" s="102"/>
      <c r="CL196" s="102"/>
      <c r="CM196" s="102"/>
      <c r="CN196" s="102"/>
      <c r="CO196" s="102"/>
      <c r="CP196" s="102"/>
      <c r="CQ196" s="102"/>
      <c r="CR196" s="102"/>
      <c r="CS196" s="102"/>
      <c r="CT196" s="102"/>
      <c r="CU196" s="102"/>
      <c r="CV196" s="102"/>
      <c r="CW196" s="102"/>
      <c r="CX196" s="102"/>
      <c r="CY196" s="102"/>
      <c r="CZ196" s="102"/>
      <c r="DA196" s="102"/>
      <c r="DB196" s="102"/>
      <c r="DC196" s="102"/>
      <c r="DD196" s="102"/>
      <c r="DE196" s="102"/>
      <c r="DF196" s="102"/>
      <c r="DG196" s="102"/>
      <c r="DH196" s="102"/>
      <c r="DI196" s="102"/>
      <c r="DJ196" s="102"/>
      <c r="DK196" s="102"/>
      <c r="DL196" s="102"/>
      <c r="DM196" s="102"/>
      <c r="DN196" s="102"/>
      <c r="DO196" s="102"/>
      <c r="DP196" s="102"/>
      <c r="DQ196" s="102"/>
      <c r="DR196" s="102"/>
      <c r="DS196" s="102"/>
      <c r="DT196" s="105"/>
      <c r="DU196" s="102"/>
      <c r="DV196" s="102"/>
      <c r="DW196" s="102"/>
      <c r="DX196" s="102"/>
      <c r="DY196" s="102"/>
      <c r="DZ196" s="102"/>
      <c r="EA196" s="102"/>
      <c r="EB196" s="102"/>
      <c r="EC196" s="102"/>
      <c r="ED196" s="102"/>
      <c r="EE196" s="102"/>
      <c r="EF196" s="102"/>
      <c r="EG196" s="102"/>
      <c r="EH196" s="102"/>
      <c r="EI196" s="102"/>
      <c r="EJ196" s="102"/>
      <c r="EK196" s="102"/>
      <c r="EL196" s="102"/>
      <c r="EM196" s="102"/>
    </row>
    <row r="197" spans="1:143" ht="15.75" customHeight="1" x14ac:dyDescent="0.55000000000000004">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02"/>
      <c r="BG197" s="102"/>
      <c r="BH197" s="102"/>
      <c r="BI197" s="102"/>
      <c r="BJ197" s="102"/>
      <c r="BK197" s="102"/>
      <c r="BL197" s="102"/>
      <c r="BM197" s="102"/>
      <c r="BN197" s="102"/>
      <c r="BO197" s="102"/>
      <c r="BP197" s="102"/>
      <c r="BQ197" s="102"/>
      <c r="BR197" s="102"/>
      <c r="BS197" s="102"/>
      <c r="BT197" s="102"/>
      <c r="BU197" s="102"/>
      <c r="BV197" s="102"/>
      <c r="BW197" s="102"/>
      <c r="BX197" s="102"/>
      <c r="BY197" s="102"/>
      <c r="BZ197" s="102"/>
      <c r="CA197" s="102"/>
      <c r="CB197" s="102"/>
      <c r="CC197" s="102"/>
      <c r="CD197" s="102"/>
      <c r="CE197" s="102"/>
      <c r="CF197" s="102"/>
      <c r="CG197" s="102"/>
      <c r="CH197" s="102"/>
      <c r="CI197" s="102"/>
      <c r="CJ197" s="102"/>
      <c r="CK197" s="102"/>
      <c r="CL197" s="102"/>
      <c r="CM197" s="102"/>
      <c r="CN197" s="102"/>
      <c r="CO197" s="102"/>
      <c r="CP197" s="102"/>
      <c r="CQ197" s="102"/>
      <c r="CR197" s="102"/>
      <c r="CS197" s="102"/>
      <c r="CT197" s="102"/>
      <c r="CU197" s="102"/>
      <c r="CV197" s="102"/>
      <c r="CW197" s="102"/>
      <c r="CX197" s="102"/>
      <c r="CY197" s="102"/>
      <c r="CZ197" s="102"/>
      <c r="DA197" s="102"/>
      <c r="DB197" s="102"/>
      <c r="DC197" s="102"/>
      <c r="DD197" s="102"/>
      <c r="DE197" s="102"/>
      <c r="DF197" s="102"/>
      <c r="DG197" s="102"/>
      <c r="DH197" s="102"/>
      <c r="DI197" s="102"/>
      <c r="DJ197" s="102"/>
      <c r="DK197" s="102"/>
      <c r="DL197" s="102"/>
      <c r="DM197" s="102"/>
      <c r="DN197" s="102"/>
      <c r="DO197" s="102"/>
      <c r="DP197" s="102"/>
      <c r="DQ197" s="102"/>
      <c r="DR197" s="102"/>
      <c r="DS197" s="102"/>
      <c r="DT197" s="105"/>
      <c r="DU197" s="102"/>
      <c r="DV197" s="102"/>
      <c r="DW197" s="102"/>
      <c r="DX197" s="102"/>
      <c r="DY197" s="102"/>
      <c r="DZ197" s="102"/>
      <c r="EA197" s="102"/>
      <c r="EB197" s="102"/>
      <c r="EC197" s="102"/>
      <c r="ED197" s="102"/>
      <c r="EE197" s="102"/>
      <c r="EF197" s="102"/>
      <c r="EG197" s="102"/>
      <c r="EH197" s="102"/>
      <c r="EI197" s="102"/>
      <c r="EJ197" s="102"/>
      <c r="EK197" s="102"/>
      <c r="EL197" s="102"/>
      <c r="EM197" s="102"/>
    </row>
    <row r="198" spans="1:143" ht="15.75" customHeight="1" x14ac:dyDescent="0.55000000000000004">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c r="BC198" s="102"/>
      <c r="BD198" s="102"/>
      <c r="BE198" s="102"/>
      <c r="BF198" s="102"/>
      <c r="BG198" s="102"/>
      <c r="BH198" s="102"/>
      <c r="BI198" s="102"/>
      <c r="BJ198" s="102"/>
      <c r="BK198" s="102"/>
      <c r="BL198" s="102"/>
      <c r="BM198" s="102"/>
      <c r="BN198" s="102"/>
      <c r="BO198" s="102"/>
      <c r="BP198" s="102"/>
      <c r="BQ198" s="102"/>
      <c r="BR198" s="102"/>
      <c r="BS198" s="102"/>
      <c r="BT198" s="102"/>
      <c r="BU198" s="102"/>
      <c r="BV198" s="102"/>
      <c r="BW198" s="102"/>
      <c r="BX198" s="102"/>
      <c r="BY198" s="102"/>
      <c r="BZ198" s="102"/>
      <c r="CA198" s="102"/>
      <c r="CB198" s="102"/>
      <c r="CC198" s="102"/>
      <c r="CD198" s="102"/>
      <c r="CE198" s="102"/>
      <c r="CF198" s="102"/>
      <c r="CG198" s="102"/>
      <c r="CH198" s="102"/>
      <c r="CI198" s="102"/>
      <c r="CJ198" s="102"/>
      <c r="CK198" s="102"/>
      <c r="CL198" s="102"/>
      <c r="CM198" s="102"/>
      <c r="CN198" s="102"/>
      <c r="CO198" s="102"/>
      <c r="CP198" s="102"/>
      <c r="CQ198" s="102"/>
      <c r="CR198" s="102"/>
      <c r="CS198" s="102"/>
      <c r="CT198" s="102"/>
      <c r="CU198" s="102"/>
      <c r="CV198" s="102"/>
      <c r="CW198" s="102"/>
      <c r="CX198" s="102"/>
      <c r="CY198" s="102"/>
      <c r="CZ198" s="102"/>
      <c r="DA198" s="102"/>
      <c r="DB198" s="102"/>
      <c r="DC198" s="102"/>
      <c r="DD198" s="102"/>
      <c r="DE198" s="102"/>
      <c r="DF198" s="102"/>
      <c r="DG198" s="102"/>
      <c r="DH198" s="102"/>
      <c r="DI198" s="102"/>
      <c r="DJ198" s="102"/>
      <c r="DK198" s="102"/>
      <c r="DL198" s="102"/>
      <c r="DM198" s="102"/>
      <c r="DN198" s="102"/>
      <c r="DO198" s="102"/>
      <c r="DP198" s="102"/>
      <c r="DQ198" s="102"/>
      <c r="DR198" s="102"/>
      <c r="DS198" s="102"/>
      <c r="DT198" s="105"/>
      <c r="DU198" s="102"/>
      <c r="DV198" s="102"/>
      <c r="DW198" s="102"/>
      <c r="DX198" s="102"/>
      <c r="DY198" s="102"/>
      <c r="DZ198" s="102"/>
      <c r="EA198" s="102"/>
      <c r="EB198" s="102"/>
      <c r="EC198" s="102"/>
      <c r="ED198" s="102"/>
      <c r="EE198" s="102"/>
      <c r="EF198" s="102"/>
      <c r="EG198" s="102"/>
      <c r="EH198" s="102"/>
      <c r="EI198" s="102"/>
      <c r="EJ198" s="102"/>
      <c r="EK198" s="102"/>
      <c r="EL198" s="102"/>
      <c r="EM198" s="102"/>
    </row>
    <row r="199" spans="1:143" ht="15.75" customHeight="1" x14ac:dyDescent="0.55000000000000004">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c r="AZ199" s="102"/>
      <c r="BA199" s="102"/>
      <c r="BB199" s="102"/>
      <c r="BC199" s="102"/>
      <c r="BD199" s="102"/>
      <c r="BE199" s="102"/>
      <c r="BF199" s="102"/>
      <c r="BG199" s="102"/>
      <c r="BH199" s="102"/>
      <c r="BI199" s="102"/>
      <c r="BJ199" s="102"/>
      <c r="BK199" s="102"/>
      <c r="BL199" s="102"/>
      <c r="BM199" s="102"/>
      <c r="BN199" s="102"/>
      <c r="BO199" s="102"/>
      <c r="BP199" s="102"/>
      <c r="BQ199" s="102"/>
      <c r="BR199" s="102"/>
      <c r="BS199" s="102"/>
      <c r="BT199" s="102"/>
      <c r="BU199" s="102"/>
      <c r="BV199" s="102"/>
      <c r="BW199" s="102"/>
      <c r="BX199" s="102"/>
      <c r="BY199" s="102"/>
      <c r="BZ199" s="102"/>
      <c r="CA199" s="102"/>
      <c r="CB199" s="102"/>
      <c r="CC199" s="102"/>
      <c r="CD199" s="102"/>
      <c r="CE199" s="102"/>
      <c r="CF199" s="102"/>
      <c r="CG199" s="102"/>
      <c r="CH199" s="102"/>
      <c r="CI199" s="102"/>
      <c r="CJ199" s="102"/>
      <c r="CK199" s="102"/>
      <c r="CL199" s="102"/>
      <c r="CM199" s="102"/>
      <c r="CN199" s="102"/>
      <c r="CO199" s="102"/>
      <c r="CP199" s="102"/>
      <c r="CQ199" s="102"/>
      <c r="CR199" s="102"/>
      <c r="CS199" s="102"/>
      <c r="CT199" s="102"/>
      <c r="CU199" s="102"/>
      <c r="CV199" s="102"/>
      <c r="CW199" s="102"/>
      <c r="CX199" s="102"/>
      <c r="CY199" s="102"/>
      <c r="CZ199" s="102"/>
      <c r="DA199" s="102"/>
      <c r="DB199" s="102"/>
      <c r="DC199" s="102"/>
      <c r="DD199" s="102"/>
      <c r="DE199" s="102"/>
      <c r="DF199" s="102"/>
      <c r="DG199" s="102"/>
      <c r="DH199" s="102"/>
      <c r="DI199" s="102"/>
      <c r="DJ199" s="102"/>
      <c r="DK199" s="102"/>
      <c r="DL199" s="102"/>
      <c r="DM199" s="102"/>
      <c r="DN199" s="102"/>
      <c r="DO199" s="102"/>
      <c r="DP199" s="102"/>
      <c r="DQ199" s="102"/>
      <c r="DR199" s="102"/>
      <c r="DS199" s="102"/>
      <c r="DT199" s="105"/>
      <c r="DU199" s="102"/>
      <c r="DV199" s="102"/>
      <c r="DW199" s="102"/>
      <c r="DX199" s="102"/>
      <c r="DY199" s="102"/>
      <c r="DZ199" s="102"/>
      <c r="EA199" s="102"/>
      <c r="EB199" s="102"/>
      <c r="EC199" s="102"/>
      <c r="ED199" s="102"/>
      <c r="EE199" s="102"/>
      <c r="EF199" s="102"/>
      <c r="EG199" s="102"/>
      <c r="EH199" s="102"/>
      <c r="EI199" s="102"/>
      <c r="EJ199" s="102"/>
      <c r="EK199" s="102"/>
      <c r="EL199" s="102"/>
      <c r="EM199" s="102"/>
    </row>
    <row r="200" spans="1:143" ht="15.75" customHeight="1" x14ac:dyDescent="0.55000000000000004">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02"/>
      <c r="BG200" s="102"/>
      <c r="BH200" s="102"/>
      <c r="BI200" s="102"/>
      <c r="BJ200" s="102"/>
      <c r="BK200" s="102"/>
      <c r="BL200" s="102"/>
      <c r="BM200" s="102"/>
      <c r="BN200" s="102"/>
      <c r="BO200" s="102"/>
      <c r="BP200" s="102"/>
      <c r="BQ200" s="102"/>
      <c r="BR200" s="102"/>
      <c r="BS200" s="102"/>
      <c r="BT200" s="102"/>
      <c r="BU200" s="102"/>
      <c r="BV200" s="102"/>
      <c r="BW200" s="102"/>
      <c r="BX200" s="102"/>
      <c r="BY200" s="102"/>
      <c r="BZ200" s="102"/>
      <c r="CA200" s="102"/>
      <c r="CB200" s="102"/>
      <c r="CC200" s="102"/>
      <c r="CD200" s="102"/>
      <c r="CE200" s="102"/>
      <c r="CF200" s="102"/>
      <c r="CG200" s="102"/>
      <c r="CH200" s="102"/>
      <c r="CI200" s="102"/>
      <c r="CJ200" s="102"/>
      <c r="CK200" s="102"/>
      <c r="CL200" s="102"/>
      <c r="CM200" s="102"/>
      <c r="CN200" s="102"/>
      <c r="CO200" s="102"/>
      <c r="CP200" s="102"/>
      <c r="CQ200" s="102"/>
      <c r="CR200" s="102"/>
      <c r="CS200" s="102"/>
      <c r="CT200" s="102"/>
      <c r="CU200" s="102"/>
      <c r="CV200" s="102"/>
      <c r="CW200" s="102"/>
      <c r="CX200" s="102"/>
      <c r="CY200" s="102"/>
      <c r="CZ200" s="102"/>
      <c r="DA200" s="102"/>
      <c r="DB200" s="102"/>
      <c r="DC200" s="102"/>
      <c r="DD200" s="102"/>
      <c r="DE200" s="102"/>
      <c r="DF200" s="102"/>
      <c r="DG200" s="102"/>
      <c r="DH200" s="102"/>
      <c r="DI200" s="102"/>
      <c r="DJ200" s="102"/>
      <c r="DK200" s="102"/>
      <c r="DL200" s="102"/>
      <c r="DM200" s="102"/>
      <c r="DN200" s="102"/>
      <c r="DO200" s="102"/>
      <c r="DP200" s="102"/>
      <c r="DQ200" s="102"/>
      <c r="DR200" s="102"/>
      <c r="DS200" s="102"/>
      <c r="DT200" s="105"/>
      <c r="DU200" s="102"/>
      <c r="DV200" s="102"/>
      <c r="DW200" s="102"/>
      <c r="DX200" s="102"/>
      <c r="DY200" s="102"/>
      <c r="DZ200" s="102"/>
      <c r="EA200" s="102"/>
      <c r="EB200" s="102"/>
      <c r="EC200" s="102"/>
      <c r="ED200" s="102"/>
      <c r="EE200" s="102"/>
      <c r="EF200" s="102"/>
      <c r="EG200" s="102"/>
      <c r="EH200" s="102"/>
      <c r="EI200" s="102"/>
      <c r="EJ200" s="102"/>
      <c r="EK200" s="102"/>
      <c r="EL200" s="102"/>
      <c r="EM200" s="102"/>
    </row>
    <row r="201" spans="1:143" ht="15.75" customHeight="1" x14ac:dyDescent="0.55000000000000004">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c r="BC201" s="102"/>
      <c r="BD201" s="102"/>
      <c r="BE201" s="102"/>
      <c r="BF201" s="102"/>
      <c r="BG201" s="102"/>
      <c r="BH201" s="102"/>
      <c r="BI201" s="102"/>
      <c r="BJ201" s="102"/>
      <c r="BK201" s="102"/>
      <c r="BL201" s="102"/>
      <c r="BM201" s="102"/>
      <c r="BN201" s="102"/>
      <c r="BO201" s="102"/>
      <c r="BP201" s="102"/>
      <c r="BQ201" s="102"/>
      <c r="BR201" s="102"/>
      <c r="BS201" s="102"/>
      <c r="BT201" s="102"/>
      <c r="BU201" s="102"/>
      <c r="BV201" s="102"/>
      <c r="BW201" s="102"/>
      <c r="BX201" s="102"/>
      <c r="BY201" s="102"/>
      <c r="BZ201" s="102"/>
      <c r="CA201" s="102"/>
      <c r="CB201" s="102"/>
      <c r="CC201" s="102"/>
      <c r="CD201" s="102"/>
      <c r="CE201" s="102"/>
      <c r="CF201" s="102"/>
      <c r="CG201" s="102"/>
      <c r="CH201" s="102"/>
      <c r="CI201" s="102"/>
      <c r="CJ201" s="102"/>
      <c r="CK201" s="102"/>
      <c r="CL201" s="102"/>
      <c r="CM201" s="102"/>
      <c r="CN201" s="102"/>
      <c r="CO201" s="102"/>
      <c r="CP201" s="102"/>
      <c r="CQ201" s="102"/>
      <c r="CR201" s="102"/>
      <c r="CS201" s="102"/>
      <c r="CT201" s="102"/>
      <c r="CU201" s="102"/>
      <c r="CV201" s="102"/>
      <c r="CW201" s="102"/>
      <c r="CX201" s="102"/>
      <c r="CY201" s="102"/>
      <c r="CZ201" s="102"/>
      <c r="DA201" s="102"/>
      <c r="DB201" s="102"/>
      <c r="DC201" s="102"/>
      <c r="DD201" s="102"/>
      <c r="DE201" s="102"/>
      <c r="DF201" s="102"/>
      <c r="DG201" s="102"/>
      <c r="DH201" s="102"/>
      <c r="DI201" s="102"/>
      <c r="DJ201" s="102"/>
      <c r="DK201" s="102"/>
      <c r="DL201" s="102"/>
      <c r="DM201" s="102"/>
      <c r="DN201" s="102"/>
      <c r="DO201" s="102"/>
      <c r="DP201" s="102"/>
      <c r="DQ201" s="102"/>
      <c r="DR201" s="102"/>
      <c r="DS201" s="102"/>
      <c r="DT201" s="105"/>
      <c r="DU201" s="102"/>
      <c r="DV201" s="102"/>
      <c r="DW201" s="102"/>
      <c r="DX201" s="102"/>
      <c r="DY201" s="102"/>
      <c r="DZ201" s="102"/>
      <c r="EA201" s="102"/>
      <c r="EB201" s="102"/>
      <c r="EC201" s="102"/>
      <c r="ED201" s="102"/>
      <c r="EE201" s="102"/>
      <c r="EF201" s="102"/>
      <c r="EG201" s="102"/>
      <c r="EH201" s="102"/>
      <c r="EI201" s="102"/>
      <c r="EJ201" s="102"/>
      <c r="EK201" s="102"/>
      <c r="EL201" s="102"/>
      <c r="EM201" s="102"/>
    </row>
    <row r="202" spans="1:143" ht="15.75" customHeight="1" x14ac:dyDescent="0.55000000000000004">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c r="BC202" s="102"/>
      <c r="BD202" s="102"/>
      <c r="BE202" s="102"/>
      <c r="BF202" s="102"/>
      <c r="BG202" s="102"/>
      <c r="BH202" s="102"/>
      <c r="BI202" s="102"/>
      <c r="BJ202" s="102"/>
      <c r="BK202" s="102"/>
      <c r="BL202" s="102"/>
      <c r="BM202" s="102"/>
      <c r="BN202" s="102"/>
      <c r="BO202" s="102"/>
      <c r="BP202" s="102"/>
      <c r="BQ202" s="102"/>
      <c r="BR202" s="102"/>
      <c r="BS202" s="102"/>
      <c r="BT202" s="102"/>
      <c r="BU202" s="102"/>
      <c r="BV202" s="102"/>
      <c r="BW202" s="102"/>
      <c r="BX202" s="102"/>
      <c r="BY202" s="102"/>
      <c r="BZ202" s="102"/>
      <c r="CA202" s="102"/>
      <c r="CB202" s="102"/>
      <c r="CC202" s="102"/>
      <c r="CD202" s="102"/>
      <c r="CE202" s="102"/>
      <c r="CF202" s="102"/>
      <c r="CG202" s="102"/>
      <c r="CH202" s="102"/>
      <c r="CI202" s="102"/>
      <c r="CJ202" s="102"/>
      <c r="CK202" s="102"/>
      <c r="CL202" s="102"/>
      <c r="CM202" s="102"/>
      <c r="CN202" s="102"/>
      <c r="CO202" s="102"/>
      <c r="CP202" s="102"/>
      <c r="CQ202" s="102"/>
      <c r="CR202" s="102"/>
      <c r="CS202" s="102"/>
      <c r="CT202" s="102"/>
      <c r="CU202" s="102"/>
      <c r="CV202" s="102"/>
      <c r="CW202" s="102"/>
      <c r="CX202" s="102"/>
      <c r="CY202" s="102"/>
      <c r="CZ202" s="102"/>
      <c r="DA202" s="102"/>
      <c r="DB202" s="102"/>
      <c r="DC202" s="102"/>
      <c r="DD202" s="102"/>
      <c r="DE202" s="102"/>
      <c r="DF202" s="102"/>
      <c r="DG202" s="102"/>
      <c r="DH202" s="102"/>
      <c r="DI202" s="102"/>
      <c r="DJ202" s="102"/>
      <c r="DK202" s="102"/>
      <c r="DL202" s="102"/>
      <c r="DM202" s="102"/>
      <c r="DN202" s="102"/>
      <c r="DO202" s="102"/>
      <c r="DP202" s="102"/>
      <c r="DQ202" s="102"/>
      <c r="DR202" s="102"/>
      <c r="DS202" s="102"/>
      <c r="DT202" s="105"/>
      <c r="DU202" s="102"/>
      <c r="DV202" s="102"/>
      <c r="DW202" s="102"/>
      <c r="DX202" s="102"/>
      <c r="DY202" s="102"/>
      <c r="DZ202" s="102"/>
      <c r="EA202" s="102"/>
      <c r="EB202" s="102"/>
      <c r="EC202" s="102"/>
      <c r="ED202" s="102"/>
      <c r="EE202" s="102"/>
      <c r="EF202" s="102"/>
      <c r="EG202" s="102"/>
      <c r="EH202" s="102"/>
      <c r="EI202" s="102"/>
      <c r="EJ202" s="102"/>
      <c r="EK202" s="102"/>
      <c r="EL202" s="102"/>
      <c r="EM202" s="102"/>
    </row>
    <row r="203" spans="1:143" ht="15.75" customHeight="1" x14ac:dyDescent="0.55000000000000004">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c r="BC203" s="102"/>
      <c r="BD203" s="102"/>
      <c r="BE203" s="102"/>
      <c r="BF203" s="102"/>
      <c r="BG203" s="102"/>
      <c r="BH203" s="102"/>
      <c r="BI203" s="102"/>
      <c r="BJ203" s="102"/>
      <c r="BK203" s="102"/>
      <c r="BL203" s="102"/>
      <c r="BM203" s="102"/>
      <c r="BN203" s="102"/>
      <c r="BO203" s="102"/>
      <c r="BP203" s="102"/>
      <c r="BQ203" s="102"/>
      <c r="BR203" s="102"/>
      <c r="BS203" s="102"/>
      <c r="BT203" s="102"/>
      <c r="BU203" s="102"/>
      <c r="BV203" s="102"/>
      <c r="BW203" s="102"/>
      <c r="BX203" s="102"/>
      <c r="BY203" s="102"/>
      <c r="BZ203" s="102"/>
      <c r="CA203" s="102"/>
      <c r="CB203" s="102"/>
      <c r="CC203" s="102"/>
      <c r="CD203" s="102"/>
      <c r="CE203" s="102"/>
      <c r="CF203" s="102"/>
      <c r="CG203" s="102"/>
      <c r="CH203" s="102"/>
      <c r="CI203" s="102"/>
      <c r="CJ203" s="102"/>
      <c r="CK203" s="102"/>
      <c r="CL203" s="102"/>
      <c r="CM203" s="102"/>
      <c r="CN203" s="102"/>
      <c r="CO203" s="102"/>
      <c r="CP203" s="102"/>
      <c r="CQ203" s="102"/>
      <c r="CR203" s="102"/>
      <c r="CS203" s="102"/>
      <c r="CT203" s="102"/>
      <c r="CU203" s="102"/>
      <c r="CV203" s="102"/>
      <c r="CW203" s="102"/>
      <c r="CX203" s="102"/>
      <c r="CY203" s="102"/>
      <c r="CZ203" s="102"/>
      <c r="DA203" s="102"/>
      <c r="DB203" s="102"/>
      <c r="DC203" s="102"/>
      <c r="DD203" s="102"/>
      <c r="DE203" s="102"/>
      <c r="DF203" s="102"/>
      <c r="DG203" s="102"/>
      <c r="DH203" s="102"/>
      <c r="DI203" s="102"/>
      <c r="DJ203" s="102"/>
      <c r="DK203" s="102"/>
      <c r="DL203" s="102"/>
      <c r="DM203" s="102"/>
      <c r="DN203" s="102"/>
      <c r="DO203" s="102"/>
      <c r="DP203" s="102"/>
      <c r="DQ203" s="102"/>
      <c r="DR203" s="102"/>
      <c r="DS203" s="102"/>
      <c r="DT203" s="105"/>
      <c r="DU203" s="102"/>
      <c r="DV203" s="102"/>
      <c r="DW203" s="102"/>
      <c r="DX203" s="102"/>
      <c r="DY203" s="102"/>
      <c r="DZ203" s="102"/>
      <c r="EA203" s="102"/>
      <c r="EB203" s="102"/>
      <c r="EC203" s="102"/>
      <c r="ED203" s="102"/>
      <c r="EE203" s="102"/>
      <c r="EF203" s="102"/>
      <c r="EG203" s="102"/>
      <c r="EH203" s="102"/>
      <c r="EI203" s="102"/>
      <c r="EJ203" s="102"/>
      <c r="EK203" s="102"/>
      <c r="EL203" s="102"/>
      <c r="EM203" s="102"/>
    </row>
    <row r="204" spans="1:143" ht="15.75" customHeight="1" x14ac:dyDescent="0.550000000000000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c r="BC204" s="102"/>
      <c r="BD204" s="102"/>
      <c r="BE204" s="102"/>
      <c r="BF204" s="102"/>
      <c r="BG204" s="102"/>
      <c r="BH204" s="102"/>
      <c r="BI204" s="102"/>
      <c r="BJ204" s="102"/>
      <c r="BK204" s="102"/>
      <c r="BL204" s="102"/>
      <c r="BM204" s="102"/>
      <c r="BN204" s="102"/>
      <c r="BO204" s="102"/>
      <c r="BP204" s="102"/>
      <c r="BQ204" s="102"/>
      <c r="BR204" s="102"/>
      <c r="BS204" s="102"/>
      <c r="BT204" s="102"/>
      <c r="BU204" s="102"/>
      <c r="BV204" s="102"/>
      <c r="BW204" s="102"/>
      <c r="BX204" s="102"/>
      <c r="BY204" s="102"/>
      <c r="BZ204" s="102"/>
      <c r="CA204" s="102"/>
      <c r="CB204" s="102"/>
      <c r="CC204" s="102"/>
      <c r="CD204" s="102"/>
      <c r="CE204" s="102"/>
      <c r="CF204" s="102"/>
      <c r="CG204" s="102"/>
      <c r="CH204" s="102"/>
      <c r="CI204" s="102"/>
      <c r="CJ204" s="102"/>
      <c r="CK204" s="102"/>
      <c r="CL204" s="102"/>
      <c r="CM204" s="102"/>
      <c r="CN204" s="102"/>
      <c r="CO204" s="102"/>
      <c r="CP204" s="102"/>
      <c r="CQ204" s="102"/>
      <c r="CR204" s="102"/>
      <c r="CS204" s="102"/>
      <c r="CT204" s="102"/>
      <c r="CU204" s="102"/>
      <c r="CV204" s="102"/>
      <c r="CW204" s="102"/>
      <c r="CX204" s="102"/>
      <c r="CY204" s="102"/>
      <c r="CZ204" s="102"/>
      <c r="DA204" s="102"/>
      <c r="DB204" s="102"/>
      <c r="DC204" s="102"/>
      <c r="DD204" s="102"/>
      <c r="DE204" s="102"/>
      <c r="DF204" s="102"/>
      <c r="DG204" s="102"/>
      <c r="DH204" s="102"/>
      <c r="DI204" s="102"/>
      <c r="DJ204" s="102"/>
      <c r="DK204" s="102"/>
      <c r="DL204" s="102"/>
      <c r="DM204" s="102"/>
      <c r="DN204" s="102"/>
      <c r="DO204" s="102"/>
      <c r="DP204" s="102"/>
      <c r="DQ204" s="102"/>
      <c r="DR204" s="102"/>
      <c r="DS204" s="102"/>
      <c r="DT204" s="105"/>
      <c r="DU204" s="102"/>
      <c r="DV204" s="102"/>
      <c r="DW204" s="102"/>
      <c r="DX204" s="102"/>
      <c r="DY204" s="102"/>
      <c r="DZ204" s="102"/>
      <c r="EA204" s="102"/>
      <c r="EB204" s="102"/>
      <c r="EC204" s="102"/>
      <c r="ED204" s="102"/>
      <c r="EE204" s="102"/>
      <c r="EF204" s="102"/>
      <c r="EG204" s="102"/>
      <c r="EH204" s="102"/>
      <c r="EI204" s="102"/>
      <c r="EJ204" s="102"/>
      <c r="EK204" s="102"/>
      <c r="EL204" s="102"/>
      <c r="EM204" s="102"/>
    </row>
    <row r="205" spans="1:143" ht="15.75" customHeight="1" x14ac:dyDescent="0.55000000000000004">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02"/>
      <c r="BG205" s="102"/>
      <c r="BH205" s="102"/>
      <c r="BI205" s="102"/>
      <c r="BJ205" s="102"/>
      <c r="BK205" s="102"/>
      <c r="BL205" s="102"/>
      <c r="BM205" s="102"/>
      <c r="BN205" s="102"/>
      <c r="BO205" s="102"/>
      <c r="BP205" s="102"/>
      <c r="BQ205" s="102"/>
      <c r="BR205" s="102"/>
      <c r="BS205" s="102"/>
      <c r="BT205" s="102"/>
      <c r="BU205" s="102"/>
      <c r="BV205" s="102"/>
      <c r="BW205" s="102"/>
      <c r="BX205" s="102"/>
      <c r="BY205" s="102"/>
      <c r="BZ205" s="102"/>
      <c r="CA205" s="102"/>
      <c r="CB205" s="102"/>
      <c r="CC205" s="102"/>
      <c r="CD205" s="102"/>
      <c r="CE205" s="102"/>
      <c r="CF205" s="102"/>
      <c r="CG205" s="102"/>
      <c r="CH205" s="102"/>
      <c r="CI205" s="102"/>
      <c r="CJ205" s="102"/>
      <c r="CK205" s="102"/>
      <c r="CL205" s="102"/>
      <c r="CM205" s="102"/>
      <c r="CN205" s="102"/>
      <c r="CO205" s="102"/>
      <c r="CP205" s="102"/>
      <c r="CQ205" s="102"/>
      <c r="CR205" s="102"/>
      <c r="CS205" s="102"/>
      <c r="CT205" s="102"/>
      <c r="CU205" s="102"/>
      <c r="CV205" s="102"/>
      <c r="CW205" s="102"/>
      <c r="CX205" s="102"/>
      <c r="CY205" s="102"/>
      <c r="CZ205" s="102"/>
      <c r="DA205" s="102"/>
      <c r="DB205" s="102"/>
      <c r="DC205" s="102"/>
      <c r="DD205" s="102"/>
      <c r="DE205" s="102"/>
      <c r="DF205" s="102"/>
      <c r="DG205" s="102"/>
      <c r="DH205" s="102"/>
      <c r="DI205" s="102"/>
      <c r="DJ205" s="102"/>
      <c r="DK205" s="102"/>
      <c r="DL205" s="102"/>
      <c r="DM205" s="102"/>
      <c r="DN205" s="102"/>
      <c r="DO205" s="102"/>
      <c r="DP205" s="102"/>
      <c r="DQ205" s="102"/>
      <c r="DR205" s="102"/>
      <c r="DS205" s="102"/>
      <c r="DT205" s="105"/>
      <c r="DU205" s="102"/>
      <c r="DV205" s="102"/>
      <c r="DW205" s="102"/>
      <c r="DX205" s="102"/>
      <c r="DY205" s="102"/>
      <c r="DZ205" s="102"/>
      <c r="EA205" s="102"/>
      <c r="EB205" s="102"/>
      <c r="EC205" s="102"/>
      <c r="ED205" s="102"/>
      <c r="EE205" s="102"/>
      <c r="EF205" s="102"/>
      <c r="EG205" s="102"/>
      <c r="EH205" s="102"/>
      <c r="EI205" s="102"/>
      <c r="EJ205" s="102"/>
      <c r="EK205" s="102"/>
      <c r="EL205" s="102"/>
      <c r="EM205" s="102"/>
    </row>
    <row r="206" spans="1:143" ht="15.75" customHeight="1" x14ac:dyDescent="0.55000000000000004">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02"/>
      <c r="BG206" s="102"/>
      <c r="BH206" s="102"/>
      <c r="BI206" s="102"/>
      <c r="BJ206" s="102"/>
      <c r="BK206" s="102"/>
      <c r="BL206" s="102"/>
      <c r="BM206" s="102"/>
      <c r="BN206" s="102"/>
      <c r="BO206" s="102"/>
      <c r="BP206" s="102"/>
      <c r="BQ206" s="102"/>
      <c r="BR206" s="102"/>
      <c r="BS206" s="102"/>
      <c r="BT206" s="102"/>
      <c r="BU206" s="102"/>
      <c r="BV206" s="102"/>
      <c r="BW206" s="102"/>
      <c r="BX206" s="102"/>
      <c r="BY206" s="102"/>
      <c r="BZ206" s="102"/>
      <c r="CA206" s="102"/>
      <c r="CB206" s="102"/>
      <c r="CC206" s="102"/>
      <c r="CD206" s="102"/>
      <c r="CE206" s="102"/>
      <c r="CF206" s="102"/>
      <c r="CG206" s="102"/>
      <c r="CH206" s="102"/>
      <c r="CI206" s="102"/>
      <c r="CJ206" s="102"/>
      <c r="CK206" s="102"/>
      <c r="CL206" s="102"/>
      <c r="CM206" s="102"/>
      <c r="CN206" s="102"/>
      <c r="CO206" s="102"/>
      <c r="CP206" s="102"/>
      <c r="CQ206" s="102"/>
      <c r="CR206" s="102"/>
      <c r="CS206" s="102"/>
      <c r="CT206" s="102"/>
      <c r="CU206" s="102"/>
      <c r="CV206" s="102"/>
      <c r="CW206" s="102"/>
      <c r="CX206" s="102"/>
      <c r="CY206" s="102"/>
      <c r="CZ206" s="102"/>
      <c r="DA206" s="102"/>
      <c r="DB206" s="102"/>
      <c r="DC206" s="102"/>
      <c r="DD206" s="102"/>
      <c r="DE206" s="102"/>
      <c r="DF206" s="102"/>
      <c r="DG206" s="102"/>
      <c r="DH206" s="102"/>
      <c r="DI206" s="102"/>
      <c r="DJ206" s="102"/>
      <c r="DK206" s="102"/>
      <c r="DL206" s="102"/>
      <c r="DM206" s="102"/>
      <c r="DN206" s="102"/>
      <c r="DO206" s="102"/>
      <c r="DP206" s="102"/>
      <c r="DQ206" s="102"/>
      <c r="DR206" s="102"/>
      <c r="DS206" s="102"/>
      <c r="DT206" s="105"/>
      <c r="DU206" s="102"/>
      <c r="DV206" s="102"/>
      <c r="DW206" s="102"/>
      <c r="DX206" s="102"/>
      <c r="DY206" s="102"/>
      <c r="DZ206" s="102"/>
      <c r="EA206" s="102"/>
      <c r="EB206" s="102"/>
      <c r="EC206" s="102"/>
      <c r="ED206" s="102"/>
      <c r="EE206" s="102"/>
      <c r="EF206" s="102"/>
      <c r="EG206" s="102"/>
      <c r="EH206" s="102"/>
      <c r="EI206" s="102"/>
      <c r="EJ206" s="102"/>
      <c r="EK206" s="102"/>
      <c r="EL206" s="102"/>
      <c r="EM206" s="102"/>
    </row>
    <row r="207" spans="1:143" ht="15.75" customHeight="1" x14ac:dyDescent="0.55000000000000004">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c r="BC207" s="102"/>
      <c r="BD207" s="102"/>
      <c r="BE207" s="102"/>
      <c r="BF207" s="102"/>
      <c r="BG207" s="102"/>
      <c r="BH207" s="102"/>
      <c r="BI207" s="102"/>
      <c r="BJ207" s="102"/>
      <c r="BK207" s="102"/>
      <c r="BL207" s="102"/>
      <c r="BM207" s="102"/>
      <c r="BN207" s="102"/>
      <c r="BO207" s="102"/>
      <c r="BP207" s="102"/>
      <c r="BQ207" s="102"/>
      <c r="BR207" s="102"/>
      <c r="BS207" s="102"/>
      <c r="BT207" s="102"/>
      <c r="BU207" s="102"/>
      <c r="BV207" s="102"/>
      <c r="BW207" s="102"/>
      <c r="BX207" s="102"/>
      <c r="BY207" s="102"/>
      <c r="BZ207" s="102"/>
      <c r="CA207" s="102"/>
      <c r="CB207" s="102"/>
      <c r="CC207" s="102"/>
      <c r="CD207" s="102"/>
      <c r="CE207" s="102"/>
      <c r="CF207" s="102"/>
      <c r="CG207" s="102"/>
      <c r="CH207" s="102"/>
      <c r="CI207" s="102"/>
      <c r="CJ207" s="102"/>
      <c r="CK207" s="102"/>
      <c r="CL207" s="102"/>
      <c r="CM207" s="102"/>
      <c r="CN207" s="102"/>
      <c r="CO207" s="102"/>
      <c r="CP207" s="102"/>
      <c r="CQ207" s="102"/>
      <c r="CR207" s="102"/>
      <c r="CS207" s="102"/>
      <c r="CT207" s="102"/>
      <c r="CU207" s="102"/>
      <c r="CV207" s="102"/>
      <c r="CW207" s="102"/>
      <c r="CX207" s="102"/>
      <c r="CY207" s="102"/>
      <c r="CZ207" s="102"/>
      <c r="DA207" s="102"/>
      <c r="DB207" s="102"/>
      <c r="DC207" s="102"/>
      <c r="DD207" s="102"/>
      <c r="DE207" s="102"/>
      <c r="DF207" s="102"/>
      <c r="DG207" s="102"/>
      <c r="DH207" s="102"/>
      <c r="DI207" s="102"/>
      <c r="DJ207" s="102"/>
      <c r="DK207" s="102"/>
      <c r="DL207" s="102"/>
      <c r="DM207" s="102"/>
      <c r="DN207" s="102"/>
      <c r="DO207" s="102"/>
      <c r="DP207" s="102"/>
      <c r="DQ207" s="102"/>
      <c r="DR207" s="102"/>
      <c r="DS207" s="102"/>
      <c r="DT207" s="105"/>
      <c r="DU207" s="102"/>
      <c r="DV207" s="102"/>
      <c r="DW207" s="102"/>
      <c r="DX207" s="102"/>
      <c r="DY207" s="102"/>
      <c r="DZ207" s="102"/>
      <c r="EA207" s="102"/>
      <c r="EB207" s="102"/>
      <c r="EC207" s="102"/>
      <c r="ED207" s="102"/>
      <c r="EE207" s="102"/>
      <c r="EF207" s="102"/>
      <c r="EG207" s="102"/>
      <c r="EH207" s="102"/>
      <c r="EI207" s="102"/>
      <c r="EJ207" s="102"/>
      <c r="EK207" s="102"/>
      <c r="EL207" s="102"/>
      <c r="EM207" s="102"/>
    </row>
    <row r="208" spans="1:143" ht="15.75" customHeight="1" x14ac:dyDescent="0.55000000000000004">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02"/>
      <c r="BG208" s="102"/>
      <c r="BH208" s="102"/>
      <c r="BI208" s="102"/>
      <c r="BJ208" s="102"/>
      <c r="BK208" s="102"/>
      <c r="BL208" s="102"/>
      <c r="BM208" s="102"/>
      <c r="BN208" s="102"/>
      <c r="BO208" s="102"/>
      <c r="BP208" s="102"/>
      <c r="BQ208" s="102"/>
      <c r="BR208" s="102"/>
      <c r="BS208" s="102"/>
      <c r="BT208" s="102"/>
      <c r="BU208" s="102"/>
      <c r="BV208" s="102"/>
      <c r="BW208" s="102"/>
      <c r="BX208" s="102"/>
      <c r="BY208" s="102"/>
      <c r="BZ208" s="102"/>
      <c r="CA208" s="102"/>
      <c r="CB208" s="102"/>
      <c r="CC208" s="102"/>
      <c r="CD208" s="102"/>
      <c r="CE208" s="102"/>
      <c r="CF208" s="102"/>
      <c r="CG208" s="102"/>
      <c r="CH208" s="102"/>
      <c r="CI208" s="102"/>
      <c r="CJ208" s="102"/>
      <c r="CK208" s="102"/>
      <c r="CL208" s="102"/>
      <c r="CM208" s="102"/>
      <c r="CN208" s="102"/>
      <c r="CO208" s="102"/>
      <c r="CP208" s="102"/>
      <c r="CQ208" s="102"/>
      <c r="CR208" s="102"/>
      <c r="CS208" s="102"/>
      <c r="CT208" s="102"/>
      <c r="CU208" s="102"/>
      <c r="CV208" s="102"/>
      <c r="CW208" s="102"/>
      <c r="CX208" s="102"/>
      <c r="CY208" s="102"/>
      <c r="CZ208" s="102"/>
      <c r="DA208" s="102"/>
      <c r="DB208" s="102"/>
      <c r="DC208" s="102"/>
      <c r="DD208" s="102"/>
      <c r="DE208" s="102"/>
      <c r="DF208" s="102"/>
      <c r="DG208" s="102"/>
      <c r="DH208" s="102"/>
      <c r="DI208" s="102"/>
      <c r="DJ208" s="102"/>
      <c r="DK208" s="102"/>
      <c r="DL208" s="102"/>
      <c r="DM208" s="102"/>
      <c r="DN208" s="102"/>
      <c r="DO208" s="102"/>
      <c r="DP208" s="102"/>
      <c r="DQ208" s="102"/>
      <c r="DR208" s="102"/>
      <c r="DS208" s="102"/>
      <c r="DT208" s="105"/>
      <c r="DU208" s="102"/>
      <c r="DV208" s="102"/>
      <c r="DW208" s="102"/>
      <c r="DX208" s="102"/>
      <c r="DY208" s="102"/>
      <c r="DZ208" s="102"/>
      <c r="EA208" s="102"/>
      <c r="EB208" s="102"/>
      <c r="EC208" s="102"/>
      <c r="ED208" s="102"/>
      <c r="EE208" s="102"/>
      <c r="EF208" s="102"/>
      <c r="EG208" s="102"/>
      <c r="EH208" s="102"/>
      <c r="EI208" s="102"/>
      <c r="EJ208" s="102"/>
      <c r="EK208" s="102"/>
      <c r="EL208" s="102"/>
      <c r="EM208" s="102"/>
    </row>
    <row r="209" spans="1:143" ht="15.75" customHeight="1" x14ac:dyDescent="0.55000000000000004">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c r="BC209" s="102"/>
      <c r="BD209" s="102"/>
      <c r="BE209" s="102"/>
      <c r="BF209" s="102"/>
      <c r="BG209" s="102"/>
      <c r="BH209" s="102"/>
      <c r="BI209" s="102"/>
      <c r="BJ209" s="102"/>
      <c r="BK209" s="102"/>
      <c r="BL209" s="102"/>
      <c r="BM209" s="102"/>
      <c r="BN209" s="102"/>
      <c r="BO209" s="102"/>
      <c r="BP209" s="102"/>
      <c r="BQ209" s="102"/>
      <c r="BR209" s="102"/>
      <c r="BS209" s="102"/>
      <c r="BT209" s="102"/>
      <c r="BU209" s="102"/>
      <c r="BV209" s="102"/>
      <c r="BW209" s="102"/>
      <c r="BX209" s="102"/>
      <c r="BY209" s="102"/>
      <c r="BZ209" s="102"/>
      <c r="CA209" s="102"/>
      <c r="CB209" s="102"/>
      <c r="CC209" s="102"/>
      <c r="CD209" s="102"/>
      <c r="CE209" s="102"/>
      <c r="CF209" s="102"/>
      <c r="CG209" s="102"/>
      <c r="CH209" s="102"/>
      <c r="CI209" s="102"/>
      <c r="CJ209" s="102"/>
      <c r="CK209" s="102"/>
      <c r="CL209" s="102"/>
      <c r="CM209" s="102"/>
      <c r="CN209" s="102"/>
      <c r="CO209" s="102"/>
      <c r="CP209" s="102"/>
      <c r="CQ209" s="102"/>
      <c r="CR209" s="102"/>
      <c r="CS209" s="102"/>
      <c r="CT209" s="102"/>
      <c r="CU209" s="102"/>
      <c r="CV209" s="102"/>
      <c r="CW209" s="102"/>
      <c r="CX209" s="102"/>
      <c r="CY209" s="102"/>
      <c r="CZ209" s="102"/>
      <c r="DA209" s="102"/>
      <c r="DB209" s="102"/>
      <c r="DC209" s="102"/>
      <c r="DD209" s="102"/>
      <c r="DE209" s="102"/>
      <c r="DF209" s="102"/>
      <c r="DG209" s="102"/>
      <c r="DH209" s="102"/>
      <c r="DI209" s="102"/>
      <c r="DJ209" s="102"/>
      <c r="DK209" s="102"/>
      <c r="DL209" s="102"/>
      <c r="DM209" s="102"/>
      <c r="DN209" s="102"/>
      <c r="DO209" s="102"/>
      <c r="DP209" s="102"/>
      <c r="DQ209" s="102"/>
      <c r="DR209" s="102"/>
      <c r="DS209" s="102"/>
      <c r="DT209" s="105"/>
      <c r="DU209" s="102"/>
      <c r="DV209" s="102"/>
      <c r="DW209" s="102"/>
      <c r="DX209" s="102"/>
      <c r="DY209" s="102"/>
      <c r="DZ209" s="102"/>
      <c r="EA209" s="102"/>
      <c r="EB209" s="102"/>
      <c r="EC209" s="102"/>
      <c r="ED209" s="102"/>
      <c r="EE209" s="102"/>
      <c r="EF209" s="102"/>
      <c r="EG209" s="102"/>
      <c r="EH209" s="102"/>
      <c r="EI209" s="102"/>
      <c r="EJ209" s="102"/>
      <c r="EK209" s="102"/>
      <c r="EL209" s="102"/>
      <c r="EM209" s="102"/>
    </row>
    <row r="210" spans="1:143" ht="15.75" customHeight="1" x14ac:dyDescent="0.55000000000000004">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c r="BC210" s="102"/>
      <c r="BD210" s="102"/>
      <c r="BE210" s="102"/>
      <c r="BF210" s="102"/>
      <c r="BG210" s="102"/>
      <c r="BH210" s="102"/>
      <c r="BI210" s="102"/>
      <c r="BJ210" s="102"/>
      <c r="BK210" s="102"/>
      <c r="BL210" s="102"/>
      <c r="BM210" s="102"/>
      <c r="BN210" s="102"/>
      <c r="BO210" s="102"/>
      <c r="BP210" s="102"/>
      <c r="BQ210" s="102"/>
      <c r="BR210" s="102"/>
      <c r="BS210" s="102"/>
      <c r="BT210" s="102"/>
      <c r="BU210" s="102"/>
      <c r="BV210" s="102"/>
      <c r="BW210" s="102"/>
      <c r="BX210" s="102"/>
      <c r="BY210" s="102"/>
      <c r="BZ210" s="102"/>
      <c r="CA210" s="102"/>
      <c r="CB210" s="102"/>
      <c r="CC210" s="102"/>
      <c r="CD210" s="102"/>
      <c r="CE210" s="102"/>
      <c r="CF210" s="102"/>
      <c r="CG210" s="102"/>
      <c r="CH210" s="102"/>
      <c r="CI210" s="102"/>
      <c r="CJ210" s="102"/>
      <c r="CK210" s="102"/>
      <c r="CL210" s="102"/>
      <c r="CM210" s="102"/>
      <c r="CN210" s="102"/>
      <c r="CO210" s="102"/>
      <c r="CP210" s="102"/>
      <c r="CQ210" s="102"/>
      <c r="CR210" s="102"/>
      <c r="CS210" s="102"/>
      <c r="CT210" s="102"/>
      <c r="CU210" s="102"/>
      <c r="CV210" s="102"/>
      <c r="CW210" s="102"/>
      <c r="CX210" s="102"/>
      <c r="CY210" s="102"/>
      <c r="CZ210" s="102"/>
      <c r="DA210" s="102"/>
      <c r="DB210" s="102"/>
      <c r="DC210" s="102"/>
      <c r="DD210" s="102"/>
      <c r="DE210" s="102"/>
      <c r="DF210" s="102"/>
      <c r="DG210" s="102"/>
      <c r="DH210" s="102"/>
      <c r="DI210" s="102"/>
      <c r="DJ210" s="102"/>
      <c r="DK210" s="102"/>
      <c r="DL210" s="102"/>
      <c r="DM210" s="102"/>
      <c r="DN210" s="102"/>
      <c r="DO210" s="102"/>
      <c r="DP210" s="102"/>
      <c r="DQ210" s="102"/>
      <c r="DR210" s="102"/>
      <c r="DS210" s="102"/>
      <c r="DT210" s="105"/>
      <c r="DU210" s="102"/>
      <c r="DV210" s="102"/>
      <c r="DW210" s="102"/>
      <c r="DX210" s="102"/>
      <c r="DY210" s="102"/>
      <c r="DZ210" s="102"/>
      <c r="EA210" s="102"/>
      <c r="EB210" s="102"/>
      <c r="EC210" s="102"/>
      <c r="ED210" s="102"/>
      <c r="EE210" s="102"/>
      <c r="EF210" s="102"/>
      <c r="EG210" s="102"/>
      <c r="EH210" s="102"/>
      <c r="EI210" s="102"/>
      <c r="EJ210" s="102"/>
      <c r="EK210" s="102"/>
      <c r="EL210" s="102"/>
      <c r="EM210" s="102"/>
    </row>
    <row r="211" spans="1:143" ht="15.75" customHeight="1" x14ac:dyDescent="0.55000000000000004">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02"/>
      <c r="BG211" s="102"/>
      <c r="BH211" s="102"/>
      <c r="BI211" s="102"/>
      <c r="BJ211" s="102"/>
      <c r="BK211" s="102"/>
      <c r="BL211" s="102"/>
      <c r="BM211" s="102"/>
      <c r="BN211" s="102"/>
      <c r="BO211" s="102"/>
      <c r="BP211" s="102"/>
      <c r="BQ211" s="102"/>
      <c r="BR211" s="102"/>
      <c r="BS211" s="102"/>
      <c r="BT211" s="102"/>
      <c r="BU211" s="102"/>
      <c r="BV211" s="102"/>
      <c r="BW211" s="102"/>
      <c r="BX211" s="102"/>
      <c r="BY211" s="102"/>
      <c r="BZ211" s="102"/>
      <c r="CA211" s="102"/>
      <c r="CB211" s="102"/>
      <c r="CC211" s="102"/>
      <c r="CD211" s="102"/>
      <c r="CE211" s="102"/>
      <c r="CF211" s="102"/>
      <c r="CG211" s="102"/>
      <c r="CH211" s="102"/>
      <c r="CI211" s="102"/>
      <c r="CJ211" s="102"/>
      <c r="CK211" s="102"/>
      <c r="CL211" s="102"/>
      <c r="CM211" s="102"/>
      <c r="CN211" s="102"/>
      <c r="CO211" s="102"/>
      <c r="CP211" s="102"/>
      <c r="CQ211" s="102"/>
      <c r="CR211" s="102"/>
      <c r="CS211" s="102"/>
      <c r="CT211" s="102"/>
      <c r="CU211" s="102"/>
      <c r="CV211" s="102"/>
      <c r="CW211" s="102"/>
      <c r="CX211" s="102"/>
      <c r="CY211" s="102"/>
      <c r="CZ211" s="102"/>
      <c r="DA211" s="102"/>
      <c r="DB211" s="102"/>
      <c r="DC211" s="102"/>
      <c r="DD211" s="102"/>
      <c r="DE211" s="102"/>
      <c r="DF211" s="102"/>
      <c r="DG211" s="102"/>
      <c r="DH211" s="102"/>
      <c r="DI211" s="102"/>
      <c r="DJ211" s="102"/>
      <c r="DK211" s="102"/>
      <c r="DL211" s="102"/>
      <c r="DM211" s="102"/>
      <c r="DN211" s="102"/>
      <c r="DO211" s="102"/>
      <c r="DP211" s="102"/>
      <c r="DQ211" s="102"/>
      <c r="DR211" s="102"/>
      <c r="DS211" s="102"/>
      <c r="DT211" s="105"/>
      <c r="DU211" s="102"/>
      <c r="DV211" s="102"/>
      <c r="DW211" s="102"/>
      <c r="DX211" s="102"/>
      <c r="DY211" s="102"/>
      <c r="DZ211" s="102"/>
      <c r="EA211" s="102"/>
      <c r="EB211" s="102"/>
      <c r="EC211" s="102"/>
      <c r="ED211" s="102"/>
      <c r="EE211" s="102"/>
      <c r="EF211" s="102"/>
      <c r="EG211" s="102"/>
      <c r="EH211" s="102"/>
      <c r="EI211" s="102"/>
      <c r="EJ211" s="102"/>
      <c r="EK211" s="102"/>
      <c r="EL211" s="102"/>
      <c r="EM211" s="102"/>
    </row>
    <row r="212" spans="1:143" ht="15.75" customHeight="1" x14ac:dyDescent="0.55000000000000004">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02"/>
      <c r="BG212" s="102"/>
      <c r="BH212" s="102"/>
      <c r="BI212" s="102"/>
      <c r="BJ212" s="102"/>
      <c r="BK212" s="102"/>
      <c r="BL212" s="102"/>
      <c r="BM212" s="102"/>
      <c r="BN212" s="102"/>
      <c r="BO212" s="102"/>
      <c r="BP212" s="102"/>
      <c r="BQ212" s="102"/>
      <c r="BR212" s="102"/>
      <c r="BS212" s="102"/>
      <c r="BT212" s="102"/>
      <c r="BU212" s="102"/>
      <c r="BV212" s="102"/>
      <c r="BW212" s="102"/>
      <c r="BX212" s="102"/>
      <c r="BY212" s="102"/>
      <c r="BZ212" s="102"/>
      <c r="CA212" s="102"/>
      <c r="CB212" s="102"/>
      <c r="CC212" s="102"/>
      <c r="CD212" s="102"/>
      <c r="CE212" s="102"/>
      <c r="CF212" s="102"/>
      <c r="CG212" s="102"/>
      <c r="CH212" s="102"/>
      <c r="CI212" s="102"/>
      <c r="CJ212" s="102"/>
      <c r="CK212" s="102"/>
      <c r="CL212" s="102"/>
      <c r="CM212" s="102"/>
      <c r="CN212" s="102"/>
      <c r="CO212" s="102"/>
      <c r="CP212" s="102"/>
      <c r="CQ212" s="102"/>
      <c r="CR212" s="102"/>
      <c r="CS212" s="102"/>
      <c r="CT212" s="102"/>
      <c r="CU212" s="102"/>
      <c r="CV212" s="102"/>
      <c r="CW212" s="102"/>
      <c r="CX212" s="102"/>
      <c r="CY212" s="102"/>
      <c r="CZ212" s="102"/>
      <c r="DA212" s="102"/>
      <c r="DB212" s="102"/>
      <c r="DC212" s="102"/>
      <c r="DD212" s="102"/>
      <c r="DE212" s="102"/>
      <c r="DF212" s="102"/>
      <c r="DG212" s="102"/>
      <c r="DH212" s="102"/>
      <c r="DI212" s="102"/>
      <c r="DJ212" s="102"/>
      <c r="DK212" s="102"/>
      <c r="DL212" s="102"/>
      <c r="DM212" s="102"/>
      <c r="DN212" s="102"/>
      <c r="DO212" s="102"/>
      <c r="DP212" s="102"/>
      <c r="DQ212" s="102"/>
      <c r="DR212" s="102"/>
      <c r="DS212" s="102"/>
      <c r="DT212" s="105"/>
      <c r="DU212" s="102"/>
      <c r="DV212" s="102"/>
      <c r="DW212" s="102"/>
      <c r="DX212" s="102"/>
      <c r="DY212" s="102"/>
      <c r="DZ212" s="102"/>
      <c r="EA212" s="102"/>
      <c r="EB212" s="102"/>
      <c r="EC212" s="102"/>
      <c r="ED212" s="102"/>
      <c r="EE212" s="102"/>
      <c r="EF212" s="102"/>
      <c r="EG212" s="102"/>
      <c r="EH212" s="102"/>
      <c r="EI212" s="102"/>
      <c r="EJ212" s="102"/>
      <c r="EK212" s="102"/>
      <c r="EL212" s="102"/>
      <c r="EM212" s="102"/>
    </row>
    <row r="213" spans="1:143" ht="15.75" customHeight="1" x14ac:dyDescent="0.55000000000000004">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c r="BC213" s="102"/>
      <c r="BD213" s="102"/>
      <c r="BE213" s="102"/>
      <c r="BF213" s="102"/>
      <c r="BG213" s="102"/>
      <c r="BH213" s="102"/>
      <c r="BI213" s="102"/>
      <c r="BJ213" s="102"/>
      <c r="BK213" s="102"/>
      <c r="BL213" s="102"/>
      <c r="BM213" s="102"/>
      <c r="BN213" s="102"/>
      <c r="BO213" s="102"/>
      <c r="BP213" s="102"/>
      <c r="BQ213" s="102"/>
      <c r="BR213" s="102"/>
      <c r="BS213" s="102"/>
      <c r="BT213" s="102"/>
      <c r="BU213" s="102"/>
      <c r="BV213" s="102"/>
      <c r="BW213" s="102"/>
      <c r="BX213" s="102"/>
      <c r="BY213" s="102"/>
      <c r="BZ213" s="102"/>
      <c r="CA213" s="102"/>
      <c r="CB213" s="102"/>
      <c r="CC213" s="102"/>
      <c r="CD213" s="102"/>
      <c r="CE213" s="102"/>
      <c r="CF213" s="102"/>
      <c r="CG213" s="102"/>
      <c r="CH213" s="102"/>
      <c r="CI213" s="102"/>
      <c r="CJ213" s="102"/>
      <c r="CK213" s="102"/>
      <c r="CL213" s="102"/>
      <c r="CM213" s="102"/>
      <c r="CN213" s="102"/>
      <c r="CO213" s="102"/>
      <c r="CP213" s="102"/>
      <c r="CQ213" s="102"/>
      <c r="CR213" s="102"/>
      <c r="CS213" s="102"/>
      <c r="CT213" s="102"/>
      <c r="CU213" s="102"/>
      <c r="CV213" s="102"/>
      <c r="CW213" s="102"/>
      <c r="CX213" s="102"/>
      <c r="CY213" s="102"/>
      <c r="CZ213" s="102"/>
      <c r="DA213" s="102"/>
      <c r="DB213" s="102"/>
      <c r="DC213" s="102"/>
      <c r="DD213" s="102"/>
      <c r="DE213" s="102"/>
      <c r="DF213" s="102"/>
      <c r="DG213" s="102"/>
      <c r="DH213" s="102"/>
      <c r="DI213" s="102"/>
      <c r="DJ213" s="102"/>
      <c r="DK213" s="102"/>
      <c r="DL213" s="102"/>
      <c r="DM213" s="102"/>
      <c r="DN213" s="102"/>
      <c r="DO213" s="102"/>
      <c r="DP213" s="102"/>
      <c r="DQ213" s="102"/>
      <c r="DR213" s="102"/>
      <c r="DS213" s="102"/>
      <c r="DT213" s="105"/>
      <c r="DU213" s="102"/>
      <c r="DV213" s="102"/>
      <c r="DW213" s="102"/>
      <c r="DX213" s="102"/>
      <c r="DY213" s="102"/>
      <c r="DZ213" s="102"/>
      <c r="EA213" s="102"/>
      <c r="EB213" s="102"/>
      <c r="EC213" s="102"/>
      <c r="ED213" s="102"/>
      <c r="EE213" s="102"/>
      <c r="EF213" s="102"/>
      <c r="EG213" s="102"/>
      <c r="EH213" s="102"/>
      <c r="EI213" s="102"/>
      <c r="EJ213" s="102"/>
      <c r="EK213" s="102"/>
      <c r="EL213" s="102"/>
      <c r="EM213" s="102"/>
    </row>
    <row r="214" spans="1:143" ht="15.75" customHeight="1" x14ac:dyDescent="0.5500000000000000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02"/>
      <c r="BG214" s="102"/>
      <c r="BH214" s="102"/>
      <c r="BI214" s="102"/>
      <c r="BJ214" s="102"/>
      <c r="BK214" s="102"/>
      <c r="BL214" s="102"/>
      <c r="BM214" s="102"/>
      <c r="BN214" s="102"/>
      <c r="BO214" s="102"/>
      <c r="BP214" s="102"/>
      <c r="BQ214" s="102"/>
      <c r="BR214" s="102"/>
      <c r="BS214" s="102"/>
      <c r="BT214" s="102"/>
      <c r="BU214" s="102"/>
      <c r="BV214" s="102"/>
      <c r="BW214" s="102"/>
      <c r="BX214" s="102"/>
      <c r="BY214" s="102"/>
      <c r="BZ214" s="102"/>
      <c r="CA214" s="102"/>
      <c r="CB214" s="102"/>
      <c r="CC214" s="102"/>
      <c r="CD214" s="102"/>
      <c r="CE214" s="102"/>
      <c r="CF214" s="102"/>
      <c r="CG214" s="102"/>
      <c r="CH214" s="102"/>
      <c r="CI214" s="102"/>
      <c r="CJ214" s="102"/>
      <c r="CK214" s="102"/>
      <c r="CL214" s="102"/>
      <c r="CM214" s="102"/>
      <c r="CN214" s="102"/>
      <c r="CO214" s="102"/>
      <c r="CP214" s="102"/>
      <c r="CQ214" s="102"/>
      <c r="CR214" s="102"/>
      <c r="CS214" s="102"/>
      <c r="CT214" s="102"/>
      <c r="CU214" s="102"/>
      <c r="CV214" s="102"/>
      <c r="CW214" s="102"/>
      <c r="CX214" s="102"/>
      <c r="CY214" s="102"/>
      <c r="CZ214" s="102"/>
      <c r="DA214" s="102"/>
      <c r="DB214" s="102"/>
      <c r="DC214" s="102"/>
      <c r="DD214" s="102"/>
      <c r="DE214" s="102"/>
      <c r="DF214" s="102"/>
      <c r="DG214" s="102"/>
      <c r="DH214" s="102"/>
      <c r="DI214" s="102"/>
      <c r="DJ214" s="102"/>
      <c r="DK214" s="102"/>
      <c r="DL214" s="102"/>
      <c r="DM214" s="102"/>
      <c r="DN214" s="102"/>
      <c r="DO214" s="102"/>
      <c r="DP214" s="102"/>
      <c r="DQ214" s="102"/>
      <c r="DR214" s="102"/>
      <c r="DS214" s="102"/>
      <c r="DT214" s="105"/>
      <c r="DU214" s="102"/>
      <c r="DV214" s="102"/>
      <c r="DW214" s="102"/>
      <c r="DX214" s="102"/>
      <c r="DY214" s="102"/>
      <c r="DZ214" s="102"/>
      <c r="EA214" s="102"/>
      <c r="EB214" s="102"/>
      <c r="EC214" s="102"/>
      <c r="ED214" s="102"/>
      <c r="EE214" s="102"/>
      <c r="EF214" s="102"/>
      <c r="EG214" s="102"/>
      <c r="EH214" s="102"/>
      <c r="EI214" s="102"/>
      <c r="EJ214" s="102"/>
      <c r="EK214" s="102"/>
      <c r="EL214" s="102"/>
      <c r="EM214" s="102"/>
    </row>
    <row r="215" spans="1:143" ht="15.75" customHeight="1" x14ac:dyDescent="0.55000000000000004">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c r="BC215" s="102"/>
      <c r="BD215" s="102"/>
      <c r="BE215" s="102"/>
      <c r="BF215" s="102"/>
      <c r="BG215" s="102"/>
      <c r="BH215" s="102"/>
      <c r="BI215" s="102"/>
      <c r="BJ215" s="102"/>
      <c r="BK215" s="102"/>
      <c r="BL215" s="102"/>
      <c r="BM215" s="102"/>
      <c r="BN215" s="102"/>
      <c r="BO215" s="102"/>
      <c r="BP215" s="102"/>
      <c r="BQ215" s="102"/>
      <c r="BR215" s="102"/>
      <c r="BS215" s="102"/>
      <c r="BT215" s="102"/>
      <c r="BU215" s="102"/>
      <c r="BV215" s="102"/>
      <c r="BW215" s="102"/>
      <c r="BX215" s="102"/>
      <c r="BY215" s="102"/>
      <c r="BZ215" s="102"/>
      <c r="CA215" s="102"/>
      <c r="CB215" s="102"/>
      <c r="CC215" s="102"/>
      <c r="CD215" s="102"/>
      <c r="CE215" s="102"/>
      <c r="CF215" s="102"/>
      <c r="CG215" s="102"/>
      <c r="CH215" s="102"/>
      <c r="CI215" s="102"/>
      <c r="CJ215" s="102"/>
      <c r="CK215" s="102"/>
      <c r="CL215" s="102"/>
      <c r="CM215" s="102"/>
      <c r="CN215" s="102"/>
      <c r="CO215" s="102"/>
      <c r="CP215" s="102"/>
      <c r="CQ215" s="102"/>
      <c r="CR215" s="102"/>
      <c r="CS215" s="102"/>
      <c r="CT215" s="102"/>
      <c r="CU215" s="102"/>
      <c r="CV215" s="102"/>
      <c r="CW215" s="102"/>
      <c r="CX215" s="102"/>
      <c r="CY215" s="102"/>
      <c r="CZ215" s="102"/>
      <c r="DA215" s="102"/>
      <c r="DB215" s="102"/>
      <c r="DC215" s="102"/>
      <c r="DD215" s="102"/>
      <c r="DE215" s="102"/>
      <c r="DF215" s="102"/>
      <c r="DG215" s="102"/>
      <c r="DH215" s="102"/>
      <c r="DI215" s="102"/>
      <c r="DJ215" s="102"/>
      <c r="DK215" s="102"/>
      <c r="DL215" s="102"/>
      <c r="DM215" s="102"/>
      <c r="DN215" s="102"/>
      <c r="DO215" s="102"/>
      <c r="DP215" s="102"/>
      <c r="DQ215" s="102"/>
      <c r="DR215" s="102"/>
      <c r="DS215" s="102"/>
      <c r="DT215" s="105"/>
      <c r="DU215" s="102"/>
      <c r="DV215" s="102"/>
      <c r="DW215" s="102"/>
      <c r="DX215" s="102"/>
      <c r="DY215" s="102"/>
      <c r="DZ215" s="102"/>
      <c r="EA215" s="102"/>
      <c r="EB215" s="102"/>
      <c r="EC215" s="102"/>
      <c r="ED215" s="102"/>
      <c r="EE215" s="102"/>
      <c r="EF215" s="102"/>
      <c r="EG215" s="102"/>
      <c r="EH215" s="102"/>
      <c r="EI215" s="102"/>
      <c r="EJ215" s="102"/>
      <c r="EK215" s="102"/>
      <c r="EL215" s="102"/>
      <c r="EM215" s="102"/>
    </row>
    <row r="216" spans="1:143" ht="15.75" customHeight="1" x14ac:dyDescent="0.55000000000000004">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c r="AZ216" s="102"/>
      <c r="BA216" s="102"/>
      <c r="BB216" s="102"/>
      <c r="BC216" s="102"/>
      <c r="BD216" s="102"/>
      <c r="BE216" s="102"/>
      <c r="BF216" s="102"/>
      <c r="BG216" s="102"/>
      <c r="BH216" s="102"/>
      <c r="BI216" s="102"/>
      <c r="BJ216" s="102"/>
      <c r="BK216" s="102"/>
      <c r="BL216" s="102"/>
      <c r="BM216" s="102"/>
      <c r="BN216" s="102"/>
      <c r="BO216" s="102"/>
      <c r="BP216" s="102"/>
      <c r="BQ216" s="102"/>
      <c r="BR216" s="102"/>
      <c r="BS216" s="102"/>
      <c r="BT216" s="102"/>
      <c r="BU216" s="102"/>
      <c r="BV216" s="102"/>
      <c r="BW216" s="102"/>
      <c r="BX216" s="102"/>
      <c r="BY216" s="102"/>
      <c r="BZ216" s="102"/>
      <c r="CA216" s="102"/>
      <c r="CB216" s="102"/>
      <c r="CC216" s="102"/>
      <c r="CD216" s="102"/>
      <c r="CE216" s="102"/>
      <c r="CF216" s="102"/>
      <c r="CG216" s="102"/>
      <c r="CH216" s="102"/>
      <c r="CI216" s="102"/>
      <c r="CJ216" s="102"/>
      <c r="CK216" s="102"/>
      <c r="CL216" s="102"/>
      <c r="CM216" s="102"/>
      <c r="CN216" s="102"/>
      <c r="CO216" s="102"/>
      <c r="CP216" s="102"/>
      <c r="CQ216" s="102"/>
      <c r="CR216" s="102"/>
      <c r="CS216" s="102"/>
      <c r="CT216" s="102"/>
      <c r="CU216" s="102"/>
      <c r="CV216" s="102"/>
      <c r="CW216" s="102"/>
      <c r="CX216" s="102"/>
      <c r="CY216" s="102"/>
      <c r="CZ216" s="102"/>
      <c r="DA216" s="102"/>
      <c r="DB216" s="102"/>
      <c r="DC216" s="102"/>
      <c r="DD216" s="102"/>
      <c r="DE216" s="102"/>
      <c r="DF216" s="102"/>
      <c r="DG216" s="102"/>
      <c r="DH216" s="102"/>
      <c r="DI216" s="102"/>
      <c r="DJ216" s="102"/>
      <c r="DK216" s="102"/>
      <c r="DL216" s="102"/>
      <c r="DM216" s="102"/>
      <c r="DN216" s="102"/>
      <c r="DO216" s="102"/>
      <c r="DP216" s="102"/>
      <c r="DQ216" s="102"/>
      <c r="DR216" s="102"/>
      <c r="DS216" s="102"/>
      <c r="DT216" s="105"/>
      <c r="DU216" s="102"/>
      <c r="DV216" s="102"/>
      <c r="DW216" s="102"/>
      <c r="DX216" s="102"/>
      <c r="DY216" s="102"/>
      <c r="DZ216" s="102"/>
      <c r="EA216" s="102"/>
      <c r="EB216" s="102"/>
      <c r="EC216" s="102"/>
      <c r="ED216" s="102"/>
      <c r="EE216" s="102"/>
      <c r="EF216" s="102"/>
      <c r="EG216" s="102"/>
      <c r="EH216" s="102"/>
      <c r="EI216" s="102"/>
      <c r="EJ216" s="102"/>
      <c r="EK216" s="102"/>
      <c r="EL216" s="102"/>
      <c r="EM216" s="102"/>
    </row>
    <row r="217" spans="1:143" ht="15.75" customHeight="1" x14ac:dyDescent="0.55000000000000004">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c r="AZ217" s="102"/>
      <c r="BA217" s="102"/>
      <c r="BB217" s="102"/>
      <c r="BC217" s="102"/>
      <c r="BD217" s="102"/>
      <c r="BE217" s="102"/>
      <c r="BF217" s="102"/>
      <c r="BG217" s="102"/>
      <c r="BH217" s="102"/>
      <c r="BI217" s="102"/>
      <c r="BJ217" s="102"/>
      <c r="BK217" s="102"/>
      <c r="BL217" s="102"/>
      <c r="BM217" s="102"/>
      <c r="BN217" s="102"/>
      <c r="BO217" s="102"/>
      <c r="BP217" s="102"/>
      <c r="BQ217" s="102"/>
      <c r="BR217" s="102"/>
      <c r="BS217" s="102"/>
      <c r="BT217" s="102"/>
      <c r="BU217" s="102"/>
      <c r="BV217" s="102"/>
      <c r="BW217" s="102"/>
      <c r="BX217" s="102"/>
      <c r="BY217" s="102"/>
      <c r="BZ217" s="102"/>
      <c r="CA217" s="102"/>
      <c r="CB217" s="102"/>
      <c r="CC217" s="102"/>
      <c r="CD217" s="102"/>
      <c r="CE217" s="102"/>
      <c r="CF217" s="102"/>
      <c r="CG217" s="102"/>
      <c r="CH217" s="102"/>
      <c r="CI217" s="102"/>
      <c r="CJ217" s="102"/>
      <c r="CK217" s="102"/>
      <c r="CL217" s="102"/>
      <c r="CM217" s="102"/>
      <c r="CN217" s="102"/>
      <c r="CO217" s="102"/>
      <c r="CP217" s="102"/>
      <c r="CQ217" s="102"/>
      <c r="CR217" s="102"/>
      <c r="CS217" s="102"/>
      <c r="CT217" s="102"/>
      <c r="CU217" s="102"/>
      <c r="CV217" s="102"/>
      <c r="CW217" s="102"/>
      <c r="CX217" s="102"/>
      <c r="CY217" s="102"/>
      <c r="CZ217" s="102"/>
      <c r="DA217" s="102"/>
      <c r="DB217" s="102"/>
      <c r="DC217" s="102"/>
      <c r="DD217" s="102"/>
      <c r="DE217" s="102"/>
      <c r="DF217" s="102"/>
      <c r="DG217" s="102"/>
      <c r="DH217" s="102"/>
      <c r="DI217" s="102"/>
      <c r="DJ217" s="102"/>
      <c r="DK217" s="102"/>
      <c r="DL217" s="102"/>
      <c r="DM217" s="102"/>
      <c r="DN217" s="102"/>
      <c r="DO217" s="102"/>
      <c r="DP217" s="102"/>
      <c r="DQ217" s="102"/>
      <c r="DR217" s="102"/>
      <c r="DS217" s="102"/>
      <c r="DT217" s="105"/>
      <c r="DU217" s="102"/>
      <c r="DV217" s="102"/>
      <c r="DW217" s="102"/>
      <c r="DX217" s="102"/>
      <c r="DY217" s="102"/>
      <c r="DZ217" s="102"/>
      <c r="EA217" s="102"/>
      <c r="EB217" s="102"/>
      <c r="EC217" s="102"/>
      <c r="ED217" s="102"/>
      <c r="EE217" s="102"/>
      <c r="EF217" s="102"/>
      <c r="EG217" s="102"/>
      <c r="EH217" s="102"/>
      <c r="EI217" s="102"/>
      <c r="EJ217" s="102"/>
      <c r="EK217" s="102"/>
      <c r="EL217" s="102"/>
      <c r="EM217" s="102"/>
    </row>
    <row r="218" spans="1:143" ht="15.75" customHeight="1" x14ac:dyDescent="0.55000000000000004">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c r="AZ218" s="102"/>
      <c r="BA218" s="102"/>
      <c r="BB218" s="102"/>
      <c r="BC218" s="102"/>
      <c r="BD218" s="102"/>
      <c r="BE218" s="102"/>
      <c r="BF218" s="102"/>
      <c r="BG218" s="102"/>
      <c r="BH218" s="102"/>
      <c r="BI218" s="102"/>
      <c r="BJ218" s="102"/>
      <c r="BK218" s="102"/>
      <c r="BL218" s="102"/>
      <c r="BM218" s="102"/>
      <c r="BN218" s="102"/>
      <c r="BO218" s="102"/>
      <c r="BP218" s="102"/>
      <c r="BQ218" s="102"/>
      <c r="BR218" s="102"/>
      <c r="BS218" s="102"/>
      <c r="BT218" s="102"/>
      <c r="BU218" s="102"/>
      <c r="BV218" s="102"/>
      <c r="BW218" s="102"/>
      <c r="BX218" s="102"/>
      <c r="BY218" s="102"/>
      <c r="BZ218" s="102"/>
      <c r="CA218" s="102"/>
      <c r="CB218" s="102"/>
      <c r="CC218" s="102"/>
      <c r="CD218" s="102"/>
      <c r="CE218" s="102"/>
      <c r="CF218" s="102"/>
      <c r="CG218" s="102"/>
      <c r="CH218" s="102"/>
      <c r="CI218" s="102"/>
      <c r="CJ218" s="102"/>
      <c r="CK218" s="102"/>
      <c r="CL218" s="102"/>
      <c r="CM218" s="102"/>
      <c r="CN218" s="102"/>
      <c r="CO218" s="102"/>
      <c r="CP218" s="102"/>
      <c r="CQ218" s="102"/>
      <c r="CR218" s="102"/>
      <c r="CS218" s="102"/>
      <c r="CT218" s="102"/>
      <c r="CU218" s="102"/>
      <c r="CV218" s="102"/>
      <c r="CW218" s="102"/>
      <c r="CX218" s="102"/>
      <c r="CY218" s="102"/>
      <c r="CZ218" s="102"/>
      <c r="DA218" s="102"/>
      <c r="DB218" s="102"/>
      <c r="DC218" s="102"/>
      <c r="DD218" s="102"/>
      <c r="DE218" s="102"/>
      <c r="DF218" s="102"/>
      <c r="DG218" s="102"/>
      <c r="DH218" s="102"/>
      <c r="DI218" s="102"/>
      <c r="DJ218" s="102"/>
      <c r="DK218" s="102"/>
      <c r="DL218" s="102"/>
      <c r="DM218" s="102"/>
      <c r="DN218" s="102"/>
      <c r="DO218" s="102"/>
      <c r="DP218" s="102"/>
      <c r="DQ218" s="102"/>
      <c r="DR218" s="102"/>
      <c r="DS218" s="102"/>
      <c r="DT218" s="105"/>
      <c r="DU218" s="102"/>
      <c r="DV218" s="102"/>
      <c r="DW218" s="102"/>
      <c r="DX218" s="102"/>
      <c r="DY218" s="102"/>
      <c r="DZ218" s="102"/>
      <c r="EA218" s="102"/>
      <c r="EB218" s="102"/>
      <c r="EC218" s="102"/>
      <c r="ED218" s="102"/>
      <c r="EE218" s="102"/>
      <c r="EF218" s="102"/>
      <c r="EG218" s="102"/>
      <c r="EH218" s="102"/>
      <c r="EI218" s="102"/>
      <c r="EJ218" s="102"/>
      <c r="EK218" s="102"/>
      <c r="EL218" s="102"/>
      <c r="EM218" s="102"/>
    </row>
    <row r="219" spans="1:143" ht="15.75" customHeight="1" x14ac:dyDescent="0.55000000000000004">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c r="AZ219" s="102"/>
      <c r="BA219" s="102"/>
      <c r="BB219" s="102"/>
      <c r="BC219" s="102"/>
      <c r="BD219" s="102"/>
      <c r="BE219" s="102"/>
      <c r="BF219" s="102"/>
      <c r="BG219" s="102"/>
      <c r="BH219" s="102"/>
      <c r="BI219" s="102"/>
      <c r="BJ219" s="102"/>
      <c r="BK219" s="102"/>
      <c r="BL219" s="102"/>
      <c r="BM219" s="102"/>
      <c r="BN219" s="102"/>
      <c r="BO219" s="102"/>
      <c r="BP219" s="102"/>
      <c r="BQ219" s="102"/>
      <c r="BR219" s="102"/>
      <c r="BS219" s="102"/>
      <c r="BT219" s="102"/>
      <c r="BU219" s="102"/>
      <c r="BV219" s="102"/>
      <c r="BW219" s="102"/>
      <c r="BX219" s="102"/>
      <c r="BY219" s="102"/>
      <c r="BZ219" s="102"/>
      <c r="CA219" s="102"/>
      <c r="CB219" s="102"/>
      <c r="CC219" s="102"/>
      <c r="CD219" s="102"/>
      <c r="CE219" s="102"/>
      <c r="CF219" s="102"/>
      <c r="CG219" s="102"/>
      <c r="CH219" s="102"/>
      <c r="CI219" s="102"/>
      <c r="CJ219" s="102"/>
      <c r="CK219" s="102"/>
      <c r="CL219" s="102"/>
      <c r="CM219" s="102"/>
      <c r="CN219" s="102"/>
      <c r="CO219" s="102"/>
      <c r="CP219" s="102"/>
      <c r="CQ219" s="102"/>
      <c r="CR219" s="102"/>
      <c r="CS219" s="102"/>
      <c r="CT219" s="102"/>
      <c r="CU219" s="102"/>
      <c r="CV219" s="102"/>
      <c r="CW219" s="102"/>
      <c r="CX219" s="102"/>
      <c r="CY219" s="102"/>
      <c r="CZ219" s="102"/>
      <c r="DA219" s="102"/>
      <c r="DB219" s="102"/>
      <c r="DC219" s="102"/>
      <c r="DD219" s="102"/>
      <c r="DE219" s="102"/>
      <c r="DF219" s="102"/>
      <c r="DG219" s="102"/>
      <c r="DH219" s="102"/>
      <c r="DI219" s="102"/>
      <c r="DJ219" s="102"/>
      <c r="DK219" s="102"/>
      <c r="DL219" s="102"/>
      <c r="DM219" s="102"/>
      <c r="DN219" s="102"/>
      <c r="DO219" s="102"/>
      <c r="DP219" s="102"/>
      <c r="DQ219" s="102"/>
      <c r="DR219" s="102"/>
      <c r="DS219" s="102"/>
      <c r="DT219" s="105"/>
      <c r="DU219" s="102"/>
      <c r="DV219" s="102"/>
      <c r="DW219" s="102"/>
      <c r="DX219" s="102"/>
      <c r="DY219" s="102"/>
      <c r="DZ219" s="102"/>
      <c r="EA219" s="102"/>
      <c r="EB219" s="102"/>
      <c r="EC219" s="102"/>
      <c r="ED219" s="102"/>
      <c r="EE219" s="102"/>
      <c r="EF219" s="102"/>
      <c r="EG219" s="102"/>
      <c r="EH219" s="102"/>
      <c r="EI219" s="102"/>
      <c r="EJ219" s="102"/>
      <c r="EK219" s="102"/>
      <c r="EL219" s="102"/>
      <c r="EM219" s="102"/>
    </row>
    <row r="220" spans="1:143" ht="15.75" customHeight="1" x14ac:dyDescent="0.55000000000000004">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02"/>
      <c r="BG220" s="102"/>
      <c r="BH220" s="102"/>
      <c r="BI220" s="102"/>
      <c r="BJ220" s="102"/>
      <c r="BK220" s="102"/>
      <c r="BL220" s="102"/>
      <c r="BM220" s="102"/>
      <c r="BN220" s="102"/>
      <c r="BO220" s="102"/>
      <c r="BP220" s="102"/>
      <c r="BQ220" s="102"/>
      <c r="BR220" s="102"/>
      <c r="BS220" s="102"/>
      <c r="BT220" s="102"/>
      <c r="BU220" s="102"/>
      <c r="BV220" s="102"/>
      <c r="BW220" s="102"/>
      <c r="BX220" s="102"/>
      <c r="BY220" s="102"/>
      <c r="BZ220" s="102"/>
      <c r="CA220" s="102"/>
      <c r="CB220" s="102"/>
      <c r="CC220" s="102"/>
      <c r="CD220" s="102"/>
      <c r="CE220" s="102"/>
      <c r="CF220" s="102"/>
      <c r="CG220" s="102"/>
      <c r="CH220" s="102"/>
      <c r="CI220" s="102"/>
      <c r="CJ220" s="102"/>
      <c r="CK220" s="102"/>
      <c r="CL220" s="102"/>
      <c r="CM220" s="102"/>
      <c r="CN220" s="102"/>
      <c r="CO220" s="102"/>
      <c r="CP220" s="102"/>
      <c r="CQ220" s="102"/>
      <c r="CR220" s="102"/>
      <c r="CS220" s="102"/>
      <c r="CT220" s="102"/>
      <c r="CU220" s="102"/>
      <c r="CV220" s="102"/>
      <c r="CW220" s="102"/>
      <c r="CX220" s="102"/>
      <c r="CY220" s="102"/>
      <c r="CZ220" s="102"/>
      <c r="DA220" s="102"/>
      <c r="DB220" s="102"/>
      <c r="DC220" s="102"/>
      <c r="DD220" s="102"/>
      <c r="DE220" s="102"/>
      <c r="DF220" s="102"/>
      <c r="DG220" s="102"/>
      <c r="DH220" s="102"/>
      <c r="DI220" s="102"/>
      <c r="DJ220" s="102"/>
      <c r="DK220" s="102"/>
      <c r="DL220" s="102"/>
      <c r="DM220" s="102"/>
      <c r="DN220" s="102"/>
      <c r="DO220" s="102"/>
      <c r="DP220" s="102"/>
      <c r="DQ220" s="102"/>
      <c r="DR220" s="102"/>
      <c r="DS220" s="102"/>
      <c r="DT220" s="105"/>
      <c r="DU220" s="102"/>
      <c r="DV220" s="102"/>
      <c r="DW220" s="102"/>
      <c r="DX220" s="102"/>
      <c r="DY220" s="102"/>
      <c r="DZ220" s="102"/>
      <c r="EA220" s="102"/>
      <c r="EB220" s="102"/>
      <c r="EC220" s="102"/>
      <c r="ED220" s="102"/>
      <c r="EE220" s="102"/>
      <c r="EF220" s="102"/>
      <c r="EG220" s="102"/>
      <c r="EH220" s="102"/>
      <c r="EI220" s="102"/>
      <c r="EJ220" s="102"/>
      <c r="EK220" s="102"/>
      <c r="EL220" s="102"/>
      <c r="EM220" s="102"/>
    </row>
    <row r="221" spans="1:143" ht="15.75" customHeight="1" x14ac:dyDescent="0.55000000000000004">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c r="AZ221" s="102"/>
      <c r="BA221" s="102"/>
      <c r="BB221" s="102"/>
      <c r="BC221" s="102"/>
      <c r="BD221" s="102"/>
      <c r="BE221" s="102"/>
      <c r="BF221" s="102"/>
      <c r="BG221" s="102"/>
      <c r="BH221" s="102"/>
      <c r="BI221" s="102"/>
      <c r="BJ221" s="102"/>
      <c r="BK221" s="102"/>
      <c r="BL221" s="102"/>
      <c r="BM221" s="102"/>
      <c r="BN221" s="102"/>
      <c r="BO221" s="102"/>
      <c r="BP221" s="102"/>
      <c r="BQ221" s="102"/>
      <c r="BR221" s="102"/>
      <c r="BS221" s="102"/>
      <c r="BT221" s="102"/>
      <c r="BU221" s="102"/>
      <c r="BV221" s="102"/>
      <c r="BW221" s="102"/>
      <c r="BX221" s="102"/>
      <c r="BY221" s="102"/>
      <c r="BZ221" s="102"/>
      <c r="CA221" s="102"/>
      <c r="CB221" s="102"/>
      <c r="CC221" s="102"/>
      <c r="CD221" s="102"/>
      <c r="CE221" s="102"/>
      <c r="CF221" s="102"/>
      <c r="CG221" s="102"/>
      <c r="CH221" s="102"/>
      <c r="CI221" s="102"/>
      <c r="CJ221" s="102"/>
      <c r="CK221" s="102"/>
      <c r="CL221" s="102"/>
      <c r="CM221" s="102"/>
      <c r="CN221" s="102"/>
      <c r="CO221" s="102"/>
      <c r="CP221" s="102"/>
      <c r="CQ221" s="102"/>
      <c r="CR221" s="102"/>
      <c r="CS221" s="102"/>
      <c r="CT221" s="102"/>
      <c r="CU221" s="102"/>
      <c r="CV221" s="102"/>
      <c r="CW221" s="102"/>
      <c r="CX221" s="102"/>
      <c r="CY221" s="102"/>
      <c r="CZ221" s="102"/>
      <c r="DA221" s="102"/>
      <c r="DB221" s="102"/>
      <c r="DC221" s="102"/>
      <c r="DD221" s="102"/>
      <c r="DE221" s="102"/>
      <c r="DF221" s="102"/>
      <c r="DG221" s="102"/>
      <c r="DH221" s="102"/>
      <c r="DI221" s="102"/>
      <c r="DJ221" s="102"/>
      <c r="DK221" s="102"/>
      <c r="DL221" s="102"/>
      <c r="DM221" s="102"/>
      <c r="DN221" s="102"/>
      <c r="DO221" s="102"/>
      <c r="DP221" s="102"/>
      <c r="DQ221" s="102"/>
      <c r="DR221" s="102"/>
      <c r="DS221" s="102"/>
      <c r="DT221" s="105"/>
      <c r="DU221" s="102"/>
      <c r="DV221" s="102"/>
      <c r="DW221" s="102"/>
      <c r="DX221" s="102"/>
      <c r="DY221" s="102"/>
      <c r="DZ221" s="102"/>
      <c r="EA221" s="102"/>
      <c r="EB221" s="102"/>
      <c r="EC221" s="102"/>
      <c r="ED221" s="102"/>
      <c r="EE221" s="102"/>
      <c r="EF221" s="102"/>
      <c r="EG221" s="102"/>
      <c r="EH221" s="102"/>
      <c r="EI221" s="102"/>
      <c r="EJ221" s="102"/>
      <c r="EK221" s="102"/>
      <c r="EL221" s="102"/>
      <c r="EM221" s="102"/>
    </row>
    <row r="222" spans="1:143" ht="15.75" customHeight="1" x14ac:dyDescent="0.55000000000000004">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c r="AZ222" s="102"/>
      <c r="BA222" s="102"/>
      <c r="BB222" s="102"/>
      <c r="BC222" s="102"/>
      <c r="BD222" s="102"/>
      <c r="BE222" s="102"/>
      <c r="BF222" s="102"/>
      <c r="BG222" s="102"/>
      <c r="BH222" s="102"/>
      <c r="BI222" s="102"/>
      <c r="BJ222" s="102"/>
      <c r="BK222" s="102"/>
      <c r="BL222" s="102"/>
      <c r="BM222" s="102"/>
      <c r="BN222" s="102"/>
      <c r="BO222" s="102"/>
      <c r="BP222" s="102"/>
      <c r="BQ222" s="102"/>
      <c r="BR222" s="102"/>
      <c r="BS222" s="102"/>
      <c r="BT222" s="102"/>
      <c r="BU222" s="102"/>
      <c r="BV222" s="102"/>
      <c r="BW222" s="102"/>
      <c r="BX222" s="102"/>
      <c r="BY222" s="102"/>
      <c r="BZ222" s="102"/>
      <c r="CA222" s="102"/>
      <c r="CB222" s="102"/>
      <c r="CC222" s="102"/>
      <c r="CD222" s="102"/>
      <c r="CE222" s="102"/>
      <c r="CF222" s="102"/>
      <c r="CG222" s="102"/>
      <c r="CH222" s="102"/>
      <c r="CI222" s="102"/>
      <c r="CJ222" s="102"/>
      <c r="CK222" s="102"/>
      <c r="CL222" s="102"/>
      <c r="CM222" s="102"/>
      <c r="CN222" s="102"/>
      <c r="CO222" s="102"/>
      <c r="CP222" s="102"/>
      <c r="CQ222" s="102"/>
      <c r="CR222" s="102"/>
      <c r="CS222" s="102"/>
      <c r="CT222" s="102"/>
      <c r="CU222" s="102"/>
      <c r="CV222" s="102"/>
      <c r="CW222" s="102"/>
      <c r="CX222" s="102"/>
      <c r="CY222" s="102"/>
      <c r="CZ222" s="102"/>
      <c r="DA222" s="102"/>
      <c r="DB222" s="102"/>
      <c r="DC222" s="102"/>
      <c r="DD222" s="102"/>
      <c r="DE222" s="102"/>
      <c r="DF222" s="102"/>
      <c r="DG222" s="102"/>
      <c r="DH222" s="102"/>
      <c r="DI222" s="102"/>
      <c r="DJ222" s="102"/>
      <c r="DK222" s="102"/>
      <c r="DL222" s="102"/>
      <c r="DM222" s="102"/>
      <c r="DN222" s="102"/>
      <c r="DO222" s="102"/>
      <c r="DP222" s="102"/>
      <c r="DQ222" s="102"/>
      <c r="DR222" s="102"/>
      <c r="DS222" s="102"/>
      <c r="DT222" s="105"/>
      <c r="DU222" s="102"/>
      <c r="DV222" s="102"/>
      <c r="DW222" s="102"/>
      <c r="DX222" s="102"/>
      <c r="DY222" s="102"/>
      <c r="DZ222" s="102"/>
      <c r="EA222" s="102"/>
      <c r="EB222" s="102"/>
      <c r="EC222" s="102"/>
      <c r="ED222" s="102"/>
      <c r="EE222" s="102"/>
      <c r="EF222" s="102"/>
      <c r="EG222" s="102"/>
      <c r="EH222" s="102"/>
      <c r="EI222" s="102"/>
      <c r="EJ222" s="102"/>
      <c r="EK222" s="102"/>
      <c r="EL222" s="102"/>
      <c r="EM222" s="102"/>
    </row>
    <row r="223" spans="1:143" ht="15.75" customHeight="1" x14ac:dyDescent="0.55000000000000004">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c r="AZ223" s="102"/>
      <c r="BA223" s="102"/>
      <c r="BB223" s="102"/>
      <c r="BC223" s="102"/>
      <c r="BD223" s="102"/>
      <c r="BE223" s="102"/>
      <c r="BF223" s="102"/>
      <c r="BG223" s="102"/>
      <c r="BH223" s="102"/>
      <c r="BI223" s="102"/>
      <c r="BJ223" s="102"/>
      <c r="BK223" s="102"/>
      <c r="BL223" s="102"/>
      <c r="BM223" s="102"/>
      <c r="BN223" s="102"/>
      <c r="BO223" s="102"/>
      <c r="BP223" s="102"/>
      <c r="BQ223" s="102"/>
      <c r="BR223" s="102"/>
      <c r="BS223" s="102"/>
      <c r="BT223" s="102"/>
      <c r="BU223" s="102"/>
      <c r="BV223" s="102"/>
      <c r="BW223" s="102"/>
      <c r="BX223" s="102"/>
      <c r="BY223" s="102"/>
      <c r="BZ223" s="102"/>
      <c r="CA223" s="102"/>
      <c r="CB223" s="102"/>
      <c r="CC223" s="102"/>
      <c r="CD223" s="102"/>
      <c r="CE223" s="102"/>
      <c r="CF223" s="102"/>
      <c r="CG223" s="102"/>
      <c r="CH223" s="102"/>
      <c r="CI223" s="102"/>
      <c r="CJ223" s="102"/>
      <c r="CK223" s="102"/>
      <c r="CL223" s="102"/>
      <c r="CM223" s="102"/>
      <c r="CN223" s="102"/>
      <c r="CO223" s="102"/>
      <c r="CP223" s="102"/>
      <c r="CQ223" s="102"/>
      <c r="CR223" s="102"/>
      <c r="CS223" s="102"/>
      <c r="CT223" s="102"/>
      <c r="CU223" s="102"/>
      <c r="CV223" s="102"/>
      <c r="CW223" s="102"/>
      <c r="CX223" s="102"/>
      <c r="CY223" s="102"/>
      <c r="CZ223" s="102"/>
      <c r="DA223" s="102"/>
      <c r="DB223" s="102"/>
      <c r="DC223" s="102"/>
      <c r="DD223" s="102"/>
      <c r="DE223" s="102"/>
      <c r="DF223" s="102"/>
      <c r="DG223" s="102"/>
      <c r="DH223" s="102"/>
      <c r="DI223" s="102"/>
      <c r="DJ223" s="102"/>
      <c r="DK223" s="102"/>
      <c r="DL223" s="102"/>
      <c r="DM223" s="102"/>
      <c r="DN223" s="102"/>
      <c r="DO223" s="102"/>
      <c r="DP223" s="102"/>
      <c r="DQ223" s="102"/>
      <c r="DR223" s="102"/>
      <c r="DS223" s="102"/>
      <c r="DT223" s="105"/>
      <c r="DU223" s="102"/>
      <c r="DV223" s="102"/>
      <c r="DW223" s="102"/>
      <c r="DX223" s="102"/>
      <c r="DY223" s="102"/>
      <c r="DZ223" s="102"/>
      <c r="EA223" s="102"/>
      <c r="EB223" s="102"/>
      <c r="EC223" s="102"/>
      <c r="ED223" s="102"/>
      <c r="EE223" s="102"/>
      <c r="EF223" s="102"/>
      <c r="EG223" s="102"/>
      <c r="EH223" s="102"/>
      <c r="EI223" s="102"/>
      <c r="EJ223" s="102"/>
      <c r="EK223" s="102"/>
      <c r="EL223" s="102"/>
      <c r="EM223" s="102"/>
    </row>
    <row r="224" spans="1:143" ht="15.75" customHeight="1" x14ac:dyDescent="0.5500000000000000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c r="AZ224" s="102"/>
      <c r="BA224" s="102"/>
      <c r="BB224" s="102"/>
      <c r="BC224" s="102"/>
      <c r="BD224" s="102"/>
      <c r="BE224" s="102"/>
      <c r="BF224" s="102"/>
      <c r="BG224" s="102"/>
      <c r="BH224" s="102"/>
      <c r="BI224" s="102"/>
      <c r="BJ224" s="102"/>
      <c r="BK224" s="102"/>
      <c r="BL224" s="102"/>
      <c r="BM224" s="102"/>
      <c r="BN224" s="102"/>
      <c r="BO224" s="102"/>
      <c r="BP224" s="102"/>
      <c r="BQ224" s="102"/>
      <c r="BR224" s="102"/>
      <c r="BS224" s="102"/>
      <c r="BT224" s="102"/>
      <c r="BU224" s="102"/>
      <c r="BV224" s="102"/>
      <c r="BW224" s="102"/>
      <c r="BX224" s="102"/>
      <c r="BY224" s="102"/>
      <c r="BZ224" s="102"/>
      <c r="CA224" s="102"/>
      <c r="CB224" s="102"/>
      <c r="CC224" s="102"/>
      <c r="CD224" s="102"/>
      <c r="CE224" s="102"/>
      <c r="CF224" s="102"/>
      <c r="CG224" s="102"/>
      <c r="CH224" s="102"/>
      <c r="CI224" s="102"/>
      <c r="CJ224" s="102"/>
      <c r="CK224" s="102"/>
      <c r="CL224" s="102"/>
      <c r="CM224" s="102"/>
      <c r="CN224" s="102"/>
      <c r="CO224" s="102"/>
      <c r="CP224" s="102"/>
      <c r="CQ224" s="102"/>
      <c r="CR224" s="102"/>
      <c r="CS224" s="102"/>
      <c r="CT224" s="102"/>
      <c r="CU224" s="102"/>
      <c r="CV224" s="102"/>
      <c r="CW224" s="102"/>
      <c r="CX224" s="102"/>
      <c r="CY224" s="102"/>
      <c r="CZ224" s="102"/>
      <c r="DA224" s="102"/>
      <c r="DB224" s="102"/>
      <c r="DC224" s="102"/>
      <c r="DD224" s="102"/>
      <c r="DE224" s="102"/>
      <c r="DF224" s="102"/>
      <c r="DG224" s="102"/>
      <c r="DH224" s="102"/>
      <c r="DI224" s="102"/>
      <c r="DJ224" s="102"/>
      <c r="DK224" s="102"/>
      <c r="DL224" s="102"/>
      <c r="DM224" s="102"/>
      <c r="DN224" s="102"/>
      <c r="DO224" s="102"/>
      <c r="DP224" s="102"/>
      <c r="DQ224" s="102"/>
      <c r="DR224" s="102"/>
      <c r="DS224" s="102"/>
      <c r="DT224" s="105"/>
      <c r="DU224" s="102"/>
      <c r="DV224" s="102"/>
      <c r="DW224" s="102"/>
      <c r="DX224" s="102"/>
      <c r="DY224" s="102"/>
      <c r="DZ224" s="102"/>
      <c r="EA224" s="102"/>
      <c r="EB224" s="102"/>
      <c r="EC224" s="102"/>
      <c r="ED224" s="102"/>
      <c r="EE224" s="102"/>
      <c r="EF224" s="102"/>
      <c r="EG224" s="102"/>
      <c r="EH224" s="102"/>
      <c r="EI224" s="102"/>
      <c r="EJ224" s="102"/>
      <c r="EK224" s="102"/>
      <c r="EL224" s="102"/>
      <c r="EM224" s="102"/>
    </row>
    <row r="225" spans="1:143" ht="15.75" customHeight="1" x14ac:dyDescent="0.55000000000000004">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02"/>
      <c r="BG225" s="102"/>
      <c r="BH225" s="102"/>
      <c r="BI225" s="102"/>
      <c r="BJ225" s="102"/>
      <c r="BK225" s="102"/>
      <c r="BL225" s="102"/>
      <c r="BM225" s="102"/>
      <c r="BN225" s="102"/>
      <c r="BO225" s="102"/>
      <c r="BP225" s="102"/>
      <c r="BQ225" s="102"/>
      <c r="BR225" s="102"/>
      <c r="BS225" s="102"/>
      <c r="BT225" s="102"/>
      <c r="BU225" s="102"/>
      <c r="BV225" s="102"/>
      <c r="BW225" s="102"/>
      <c r="BX225" s="102"/>
      <c r="BY225" s="102"/>
      <c r="BZ225" s="102"/>
      <c r="CA225" s="102"/>
      <c r="CB225" s="102"/>
      <c r="CC225" s="102"/>
      <c r="CD225" s="102"/>
      <c r="CE225" s="102"/>
      <c r="CF225" s="102"/>
      <c r="CG225" s="102"/>
      <c r="CH225" s="102"/>
      <c r="CI225" s="102"/>
      <c r="CJ225" s="102"/>
      <c r="CK225" s="102"/>
      <c r="CL225" s="102"/>
      <c r="CM225" s="102"/>
      <c r="CN225" s="102"/>
      <c r="CO225" s="102"/>
      <c r="CP225" s="102"/>
      <c r="CQ225" s="102"/>
      <c r="CR225" s="102"/>
      <c r="CS225" s="102"/>
      <c r="CT225" s="102"/>
      <c r="CU225" s="102"/>
      <c r="CV225" s="102"/>
      <c r="CW225" s="102"/>
      <c r="CX225" s="102"/>
      <c r="CY225" s="102"/>
      <c r="CZ225" s="102"/>
      <c r="DA225" s="102"/>
      <c r="DB225" s="102"/>
      <c r="DC225" s="102"/>
      <c r="DD225" s="102"/>
      <c r="DE225" s="102"/>
      <c r="DF225" s="102"/>
      <c r="DG225" s="102"/>
      <c r="DH225" s="102"/>
      <c r="DI225" s="102"/>
      <c r="DJ225" s="102"/>
      <c r="DK225" s="102"/>
      <c r="DL225" s="102"/>
      <c r="DM225" s="102"/>
      <c r="DN225" s="102"/>
      <c r="DO225" s="102"/>
      <c r="DP225" s="102"/>
      <c r="DQ225" s="102"/>
      <c r="DR225" s="102"/>
      <c r="DS225" s="102"/>
      <c r="DT225" s="105"/>
      <c r="DU225" s="102"/>
      <c r="DV225" s="102"/>
      <c r="DW225" s="102"/>
      <c r="DX225" s="102"/>
      <c r="DY225" s="102"/>
      <c r="DZ225" s="102"/>
      <c r="EA225" s="102"/>
      <c r="EB225" s="102"/>
      <c r="EC225" s="102"/>
      <c r="ED225" s="102"/>
      <c r="EE225" s="102"/>
      <c r="EF225" s="102"/>
      <c r="EG225" s="102"/>
      <c r="EH225" s="102"/>
      <c r="EI225" s="102"/>
      <c r="EJ225" s="102"/>
      <c r="EK225" s="102"/>
      <c r="EL225" s="102"/>
      <c r="EM225" s="102"/>
    </row>
    <row r="226" spans="1:143" ht="15.75" customHeight="1" x14ac:dyDescent="0.55000000000000004">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02"/>
      <c r="BG226" s="102"/>
      <c r="BH226" s="102"/>
      <c r="BI226" s="102"/>
      <c r="BJ226" s="102"/>
      <c r="BK226" s="102"/>
      <c r="BL226" s="102"/>
      <c r="BM226" s="102"/>
      <c r="BN226" s="102"/>
      <c r="BO226" s="102"/>
      <c r="BP226" s="102"/>
      <c r="BQ226" s="102"/>
      <c r="BR226" s="102"/>
      <c r="BS226" s="102"/>
      <c r="BT226" s="102"/>
      <c r="BU226" s="102"/>
      <c r="BV226" s="102"/>
      <c r="BW226" s="102"/>
      <c r="BX226" s="102"/>
      <c r="BY226" s="102"/>
      <c r="BZ226" s="102"/>
      <c r="CA226" s="102"/>
      <c r="CB226" s="102"/>
      <c r="CC226" s="102"/>
      <c r="CD226" s="102"/>
      <c r="CE226" s="102"/>
      <c r="CF226" s="102"/>
      <c r="CG226" s="102"/>
      <c r="CH226" s="102"/>
      <c r="CI226" s="102"/>
      <c r="CJ226" s="102"/>
      <c r="CK226" s="102"/>
      <c r="CL226" s="102"/>
      <c r="CM226" s="102"/>
      <c r="CN226" s="102"/>
      <c r="CO226" s="102"/>
      <c r="CP226" s="102"/>
      <c r="CQ226" s="102"/>
      <c r="CR226" s="102"/>
      <c r="CS226" s="102"/>
      <c r="CT226" s="102"/>
      <c r="CU226" s="102"/>
      <c r="CV226" s="102"/>
      <c r="CW226" s="102"/>
      <c r="CX226" s="102"/>
      <c r="CY226" s="102"/>
      <c r="CZ226" s="102"/>
      <c r="DA226" s="102"/>
      <c r="DB226" s="102"/>
      <c r="DC226" s="102"/>
      <c r="DD226" s="102"/>
      <c r="DE226" s="102"/>
      <c r="DF226" s="102"/>
      <c r="DG226" s="102"/>
      <c r="DH226" s="102"/>
      <c r="DI226" s="102"/>
      <c r="DJ226" s="102"/>
      <c r="DK226" s="102"/>
      <c r="DL226" s="102"/>
      <c r="DM226" s="102"/>
      <c r="DN226" s="102"/>
      <c r="DO226" s="102"/>
      <c r="DP226" s="102"/>
      <c r="DQ226" s="102"/>
      <c r="DR226" s="102"/>
      <c r="DS226" s="102"/>
      <c r="DT226" s="105"/>
      <c r="DU226" s="102"/>
      <c r="DV226" s="102"/>
      <c r="DW226" s="102"/>
      <c r="DX226" s="102"/>
      <c r="DY226" s="102"/>
      <c r="DZ226" s="102"/>
      <c r="EA226" s="102"/>
      <c r="EB226" s="102"/>
      <c r="EC226" s="102"/>
      <c r="ED226" s="102"/>
      <c r="EE226" s="102"/>
      <c r="EF226" s="102"/>
      <c r="EG226" s="102"/>
      <c r="EH226" s="102"/>
      <c r="EI226" s="102"/>
      <c r="EJ226" s="102"/>
      <c r="EK226" s="102"/>
      <c r="EL226" s="102"/>
      <c r="EM226" s="102"/>
    </row>
    <row r="227" spans="1:143" ht="15.75" customHeight="1" x14ac:dyDescent="0.55000000000000004">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02"/>
      <c r="BG227" s="102"/>
      <c r="BH227" s="102"/>
      <c r="BI227" s="102"/>
      <c r="BJ227" s="102"/>
      <c r="BK227" s="102"/>
      <c r="BL227" s="102"/>
      <c r="BM227" s="102"/>
      <c r="BN227" s="102"/>
      <c r="BO227" s="102"/>
      <c r="BP227" s="102"/>
      <c r="BQ227" s="102"/>
      <c r="BR227" s="102"/>
      <c r="BS227" s="102"/>
      <c r="BT227" s="102"/>
      <c r="BU227" s="102"/>
      <c r="BV227" s="102"/>
      <c r="BW227" s="102"/>
      <c r="BX227" s="102"/>
      <c r="BY227" s="102"/>
      <c r="BZ227" s="102"/>
      <c r="CA227" s="102"/>
      <c r="CB227" s="102"/>
      <c r="CC227" s="102"/>
      <c r="CD227" s="102"/>
      <c r="CE227" s="102"/>
      <c r="CF227" s="102"/>
      <c r="CG227" s="102"/>
      <c r="CH227" s="102"/>
      <c r="CI227" s="102"/>
      <c r="CJ227" s="102"/>
      <c r="CK227" s="102"/>
      <c r="CL227" s="102"/>
      <c r="CM227" s="102"/>
      <c r="CN227" s="102"/>
      <c r="CO227" s="102"/>
      <c r="CP227" s="102"/>
      <c r="CQ227" s="102"/>
      <c r="CR227" s="102"/>
      <c r="CS227" s="102"/>
      <c r="CT227" s="102"/>
      <c r="CU227" s="102"/>
      <c r="CV227" s="102"/>
      <c r="CW227" s="102"/>
      <c r="CX227" s="102"/>
      <c r="CY227" s="102"/>
      <c r="CZ227" s="102"/>
      <c r="DA227" s="102"/>
      <c r="DB227" s="102"/>
      <c r="DC227" s="102"/>
      <c r="DD227" s="102"/>
      <c r="DE227" s="102"/>
      <c r="DF227" s="102"/>
      <c r="DG227" s="102"/>
      <c r="DH227" s="102"/>
      <c r="DI227" s="102"/>
      <c r="DJ227" s="102"/>
      <c r="DK227" s="102"/>
      <c r="DL227" s="102"/>
      <c r="DM227" s="102"/>
      <c r="DN227" s="102"/>
      <c r="DO227" s="102"/>
      <c r="DP227" s="102"/>
      <c r="DQ227" s="102"/>
      <c r="DR227" s="102"/>
      <c r="DS227" s="102"/>
      <c r="DT227" s="105"/>
      <c r="DU227" s="102"/>
      <c r="DV227" s="102"/>
      <c r="DW227" s="102"/>
      <c r="DX227" s="102"/>
      <c r="DY227" s="102"/>
      <c r="DZ227" s="102"/>
      <c r="EA227" s="102"/>
      <c r="EB227" s="102"/>
      <c r="EC227" s="102"/>
      <c r="ED227" s="102"/>
      <c r="EE227" s="102"/>
      <c r="EF227" s="102"/>
      <c r="EG227" s="102"/>
      <c r="EH227" s="102"/>
      <c r="EI227" s="102"/>
      <c r="EJ227" s="102"/>
      <c r="EK227" s="102"/>
      <c r="EL227" s="102"/>
      <c r="EM227" s="102"/>
    </row>
    <row r="228" spans="1:143" ht="15.75" customHeight="1" x14ac:dyDescent="0.55000000000000004">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02"/>
      <c r="BG228" s="102"/>
      <c r="BH228" s="102"/>
      <c r="BI228" s="102"/>
      <c r="BJ228" s="102"/>
      <c r="BK228" s="102"/>
      <c r="BL228" s="102"/>
      <c r="BM228" s="102"/>
      <c r="BN228" s="102"/>
      <c r="BO228" s="102"/>
      <c r="BP228" s="102"/>
      <c r="BQ228" s="102"/>
      <c r="BR228" s="102"/>
      <c r="BS228" s="102"/>
      <c r="BT228" s="102"/>
      <c r="BU228" s="102"/>
      <c r="BV228" s="102"/>
      <c r="BW228" s="102"/>
      <c r="BX228" s="102"/>
      <c r="BY228" s="102"/>
      <c r="BZ228" s="102"/>
      <c r="CA228" s="102"/>
      <c r="CB228" s="102"/>
      <c r="CC228" s="102"/>
      <c r="CD228" s="102"/>
      <c r="CE228" s="102"/>
      <c r="CF228" s="102"/>
      <c r="CG228" s="102"/>
      <c r="CH228" s="102"/>
      <c r="CI228" s="102"/>
      <c r="CJ228" s="102"/>
      <c r="CK228" s="102"/>
      <c r="CL228" s="102"/>
      <c r="CM228" s="102"/>
      <c r="CN228" s="102"/>
      <c r="CO228" s="102"/>
      <c r="CP228" s="102"/>
      <c r="CQ228" s="102"/>
      <c r="CR228" s="102"/>
      <c r="CS228" s="102"/>
      <c r="CT228" s="102"/>
      <c r="CU228" s="102"/>
      <c r="CV228" s="102"/>
      <c r="CW228" s="102"/>
      <c r="CX228" s="102"/>
      <c r="CY228" s="102"/>
      <c r="CZ228" s="102"/>
      <c r="DA228" s="102"/>
      <c r="DB228" s="102"/>
      <c r="DC228" s="102"/>
      <c r="DD228" s="102"/>
      <c r="DE228" s="102"/>
      <c r="DF228" s="102"/>
      <c r="DG228" s="102"/>
      <c r="DH228" s="102"/>
      <c r="DI228" s="102"/>
      <c r="DJ228" s="102"/>
      <c r="DK228" s="102"/>
      <c r="DL228" s="102"/>
      <c r="DM228" s="102"/>
      <c r="DN228" s="102"/>
      <c r="DO228" s="102"/>
      <c r="DP228" s="102"/>
      <c r="DQ228" s="102"/>
      <c r="DR228" s="102"/>
      <c r="DS228" s="102"/>
      <c r="DT228" s="105"/>
      <c r="DU228" s="102"/>
      <c r="DV228" s="102"/>
      <c r="DW228" s="102"/>
      <c r="DX228" s="102"/>
      <c r="DY228" s="102"/>
      <c r="DZ228" s="102"/>
      <c r="EA228" s="102"/>
      <c r="EB228" s="102"/>
      <c r="EC228" s="102"/>
      <c r="ED228" s="102"/>
      <c r="EE228" s="102"/>
      <c r="EF228" s="102"/>
      <c r="EG228" s="102"/>
      <c r="EH228" s="102"/>
      <c r="EI228" s="102"/>
      <c r="EJ228" s="102"/>
      <c r="EK228" s="102"/>
      <c r="EL228" s="102"/>
      <c r="EM228" s="102"/>
    </row>
    <row r="229" spans="1:143" ht="15.75" customHeight="1" x14ac:dyDescent="0.55000000000000004">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c r="AZ229" s="102"/>
      <c r="BA229" s="102"/>
      <c r="BB229" s="102"/>
      <c r="BC229" s="102"/>
      <c r="BD229" s="102"/>
      <c r="BE229" s="102"/>
      <c r="BF229" s="102"/>
      <c r="BG229" s="102"/>
      <c r="BH229" s="102"/>
      <c r="BI229" s="102"/>
      <c r="BJ229" s="102"/>
      <c r="BK229" s="102"/>
      <c r="BL229" s="102"/>
      <c r="BM229" s="102"/>
      <c r="BN229" s="102"/>
      <c r="BO229" s="102"/>
      <c r="BP229" s="102"/>
      <c r="BQ229" s="102"/>
      <c r="BR229" s="102"/>
      <c r="BS229" s="102"/>
      <c r="BT229" s="102"/>
      <c r="BU229" s="102"/>
      <c r="BV229" s="102"/>
      <c r="BW229" s="102"/>
      <c r="BX229" s="102"/>
      <c r="BY229" s="102"/>
      <c r="BZ229" s="102"/>
      <c r="CA229" s="102"/>
      <c r="CB229" s="102"/>
      <c r="CC229" s="102"/>
      <c r="CD229" s="102"/>
      <c r="CE229" s="102"/>
      <c r="CF229" s="102"/>
      <c r="CG229" s="102"/>
      <c r="CH229" s="102"/>
      <c r="CI229" s="102"/>
      <c r="CJ229" s="102"/>
      <c r="CK229" s="102"/>
      <c r="CL229" s="102"/>
      <c r="CM229" s="102"/>
      <c r="CN229" s="102"/>
      <c r="CO229" s="102"/>
      <c r="CP229" s="102"/>
      <c r="CQ229" s="102"/>
      <c r="CR229" s="102"/>
      <c r="CS229" s="102"/>
      <c r="CT229" s="102"/>
      <c r="CU229" s="102"/>
      <c r="CV229" s="102"/>
      <c r="CW229" s="102"/>
      <c r="CX229" s="102"/>
      <c r="CY229" s="102"/>
      <c r="CZ229" s="102"/>
      <c r="DA229" s="102"/>
      <c r="DB229" s="102"/>
      <c r="DC229" s="102"/>
      <c r="DD229" s="102"/>
      <c r="DE229" s="102"/>
      <c r="DF229" s="102"/>
      <c r="DG229" s="102"/>
      <c r="DH229" s="102"/>
      <c r="DI229" s="102"/>
      <c r="DJ229" s="102"/>
      <c r="DK229" s="102"/>
      <c r="DL229" s="102"/>
      <c r="DM229" s="102"/>
      <c r="DN229" s="102"/>
      <c r="DO229" s="102"/>
      <c r="DP229" s="102"/>
      <c r="DQ229" s="102"/>
      <c r="DR229" s="102"/>
      <c r="DS229" s="102"/>
      <c r="DT229" s="105"/>
      <c r="DU229" s="102"/>
      <c r="DV229" s="102"/>
      <c r="DW229" s="102"/>
      <c r="DX229" s="102"/>
      <c r="DY229" s="102"/>
      <c r="DZ229" s="102"/>
      <c r="EA229" s="102"/>
      <c r="EB229" s="102"/>
      <c r="EC229" s="102"/>
      <c r="ED229" s="102"/>
      <c r="EE229" s="102"/>
      <c r="EF229" s="102"/>
      <c r="EG229" s="102"/>
      <c r="EH229" s="102"/>
      <c r="EI229" s="102"/>
      <c r="EJ229" s="102"/>
      <c r="EK229" s="102"/>
      <c r="EL229" s="102"/>
      <c r="EM229" s="102"/>
    </row>
    <row r="230" spans="1:143" ht="15.75" customHeight="1" x14ac:dyDescent="0.55000000000000004">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c r="BD230" s="102"/>
      <c r="BE230" s="102"/>
      <c r="BF230" s="102"/>
      <c r="BG230" s="102"/>
      <c r="BH230" s="102"/>
      <c r="BI230" s="102"/>
      <c r="BJ230" s="102"/>
      <c r="BK230" s="102"/>
      <c r="BL230" s="102"/>
      <c r="BM230" s="102"/>
      <c r="BN230" s="102"/>
      <c r="BO230" s="102"/>
      <c r="BP230" s="102"/>
      <c r="BQ230" s="102"/>
      <c r="BR230" s="102"/>
      <c r="BS230" s="102"/>
      <c r="BT230" s="102"/>
      <c r="BU230" s="102"/>
      <c r="BV230" s="102"/>
      <c r="BW230" s="102"/>
      <c r="BX230" s="102"/>
      <c r="BY230" s="102"/>
      <c r="BZ230" s="102"/>
      <c r="CA230" s="102"/>
      <c r="CB230" s="102"/>
      <c r="CC230" s="102"/>
      <c r="CD230" s="102"/>
      <c r="CE230" s="102"/>
      <c r="CF230" s="102"/>
      <c r="CG230" s="102"/>
      <c r="CH230" s="102"/>
      <c r="CI230" s="102"/>
      <c r="CJ230" s="102"/>
      <c r="CK230" s="102"/>
      <c r="CL230" s="102"/>
      <c r="CM230" s="102"/>
      <c r="CN230" s="102"/>
      <c r="CO230" s="102"/>
      <c r="CP230" s="102"/>
      <c r="CQ230" s="102"/>
      <c r="CR230" s="102"/>
      <c r="CS230" s="102"/>
      <c r="CT230" s="102"/>
      <c r="CU230" s="102"/>
      <c r="CV230" s="102"/>
      <c r="CW230" s="102"/>
      <c r="CX230" s="102"/>
      <c r="CY230" s="102"/>
      <c r="CZ230" s="102"/>
      <c r="DA230" s="102"/>
      <c r="DB230" s="102"/>
      <c r="DC230" s="102"/>
      <c r="DD230" s="102"/>
      <c r="DE230" s="102"/>
      <c r="DF230" s="102"/>
      <c r="DG230" s="102"/>
      <c r="DH230" s="102"/>
      <c r="DI230" s="102"/>
      <c r="DJ230" s="102"/>
      <c r="DK230" s="102"/>
      <c r="DL230" s="102"/>
      <c r="DM230" s="102"/>
      <c r="DN230" s="102"/>
      <c r="DO230" s="102"/>
      <c r="DP230" s="102"/>
      <c r="DQ230" s="102"/>
      <c r="DR230" s="102"/>
      <c r="DS230" s="102"/>
      <c r="DT230" s="105"/>
      <c r="DU230" s="102"/>
      <c r="DV230" s="102"/>
      <c r="DW230" s="102"/>
      <c r="DX230" s="102"/>
      <c r="DY230" s="102"/>
      <c r="DZ230" s="102"/>
      <c r="EA230" s="102"/>
      <c r="EB230" s="102"/>
      <c r="EC230" s="102"/>
      <c r="ED230" s="102"/>
      <c r="EE230" s="102"/>
      <c r="EF230" s="102"/>
      <c r="EG230" s="102"/>
      <c r="EH230" s="102"/>
      <c r="EI230" s="102"/>
      <c r="EJ230" s="102"/>
      <c r="EK230" s="102"/>
      <c r="EL230" s="102"/>
      <c r="EM230" s="102"/>
    </row>
    <row r="231" spans="1:143" ht="15.75" customHeight="1" x14ac:dyDescent="0.55000000000000004">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c r="AZ231" s="102"/>
      <c r="BA231" s="102"/>
      <c r="BB231" s="102"/>
      <c r="BC231" s="102"/>
      <c r="BD231" s="102"/>
      <c r="BE231" s="102"/>
      <c r="BF231" s="102"/>
      <c r="BG231" s="102"/>
      <c r="BH231" s="102"/>
      <c r="BI231" s="102"/>
      <c r="BJ231" s="102"/>
      <c r="BK231" s="102"/>
      <c r="BL231" s="102"/>
      <c r="BM231" s="102"/>
      <c r="BN231" s="102"/>
      <c r="BO231" s="102"/>
      <c r="BP231" s="102"/>
      <c r="BQ231" s="102"/>
      <c r="BR231" s="102"/>
      <c r="BS231" s="102"/>
      <c r="BT231" s="102"/>
      <c r="BU231" s="102"/>
      <c r="BV231" s="102"/>
      <c r="BW231" s="102"/>
      <c r="BX231" s="102"/>
      <c r="BY231" s="102"/>
      <c r="BZ231" s="102"/>
      <c r="CA231" s="102"/>
      <c r="CB231" s="102"/>
      <c r="CC231" s="102"/>
      <c r="CD231" s="102"/>
      <c r="CE231" s="102"/>
      <c r="CF231" s="102"/>
      <c r="CG231" s="102"/>
      <c r="CH231" s="102"/>
      <c r="CI231" s="102"/>
      <c r="CJ231" s="102"/>
      <c r="CK231" s="102"/>
      <c r="CL231" s="102"/>
      <c r="CM231" s="102"/>
      <c r="CN231" s="102"/>
      <c r="CO231" s="102"/>
      <c r="CP231" s="102"/>
      <c r="CQ231" s="102"/>
      <c r="CR231" s="102"/>
      <c r="CS231" s="102"/>
      <c r="CT231" s="102"/>
      <c r="CU231" s="102"/>
      <c r="CV231" s="102"/>
      <c r="CW231" s="102"/>
      <c r="CX231" s="102"/>
      <c r="CY231" s="102"/>
      <c r="CZ231" s="102"/>
      <c r="DA231" s="102"/>
      <c r="DB231" s="102"/>
      <c r="DC231" s="102"/>
      <c r="DD231" s="102"/>
      <c r="DE231" s="102"/>
      <c r="DF231" s="102"/>
      <c r="DG231" s="102"/>
      <c r="DH231" s="102"/>
      <c r="DI231" s="102"/>
      <c r="DJ231" s="102"/>
      <c r="DK231" s="102"/>
      <c r="DL231" s="102"/>
      <c r="DM231" s="102"/>
      <c r="DN231" s="102"/>
      <c r="DO231" s="102"/>
      <c r="DP231" s="102"/>
      <c r="DQ231" s="102"/>
      <c r="DR231" s="102"/>
      <c r="DS231" s="102"/>
      <c r="DT231" s="105"/>
      <c r="DU231" s="102"/>
      <c r="DV231" s="102"/>
      <c r="DW231" s="102"/>
      <c r="DX231" s="102"/>
      <c r="DY231" s="102"/>
      <c r="DZ231" s="102"/>
      <c r="EA231" s="102"/>
      <c r="EB231" s="102"/>
      <c r="EC231" s="102"/>
      <c r="ED231" s="102"/>
      <c r="EE231" s="102"/>
      <c r="EF231" s="102"/>
      <c r="EG231" s="102"/>
      <c r="EH231" s="102"/>
      <c r="EI231" s="102"/>
      <c r="EJ231" s="102"/>
      <c r="EK231" s="102"/>
      <c r="EL231" s="102"/>
      <c r="EM231" s="102"/>
    </row>
    <row r="232" spans="1:143" ht="15.75" customHeight="1" x14ac:dyDescent="0.55000000000000004">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02"/>
      <c r="BG232" s="102"/>
      <c r="BH232" s="102"/>
      <c r="BI232" s="102"/>
      <c r="BJ232" s="102"/>
      <c r="BK232" s="102"/>
      <c r="BL232" s="102"/>
      <c r="BM232" s="102"/>
      <c r="BN232" s="102"/>
      <c r="BO232" s="102"/>
      <c r="BP232" s="102"/>
      <c r="BQ232" s="102"/>
      <c r="BR232" s="102"/>
      <c r="BS232" s="102"/>
      <c r="BT232" s="102"/>
      <c r="BU232" s="102"/>
      <c r="BV232" s="102"/>
      <c r="BW232" s="102"/>
      <c r="BX232" s="102"/>
      <c r="BY232" s="102"/>
      <c r="BZ232" s="102"/>
      <c r="CA232" s="102"/>
      <c r="CB232" s="102"/>
      <c r="CC232" s="102"/>
      <c r="CD232" s="102"/>
      <c r="CE232" s="102"/>
      <c r="CF232" s="102"/>
      <c r="CG232" s="102"/>
      <c r="CH232" s="102"/>
      <c r="CI232" s="102"/>
      <c r="CJ232" s="102"/>
      <c r="CK232" s="102"/>
      <c r="CL232" s="102"/>
      <c r="CM232" s="102"/>
      <c r="CN232" s="102"/>
      <c r="CO232" s="102"/>
      <c r="CP232" s="102"/>
      <c r="CQ232" s="102"/>
      <c r="CR232" s="102"/>
      <c r="CS232" s="102"/>
      <c r="CT232" s="102"/>
      <c r="CU232" s="102"/>
      <c r="CV232" s="102"/>
      <c r="CW232" s="102"/>
      <c r="CX232" s="102"/>
      <c r="CY232" s="102"/>
      <c r="CZ232" s="102"/>
      <c r="DA232" s="102"/>
      <c r="DB232" s="102"/>
      <c r="DC232" s="102"/>
      <c r="DD232" s="102"/>
      <c r="DE232" s="102"/>
      <c r="DF232" s="102"/>
      <c r="DG232" s="102"/>
      <c r="DH232" s="102"/>
      <c r="DI232" s="102"/>
      <c r="DJ232" s="102"/>
      <c r="DK232" s="102"/>
      <c r="DL232" s="102"/>
      <c r="DM232" s="102"/>
      <c r="DN232" s="102"/>
      <c r="DO232" s="102"/>
      <c r="DP232" s="102"/>
      <c r="DQ232" s="102"/>
      <c r="DR232" s="102"/>
      <c r="DS232" s="102"/>
      <c r="DT232" s="105"/>
      <c r="DU232" s="102"/>
      <c r="DV232" s="102"/>
      <c r="DW232" s="102"/>
      <c r="DX232" s="102"/>
      <c r="DY232" s="102"/>
      <c r="DZ232" s="102"/>
      <c r="EA232" s="102"/>
      <c r="EB232" s="102"/>
      <c r="EC232" s="102"/>
      <c r="ED232" s="102"/>
      <c r="EE232" s="102"/>
      <c r="EF232" s="102"/>
      <c r="EG232" s="102"/>
      <c r="EH232" s="102"/>
      <c r="EI232" s="102"/>
      <c r="EJ232" s="102"/>
      <c r="EK232" s="102"/>
      <c r="EL232" s="102"/>
      <c r="EM232" s="102"/>
    </row>
    <row r="233" spans="1:143" ht="15.75" customHeight="1" x14ac:dyDescent="0.55000000000000004">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02"/>
      <c r="BG233" s="102"/>
      <c r="BH233" s="102"/>
      <c r="BI233" s="102"/>
      <c r="BJ233" s="102"/>
      <c r="BK233" s="102"/>
      <c r="BL233" s="102"/>
      <c r="BM233" s="102"/>
      <c r="BN233" s="102"/>
      <c r="BO233" s="102"/>
      <c r="BP233" s="102"/>
      <c r="BQ233" s="102"/>
      <c r="BR233" s="102"/>
      <c r="BS233" s="102"/>
      <c r="BT233" s="102"/>
      <c r="BU233" s="102"/>
      <c r="BV233" s="102"/>
      <c r="BW233" s="102"/>
      <c r="BX233" s="102"/>
      <c r="BY233" s="102"/>
      <c r="BZ233" s="102"/>
      <c r="CA233" s="102"/>
      <c r="CB233" s="102"/>
      <c r="CC233" s="102"/>
      <c r="CD233" s="102"/>
      <c r="CE233" s="102"/>
      <c r="CF233" s="102"/>
      <c r="CG233" s="102"/>
      <c r="CH233" s="102"/>
      <c r="CI233" s="102"/>
      <c r="CJ233" s="102"/>
      <c r="CK233" s="102"/>
      <c r="CL233" s="102"/>
      <c r="CM233" s="102"/>
      <c r="CN233" s="102"/>
      <c r="CO233" s="102"/>
      <c r="CP233" s="102"/>
      <c r="CQ233" s="102"/>
      <c r="CR233" s="102"/>
      <c r="CS233" s="102"/>
      <c r="CT233" s="102"/>
      <c r="CU233" s="102"/>
      <c r="CV233" s="102"/>
      <c r="CW233" s="102"/>
      <c r="CX233" s="102"/>
      <c r="CY233" s="102"/>
      <c r="CZ233" s="102"/>
      <c r="DA233" s="102"/>
      <c r="DB233" s="102"/>
      <c r="DC233" s="102"/>
      <c r="DD233" s="102"/>
      <c r="DE233" s="102"/>
      <c r="DF233" s="102"/>
      <c r="DG233" s="102"/>
      <c r="DH233" s="102"/>
      <c r="DI233" s="102"/>
      <c r="DJ233" s="102"/>
      <c r="DK233" s="102"/>
      <c r="DL233" s="102"/>
      <c r="DM233" s="102"/>
      <c r="DN233" s="102"/>
      <c r="DO233" s="102"/>
      <c r="DP233" s="102"/>
      <c r="DQ233" s="102"/>
      <c r="DR233" s="102"/>
      <c r="DS233" s="102"/>
      <c r="DT233" s="105"/>
      <c r="DU233" s="102"/>
      <c r="DV233" s="102"/>
      <c r="DW233" s="102"/>
      <c r="DX233" s="102"/>
      <c r="DY233" s="102"/>
      <c r="DZ233" s="102"/>
      <c r="EA233" s="102"/>
      <c r="EB233" s="102"/>
      <c r="EC233" s="102"/>
      <c r="ED233" s="102"/>
      <c r="EE233" s="102"/>
      <c r="EF233" s="102"/>
      <c r="EG233" s="102"/>
      <c r="EH233" s="102"/>
      <c r="EI233" s="102"/>
      <c r="EJ233" s="102"/>
      <c r="EK233" s="102"/>
      <c r="EL233" s="102"/>
      <c r="EM233" s="102"/>
    </row>
    <row r="234" spans="1:143" ht="15.75" customHeight="1" x14ac:dyDescent="0.5500000000000000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c r="AZ234" s="102"/>
      <c r="BA234" s="102"/>
      <c r="BB234" s="102"/>
      <c r="BC234" s="102"/>
      <c r="BD234" s="102"/>
      <c r="BE234" s="102"/>
      <c r="BF234" s="102"/>
      <c r="BG234" s="102"/>
      <c r="BH234" s="102"/>
      <c r="BI234" s="102"/>
      <c r="BJ234" s="102"/>
      <c r="BK234" s="102"/>
      <c r="BL234" s="102"/>
      <c r="BM234" s="102"/>
      <c r="BN234" s="102"/>
      <c r="BO234" s="102"/>
      <c r="BP234" s="102"/>
      <c r="BQ234" s="102"/>
      <c r="BR234" s="102"/>
      <c r="BS234" s="102"/>
      <c r="BT234" s="102"/>
      <c r="BU234" s="102"/>
      <c r="BV234" s="102"/>
      <c r="BW234" s="102"/>
      <c r="BX234" s="102"/>
      <c r="BY234" s="102"/>
      <c r="BZ234" s="102"/>
      <c r="CA234" s="102"/>
      <c r="CB234" s="102"/>
      <c r="CC234" s="102"/>
      <c r="CD234" s="102"/>
      <c r="CE234" s="102"/>
      <c r="CF234" s="102"/>
      <c r="CG234" s="102"/>
      <c r="CH234" s="102"/>
      <c r="CI234" s="102"/>
      <c r="CJ234" s="102"/>
      <c r="CK234" s="102"/>
      <c r="CL234" s="102"/>
      <c r="CM234" s="102"/>
      <c r="CN234" s="102"/>
      <c r="CO234" s="102"/>
      <c r="CP234" s="102"/>
      <c r="CQ234" s="102"/>
      <c r="CR234" s="102"/>
      <c r="CS234" s="102"/>
      <c r="CT234" s="102"/>
      <c r="CU234" s="102"/>
      <c r="CV234" s="102"/>
      <c r="CW234" s="102"/>
      <c r="CX234" s="102"/>
      <c r="CY234" s="102"/>
      <c r="CZ234" s="102"/>
      <c r="DA234" s="102"/>
      <c r="DB234" s="102"/>
      <c r="DC234" s="102"/>
      <c r="DD234" s="102"/>
      <c r="DE234" s="102"/>
      <c r="DF234" s="102"/>
      <c r="DG234" s="102"/>
      <c r="DH234" s="102"/>
      <c r="DI234" s="102"/>
      <c r="DJ234" s="102"/>
      <c r="DK234" s="102"/>
      <c r="DL234" s="102"/>
      <c r="DM234" s="102"/>
      <c r="DN234" s="102"/>
      <c r="DO234" s="102"/>
      <c r="DP234" s="102"/>
      <c r="DQ234" s="102"/>
      <c r="DR234" s="102"/>
      <c r="DS234" s="102"/>
      <c r="DT234" s="105"/>
      <c r="DU234" s="102"/>
      <c r="DV234" s="102"/>
      <c r="DW234" s="102"/>
      <c r="DX234" s="102"/>
      <c r="DY234" s="102"/>
      <c r="DZ234" s="102"/>
      <c r="EA234" s="102"/>
      <c r="EB234" s="102"/>
      <c r="EC234" s="102"/>
      <c r="ED234" s="102"/>
      <c r="EE234" s="102"/>
      <c r="EF234" s="102"/>
      <c r="EG234" s="102"/>
      <c r="EH234" s="102"/>
      <c r="EI234" s="102"/>
      <c r="EJ234" s="102"/>
      <c r="EK234" s="102"/>
      <c r="EL234" s="102"/>
      <c r="EM234" s="102"/>
    </row>
    <row r="235" spans="1:143" ht="15.75" customHeight="1" x14ac:dyDescent="0.55000000000000004">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c r="AZ235" s="102"/>
      <c r="BA235" s="102"/>
      <c r="BB235" s="102"/>
      <c r="BC235" s="102"/>
      <c r="BD235" s="102"/>
      <c r="BE235" s="102"/>
      <c r="BF235" s="102"/>
      <c r="BG235" s="102"/>
      <c r="BH235" s="102"/>
      <c r="BI235" s="102"/>
      <c r="BJ235" s="102"/>
      <c r="BK235" s="102"/>
      <c r="BL235" s="102"/>
      <c r="BM235" s="102"/>
      <c r="BN235" s="102"/>
      <c r="BO235" s="102"/>
      <c r="BP235" s="102"/>
      <c r="BQ235" s="102"/>
      <c r="BR235" s="102"/>
      <c r="BS235" s="102"/>
      <c r="BT235" s="102"/>
      <c r="BU235" s="102"/>
      <c r="BV235" s="102"/>
      <c r="BW235" s="102"/>
      <c r="BX235" s="102"/>
      <c r="BY235" s="102"/>
      <c r="BZ235" s="102"/>
      <c r="CA235" s="102"/>
      <c r="CB235" s="102"/>
      <c r="CC235" s="102"/>
      <c r="CD235" s="102"/>
      <c r="CE235" s="102"/>
      <c r="CF235" s="102"/>
      <c r="CG235" s="102"/>
      <c r="CH235" s="102"/>
      <c r="CI235" s="102"/>
      <c r="CJ235" s="102"/>
      <c r="CK235" s="102"/>
      <c r="CL235" s="102"/>
      <c r="CM235" s="102"/>
      <c r="CN235" s="102"/>
      <c r="CO235" s="102"/>
      <c r="CP235" s="102"/>
      <c r="CQ235" s="102"/>
      <c r="CR235" s="102"/>
      <c r="CS235" s="102"/>
      <c r="CT235" s="102"/>
      <c r="CU235" s="102"/>
      <c r="CV235" s="102"/>
      <c r="CW235" s="102"/>
      <c r="CX235" s="102"/>
      <c r="CY235" s="102"/>
      <c r="CZ235" s="102"/>
      <c r="DA235" s="102"/>
      <c r="DB235" s="102"/>
      <c r="DC235" s="102"/>
      <c r="DD235" s="102"/>
      <c r="DE235" s="102"/>
      <c r="DF235" s="102"/>
      <c r="DG235" s="102"/>
      <c r="DH235" s="102"/>
      <c r="DI235" s="102"/>
      <c r="DJ235" s="102"/>
      <c r="DK235" s="102"/>
      <c r="DL235" s="102"/>
      <c r="DM235" s="102"/>
      <c r="DN235" s="102"/>
      <c r="DO235" s="102"/>
      <c r="DP235" s="102"/>
      <c r="DQ235" s="102"/>
      <c r="DR235" s="102"/>
      <c r="DS235" s="102"/>
      <c r="DT235" s="105"/>
      <c r="DU235" s="102"/>
      <c r="DV235" s="102"/>
      <c r="DW235" s="102"/>
      <c r="DX235" s="102"/>
      <c r="DY235" s="102"/>
      <c r="DZ235" s="102"/>
      <c r="EA235" s="102"/>
      <c r="EB235" s="102"/>
      <c r="EC235" s="102"/>
      <c r="ED235" s="102"/>
      <c r="EE235" s="102"/>
      <c r="EF235" s="102"/>
      <c r="EG235" s="102"/>
      <c r="EH235" s="102"/>
      <c r="EI235" s="102"/>
      <c r="EJ235" s="102"/>
      <c r="EK235" s="102"/>
      <c r="EL235" s="102"/>
      <c r="EM235" s="102"/>
    </row>
    <row r="236" spans="1:143" ht="15.75" customHeight="1" x14ac:dyDescent="0.55000000000000004">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c r="AZ236" s="102"/>
      <c r="BA236" s="102"/>
      <c r="BB236" s="102"/>
      <c r="BC236" s="102"/>
      <c r="BD236" s="102"/>
      <c r="BE236" s="102"/>
      <c r="BF236" s="102"/>
      <c r="BG236" s="102"/>
      <c r="BH236" s="102"/>
      <c r="BI236" s="102"/>
      <c r="BJ236" s="102"/>
      <c r="BK236" s="102"/>
      <c r="BL236" s="102"/>
      <c r="BM236" s="102"/>
      <c r="BN236" s="102"/>
      <c r="BO236" s="102"/>
      <c r="BP236" s="102"/>
      <c r="BQ236" s="102"/>
      <c r="BR236" s="102"/>
      <c r="BS236" s="102"/>
      <c r="BT236" s="102"/>
      <c r="BU236" s="102"/>
      <c r="BV236" s="102"/>
      <c r="BW236" s="102"/>
      <c r="BX236" s="102"/>
      <c r="BY236" s="102"/>
      <c r="BZ236" s="102"/>
      <c r="CA236" s="102"/>
      <c r="CB236" s="102"/>
      <c r="CC236" s="102"/>
      <c r="CD236" s="102"/>
      <c r="CE236" s="102"/>
      <c r="CF236" s="102"/>
      <c r="CG236" s="102"/>
      <c r="CH236" s="102"/>
      <c r="CI236" s="102"/>
      <c r="CJ236" s="102"/>
      <c r="CK236" s="102"/>
      <c r="CL236" s="102"/>
      <c r="CM236" s="102"/>
      <c r="CN236" s="102"/>
      <c r="CO236" s="102"/>
      <c r="CP236" s="102"/>
      <c r="CQ236" s="102"/>
      <c r="CR236" s="102"/>
      <c r="CS236" s="102"/>
      <c r="CT236" s="102"/>
      <c r="CU236" s="102"/>
      <c r="CV236" s="102"/>
      <c r="CW236" s="102"/>
      <c r="CX236" s="102"/>
      <c r="CY236" s="102"/>
      <c r="CZ236" s="102"/>
      <c r="DA236" s="102"/>
      <c r="DB236" s="102"/>
      <c r="DC236" s="102"/>
      <c r="DD236" s="102"/>
      <c r="DE236" s="102"/>
      <c r="DF236" s="102"/>
      <c r="DG236" s="102"/>
      <c r="DH236" s="102"/>
      <c r="DI236" s="102"/>
      <c r="DJ236" s="102"/>
      <c r="DK236" s="102"/>
      <c r="DL236" s="102"/>
      <c r="DM236" s="102"/>
      <c r="DN236" s="102"/>
      <c r="DO236" s="102"/>
      <c r="DP236" s="102"/>
      <c r="DQ236" s="102"/>
      <c r="DR236" s="102"/>
      <c r="DS236" s="102"/>
      <c r="DT236" s="105"/>
      <c r="DU236" s="102"/>
      <c r="DV236" s="102"/>
      <c r="DW236" s="102"/>
      <c r="DX236" s="102"/>
      <c r="DY236" s="102"/>
      <c r="DZ236" s="102"/>
      <c r="EA236" s="102"/>
      <c r="EB236" s="102"/>
      <c r="EC236" s="102"/>
      <c r="ED236" s="102"/>
      <c r="EE236" s="102"/>
      <c r="EF236" s="102"/>
      <c r="EG236" s="102"/>
      <c r="EH236" s="102"/>
      <c r="EI236" s="102"/>
      <c r="EJ236" s="102"/>
      <c r="EK236" s="102"/>
      <c r="EL236" s="102"/>
      <c r="EM236" s="102"/>
    </row>
    <row r="237" spans="1:143" ht="15.75" customHeight="1" x14ac:dyDescent="0.55000000000000004">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c r="AZ237" s="102"/>
      <c r="BA237" s="102"/>
      <c r="BB237" s="102"/>
      <c r="BC237" s="102"/>
      <c r="BD237" s="102"/>
      <c r="BE237" s="102"/>
      <c r="BF237" s="102"/>
      <c r="BG237" s="102"/>
      <c r="BH237" s="102"/>
      <c r="BI237" s="102"/>
      <c r="BJ237" s="102"/>
      <c r="BK237" s="102"/>
      <c r="BL237" s="102"/>
      <c r="BM237" s="102"/>
      <c r="BN237" s="102"/>
      <c r="BO237" s="102"/>
      <c r="BP237" s="102"/>
      <c r="BQ237" s="102"/>
      <c r="BR237" s="102"/>
      <c r="BS237" s="102"/>
      <c r="BT237" s="102"/>
      <c r="BU237" s="102"/>
      <c r="BV237" s="102"/>
      <c r="BW237" s="102"/>
      <c r="BX237" s="102"/>
      <c r="BY237" s="102"/>
      <c r="BZ237" s="102"/>
      <c r="CA237" s="102"/>
      <c r="CB237" s="102"/>
      <c r="CC237" s="102"/>
      <c r="CD237" s="102"/>
      <c r="CE237" s="102"/>
      <c r="CF237" s="102"/>
      <c r="CG237" s="102"/>
      <c r="CH237" s="102"/>
      <c r="CI237" s="102"/>
      <c r="CJ237" s="102"/>
      <c r="CK237" s="102"/>
      <c r="CL237" s="102"/>
      <c r="CM237" s="102"/>
      <c r="CN237" s="102"/>
      <c r="CO237" s="102"/>
      <c r="CP237" s="102"/>
      <c r="CQ237" s="102"/>
      <c r="CR237" s="102"/>
      <c r="CS237" s="102"/>
      <c r="CT237" s="102"/>
      <c r="CU237" s="102"/>
      <c r="CV237" s="102"/>
      <c r="CW237" s="102"/>
      <c r="CX237" s="102"/>
      <c r="CY237" s="102"/>
      <c r="CZ237" s="102"/>
      <c r="DA237" s="102"/>
      <c r="DB237" s="102"/>
      <c r="DC237" s="102"/>
      <c r="DD237" s="102"/>
      <c r="DE237" s="102"/>
      <c r="DF237" s="102"/>
      <c r="DG237" s="102"/>
      <c r="DH237" s="102"/>
      <c r="DI237" s="102"/>
      <c r="DJ237" s="102"/>
      <c r="DK237" s="102"/>
      <c r="DL237" s="102"/>
      <c r="DM237" s="102"/>
      <c r="DN237" s="102"/>
      <c r="DO237" s="102"/>
      <c r="DP237" s="102"/>
      <c r="DQ237" s="102"/>
      <c r="DR237" s="102"/>
      <c r="DS237" s="102"/>
      <c r="DT237" s="105"/>
      <c r="DU237" s="102"/>
      <c r="DV237" s="102"/>
      <c r="DW237" s="102"/>
      <c r="DX237" s="102"/>
      <c r="DY237" s="102"/>
      <c r="DZ237" s="102"/>
      <c r="EA237" s="102"/>
      <c r="EB237" s="102"/>
      <c r="EC237" s="102"/>
      <c r="ED237" s="102"/>
      <c r="EE237" s="102"/>
      <c r="EF237" s="102"/>
      <c r="EG237" s="102"/>
      <c r="EH237" s="102"/>
      <c r="EI237" s="102"/>
      <c r="EJ237" s="102"/>
      <c r="EK237" s="102"/>
      <c r="EL237" s="102"/>
      <c r="EM237" s="102"/>
    </row>
    <row r="238" spans="1:143" ht="15.75" customHeight="1" x14ac:dyDescent="0.55000000000000004">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c r="AZ238" s="102"/>
      <c r="BA238" s="102"/>
      <c r="BB238" s="102"/>
      <c r="BC238" s="102"/>
      <c r="BD238" s="102"/>
      <c r="BE238" s="102"/>
      <c r="BF238" s="102"/>
      <c r="BG238" s="102"/>
      <c r="BH238" s="102"/>
      <c r="BI238" s="102"/>
      <c r="BJ238" s="102"/>
      <c r="BK238" s="102"/>
      <c r="BL238" s="102"/>
      <c r="BM238" s="102"/>
      <c r="BN238" s="102"/>
      <c r="BO238" s="102"/>
      <c r="BP238" s="102"/>
      <c r="BQ238" s="102"/>
      <c r="BR238" s="102"/>
      <c r="BS238" s="102"/>
      <c r="BT238" s="102"/>
      <c r="BU238" s="102"/>
      <c r="BV238" s="102"/>
      <c r="BW238" s="102"/>
      <c r="BX238" s="102"/>
      <c r="BY238" s="102"/>
      <c r="BZ238" s="102"/>
      <c r="CA238" s="102"/>
      <c r="CB238" s="102"/>
      <c r="CC238" s="102"/>
      <c r="CD238" s="102"/>
      <c r="CE238" s="102"/>
      <c r="CF238" s="102"/>
      <c r="CG238" s="102"/>
      <c r="CH238" s="102"/>
      <c r="CI238" s="102"/>
      <c r="CJ238" s="102"/>
      <c r="CK238" s="102"/>
      <c r="CL238" s="102"/>
      <c r="CM238" s="102"/>
      <c r="CN238" s="102"/>
      <c r="CO238" s="102"/>
      <c r="CP238" s="102"/>
      <c r="CQ238" s="102"/>
      <c r="CR238" s="102"/>
      <c r="CS238" s="102"/>
      <c r="CT238" s="102"/>
      <c r="CU238" s="102"/>
      <c r="CV238" s="102"/>
      <c r="CW238" s="102"/>
      <c r="CX238" s="102"/>
      <c r="CY238" s="102"/>
      <c r="CZ238" s="102"/>
      <c r="DA238" s="102"/>
      <c r="DB238" s="102"/>
      <c r="DC238" s="102"/>
      <c r="DD238" s="102"/>
      <c r="DE238" s="102"/>
      <c r="DF238" s="102"/>
      <c r="DG238" s="102"/>
      <c r="DH238" s="102"/>
      <c r="DI238" s="102"/>
      <c r="DJ238" s="102"/>
      <c r="DK238" s="102"/>
      <c r="DL238" s="102"/>
      <c r="DM238" s="102"/>
      <c r="DN238" s="102"/>
      <c r="DO238" s="102"/>
      <c r="DP238" s="102"/>
      <c r="DQ238" s="102"/>
      <c r="DR238" s="102"/>
      <c r="DS238" s="102"/>
      <c r="DT238" s="105"/>
      <c r="DU238" s="102"/>
      <c r="DV238" s="102"/>
      <c r="DW238" s="102"/>
      <c r="DX238" s="102"/>
      <c r="DY238" s="102"/>
      <c r="DZ238" s="102"/>
      <c r="EA238" s="102"/>
      <c r="EB238" s="102"/>
      <c r="EC238" s="102"/>
      <c r="ED238" s="102"/>
      <c r="EE238" s="102"/>
      <c r="EF238" s="102"/>
      <c r="EG238" s="102"/>
      <c r="EH238" s="102"/>
      <c r="EI238" s="102"/>
      <c r="EJ238" s="102"/>
      <c r="EK238" s="102"/>
      <c r="EL238" s="102"/>
      <c r="EM238" s="102"/>
    </row>
    <row r="239" spans="1:143" ht="15.75" customHeight="1" x14ac:dyDescent="0.55000000000000004">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02"/>
      <c r="BG239" s="102"/>
      <c r="BH239" s="102"/>
      <c r="BI239" s="102"/>
      <c r="BJ239" s="102"/>
      <c r="BK239" s="102"/>
      <c r="BL239" s="102"/>
      <c r="BM239" s="102"/>
      <c r="BN239" s="102"/>
      <c r="BO239" s="102"/>
      <c r="BP239" s="102"/>
      <c r="BQ239" s="102"/>
      <c r="BR239" s="102"/>
      <c r="BS239" s="102"/>
      <c r="BT239" s="102"/>
      <c r="BU239" s="102"/>
      <c r="BV239" s="102"/>
      <c r="BW239" s="102"/>
      <c r="BX239" s="102"/>
      <c r="BY239" s="102"/>
      <c r="BZ239" s="102"/>
      <c r="CA239" s="102"/>
      <c r="CB239" s="102"/>
      <c r="CC239" s="102"/>
      <c r="CD239" s="102"/>
      <c r="CE239" s="102"/>
      <c r="CF239" s="102"/>
      <c r="CG239" s="102"/>
      <c r="CH239" s="102"/>
      <c r="CI239" s="102"/>
      <c r="CJ239" s="102"/>
      <c r="CK239" s="102"/>
      <c r="CL239" s="102"/>
      <c r="CM239" s="102"/>
      <c r="CN239" s="102"/>
      <c r="CO239" s="102"/>
      <c r="CP239" s="102"/>
      <c r="CQ239" s="102"/>
      <c r="CR239" s="102"/>
      <c r="CS239" s="102"/>
      <c r="CT239" s="102"/>
      <c r="CU239" s="102"/>
      <c r="CV239" s="102"/>
      <c r="CW239" s="102"/>
      <c r="CX239" s="102"/>
      <c r="CY239" s="102"/>
      <c r="CZ239" s="102"/>
      <c r="DA239" s="102"/>
      <c r="DB239" s="102"/>
      <c r="DC239" s="102"/>
      <c r="DD239" s="102"/>
      <c r="DE239" s="102"/>
      <c r="DF239" s="102"/>
      <c r="DG239" s="102"/>
      <c r="DH239" s="102"/>
      <c r="DI239" s="102"/>
      <c r="DJ239" s="102"/>
      <c r="DK239" s="102"/>
      <c r="DL239" s="102"/>
      <c r="DM239" s="102"/>
      <c r="DN239" s="102"/>
      <c r="DO239" s="102"/>
      <c r="DP239" s="102"/>
      <c r="DQ239" s="102"/>
      <c r="DR239" s="102"/>
      <c r="DS239" s="102"/>
      <c r="DT239" s="105"/>
      <c r="DU239" s="102"/>
      <c r="DV239" s="102"/>
      <c r="DW239" s="102"/>
      <c r="DX239" s="102"/>
      <c r="DY239" s="102"/>
      <c r="DZ239" s="102"/>
      <c r="EA239" s="102"/>
      <c r="EB239" s="102"/>
      <c r="EC239" s="102"/>
      <c r="ED239" s="102"/>
      <c r="EE239" s="102"/>
      <c r="EF239" s="102"/>
      <c r="EG239" s="102"/>
      <c r="EH239" s="102"/>
      <c r="EI239" s="102"/>
      <c r="EJ239" s="102"/>
      <c r="EK239" s="102"/>
      <c r="EL239" s="102"/>
      <c r="EM239" s="102"/>
    </row>
    <row r="240" spans="1:143" ht="15.75" customHeight="1" x14ac:dyDescent="0.55000000000000004">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c r="AZ240" s="102"/>
      <c r="BA240" s="102"/>
      <c r="BB240" s="102"/>
      <c r="BC240" s="102"/>
      <c r="BD240" s="102"/>
      <c r="BE240" s="102"/>
      <c r="BF240" s="102"/>
      <c r="BG240" s="102"/>
      <c r="BH240" s="102"/>
      <c r="BI240" s="102"/>
      <c r="BJ240" s="102"/>
      <c r="BK240" s="102"/>
      <c r="BL240" s="102"/>
      <c r="BM240" s="102"/>
      <c r="BN240" s="102"/>
      <c r="BO240" s="102"/>
      <c r="BP240" s="102"/>
      <c r="BQ240" s="102"/>
      <c r="BR240" s="102"/>
      <c r="BS240" s="102"/>
      <c r="BT240" s="102"/>
      <c r="BU240" s="102"/>
      <c r="BV240" s="102"/>
      <c r="BW240" s="102"/>
      <c r="BX240" s="102"/>
      <c r="BY240" s="102"/>
      <c r="BZ240" s="102"/>
      <c r="CA240" s="102"/>
      <c r="CB240" s="102"/>
      <c r="CC240" s="102"/>
      <c r="CD240" s="102"/>
      <c r="CE240" s="102"/>
      <c r="CF240" s="102"/>
      <c r="CG240" s="102"/>
      <c r="CH240" s="102"/>
      <c r="CI240" s="102"/>
      <c r="CJ240" s="102"/>
      <c r="CK240" s="102"/>
      <c r="CL240" s="102"/>
      <c r="CM240" s="102"/>
      <c r="CN240" s="102"/>
      <c r="CO240" s="102"/>
      <c r="CP240" s="102"/>
      <c r="CQ240" s="102"/>
      <c r="CR240" s="102"/>
      <c r="CS240" s="102"/>
      <c r="CT240" s="102"/>
      <c r="CU240" s="102"/>
      <c r="CV240" s="102"/>
      <c r="CW240" s="102"/>
      <c r="CX240" s="102"/>
      <c r="CY240" s="102"/>
      <c r="CZ240" s="102"/>
      <c r="DA240" s="102"/>
      <c r="DB240" s="102"/>
      <c r="DC240" s="102"/>
      <c r="DD240" s="102"/>
      <c r="DE240" s="102"/>
      <c r="DF240" s="102"/>
      <c r="DG240" s="102"/>
      <c r="DH240" s="102"/>
      <c r="DI240" s="102"/>
      <c r="DJ240" s="102"/>
      <c r="DK240" s="102"/>
      <c r="DL240" s="102"/>
      <c r="DM240" s="102"/>
      <c r="DN240" s="102"/>
      <c r="DO240" s="102"/>
      <c r="DP240" s="102"/>
      <c r="DQ240" s="102"/>
      <c r="DR240" s="102"/>
      <c r="DS240" s="102"/>
      <c r="DT240" s="105"/>
      <c r="DU240" s="102"/>
      <c r="DV240" s="102"/>
      <c r="DW240" s="102"/>
      <c r="DX240" s="102"/>
      <c r="DY240" s="102"/>
      <c r="DZ240" s="102"/>
      <c r="EA240" s="102"/>
      <c r="EB240" s="102"/>
      <c r="EC240" s="102"/>
      <c r="ED240" s="102"/>
      <c r="EE240" s="102"/>
      <c r="EF240" s="102"/>
      <c r="EG240" s="102"/>
      <c r="EH240" s="102"/>
      <c r="EI240" s="102"/>
      <c r="EJ240" s="102"/>
      <c r="EK240" s="102"/>
      <c r="EL240" s="102"/>
      <c r="EM240" s="102"/>
    </row>
    <row r="241" spans="1:143" ht="15.75" customHeight="1" x14ac:dyDescent="0.55000000000000004">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c r="AZ241" s="102"/>
      <c r="BA241" s="102"/>
      <c r="BB241" s="102"/>
      <c r="BC241" s="102"/>
      <c r="BD241" s="102"/>
      <c r="BE241" s="102"/>
      <c r="BF241" s="102"/>
      <c r="BG241" s="102"/>
      <c r="BH241" s="102"/>
      <c r="BI241" s="102"/>
      <c r="BJ241" s="102"/>
      <c r="BK241" s="102"/>
      <c r="BL241" s="102"/>
      <c r="BM241" s="102"/>
      <c r="BN241" s="102"/>
      <c r="BO241" s="102"/>
      <c r="BP241" s="102"/>
      <c r="BQ241" s="102"/>
      <c r="BR241" s="102"/>
      <c r="BS241" s="102"/>
      <c r="BT241" s="102"/>
      <c r="BU241" s="102"/>
      <c r="BV241" s="102"/>
      <c r="BW241" s="102"/>
      <c r="BX241" s="102"/>
      <c r="BY241" s="102"/>
      <c r="BZ241" s="102"/>
      <c r="CA241" s="102"/>
      <c r="CB241" s="102"/>
      <c r="CC241" s="102"/>
      <c r="CD241" s="102"/>
      <c r="CE241" s="102"/>
      <c r="CF241" s="102"/>
      <c r="CG241" s="102"/>
      <c r="CH241" s="102"/>
      <c r="CI241" s="102"/>
      <c r="CJ241" s="102"/>
      <c r="CK241" s="102"/>
      <c r="CL241" s="102"/>
      <c r="CM241" s="102"/>
      <c r="CN241" s="102"/>
      <c r="CO241" s="102"/>
      <c r="CP241" s="102"/>
      <c r="CQ241" s="102"/>
      <c r="CR241" s="102"/>
      <c r="CS241" s="102"/>
      <c r="CT241" s="102"/>
      <c r="CU241" s="102"/>
      <c r="CV241" s="102"/>
      <c r="CW241" s="102"/>
      <c r="CX241" s="102"/>
      <c r="CY241" s="102"/>
      <c r="CZ241" s="102"/>
      <c r="DA241" s="102"/>
      <c r="DB241" s="102"/>
      <c r="DC241" s="102"/>
      <c r="DD241" s="102"/>
      <c r="DE241" s="102"/>
      <c r="DF241" s="102"/>
      <c r="DG241" s="102"/>
      <c r="DH241" s="102"/>
      <c r="DI241" s="102"/>
      <c r="DJ241" s="102"/>
      <c r="DK241" s="102"/>
      <c r="DL241" s="102"/>
      <c r="DM241" s="102"/>
      <c r="DN241" s="102"/>
      <c r="DO241" s="102"/>
      <c r="DP241" s="102"/>
      <c r="DQ241" s="102"/>
      <c r="DR241" s="102"/>
      <c r="DS241" s="102"/>
      <c r="DT241" s="105"/>
      <c r="DU241" s="102"/>
      <c r="DV241" s="102"/>
      <c r="DW241" s="102"/>
      <c r="DX241" s="102"/>
      <c r="DY241" s="102"/>
      <c r="DZ241" s="102"/>
      <c r="EA241" s="102"/>
      <c r="EB241" s="102"/>
      <c r="EC241" s="102"/>
      <c r="ED241" s="102"/>
      <c r="EE241" s="102"/>
      <c r="EF241" s="102"/>
      <c r="EG241" s="102"/>
      <c r="EH241" s="102"/>
      <c r="EI241" s="102"/>
      <c r="EJ241" s="102"/>
      <c r="EK241" s="102"/>
      <c r="EL241" s="102"/>
      <c r="EM241" s="102"/>
    </row>
    <row r="242" spans="1:143" ht="15.75" customHeight="1" x14ac:dyDescent="0.55000000000000004">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c r="AZ242" s="102"/>
      <c r="BA242" s="102"/>
      <c r="BB242" s="102"/>
      <c r="BC242" s="102"/>
      <c r="BD242" s="102"/>
      <c r="BE242" s="102"/>
      <c r="BF242" s="102"/>
      <c r="BG242" s="102"/>
      <c r="BH242" s="102"/>
      <c r="BI242" s="102"/>
      <c r="BJ242" s="102"/>
      <c r="BK242" s="102"/>
      <c r="BL242" s="102"/>
      <c r="BM242" s="102"/>
      <c r="BN242" s="102"/>
      <c r="BO242" s="102"/>
      <c r="BP242" s="102"/>
      <c r="BQ242" s="102"/>
      <c r="BR242" s="102"/>
      <c r="BS242" s="102"/>
      <c r="BT242" s="102"/>
      <c r="BU242" s="102"/>
      <c r="BV242" s="102"/>
      <c r="BW242" s="102"/>
      <c r="BX242" s="102"/>
      <c r="BY242" s="102"/>
      <c r="BZ242" s="102"/>
      <c r="CA242" s="102"/>
      <c r="CB242" s="102"/>
      <c r="CC242" s="102"/>
      <c r="CD242" s="102"/>
      <c r="CE242" s="102"/>
      <c r="CF242" s="102"/>
      <c r="CG242" s="102"/>
      <c r="CH242" s="102"/>
      <c r="CI242" s="102"/>
      <c r="CJ242" s="102"/>
      <c r="CK242" s="102"/>
      <c r="CL242" s="102"/>
      <c r="CM242" s="102"/>
      <c r="CN242" s="102"/>
      <c r="CO242" s="102"/>
      <c r="CP242" s="102"/>
      <c r="CQ242" s="102"/>
      <c r="CR242" s="102"/>
      <c r="CS242" s="102"/>
      <c r="CT242" s="102"/>
      <c r="CU242" s="102"/>
      <c r="CV242" s="102"/>
      <c r="CW242" s="102"/>
      <c r="CX242" s="102"/>
      <c r="CY242" s="102"/>
      <c r="CZ242" s="102"/>
      <c r="DA242" s="102"/>
      <c r="DB242" s="102"/>
      <c r="DC242" s="102"/>
      <c r="DD242" s="102"/>
      <c r="DE242" s="102"/>
      <c r="DF242" s="102"/>
      <c r="DG242" s="102"/>
      <c r="DH242" s="102"/>
      <c r="DI242" s="102"/>
      <c r="DJ242" s="102"/>
      <c r="DK242" s="102"/>
      <c r="DL242" s="102"/>
      <c r="DM242" s="102"/>
      <c r="DN242" s="102"/>
      <c r="DO242" s="102"/>
      <c r="DP242" s="102"/>
      <c r="DQ242" s="102"/>
      <c r="DR242" s="102"/>
      <c r="DS242" s="102"/>
      <c r="DT242" s="105"/>
      <c r="DU242" s="102"/>
      <c r="DV242" s="102"/>
      <c r="DW242" s="102"/>
      <c r="DX242" s="102"/>
      <c r="DY242" s="102"/>
      <c r="DZ242" s="102"/>
      <c r="EA242" s="102"/>
      <c r="EB242" s="102"/>
      <c r="EC242" s="102"/>
      <c r="ED242" s="102"/>
      <c r="EE242" s="102"/>
      <c r="EF242" s="102"/>
      <c r="EG242" s="102"/>
      <c r="EH242" s="102"/>
      <c r="EI242" s="102"/>
      <c r="EJ242" s="102"/>
      <c r="EK242" s="102"/>
      <c r="EL242" s="102"/>
      <c r="EM242" s="102"/>
    </row>
    <row r="243" spans="1:143" ht="15.75" customHeight="1" x14ac:dyDescent="0.55000000000000004">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c r="AZ243" s="102"/>
      <c r="BA243" s="102"/>
      <c r="BB243" s="102"/>
      <c r="BC243" s="102"/>
      <c r="BD243" s="102"/>
      <c r="BE243" s="102"/>
      <c r="BF243" s="102"/>
      <c r="BG243" s="102"/>
      <c r="BH243" s="102"/>
      <c r="BI243" s="102"/>
      <c r="BJ243" s="102"/>
      <c r="BK243" s="102"/>
      <c r="BL243" s="102"/>
      <c r="BM243" s="102"/>
      <c r="BN243" s="102"/>
      <c r="BO243" s="102"/>
      <c r="BP243" s="102"/>
      <c r="BQ243" s="102"/>
      <c r="BR243" s="102"/>
      <c r="BS243" s="102"/>
      <c r="BT243" s="102"/>
      <c r="BU243" s="102"/>
      <c r="BV243" s="102"/>
      <c r="BW243" s="102"/>
      <c r="BX243" s="102"/>
      <c r="BY243" s="102"/>
      <c r="BZ243" s="102"/>
      <c r="CA243" s="102"/>
      <c r="CB243" s="102"/>
      <c r="CC243" s="102"/>
      <c r="CD243" s="102"/>
      <c r="CE243" s="102"/>
      <c r="CF243" s="102"/>
      <c r="CG243" s="102"/>
      <c r="CH243" s="102"/>
      <c r="CI243" s="102"/>
      <c r="CJ243" s="102"/>
      <c r="CK243" s="102"/>
      <c r="CL243" s="102"/>
      <c r="CM243" s="102"/>
      <c r="CN243" s="102"/>
      <c r="CO243" s="102"/>
      <c r="CP243" s="102"/>
      <c r="CQ243" s="102"/>
      <c r="CR243" s="102"/>
      <c r="CS243" s="102"/>
      <c r="CT243" s="102"/>
      <c r="CU243" s="102"/>
      <c r="CV243" s="102"/>
      <c r="CW243" s="102"/>
      <c r="CX243" s="102"/>
      <c r="CY243" s="102"/>
      <c r="CZ243" s="102"/>
      <c r="DA243" s="102"/>
      <c r="DB243" s="102"/>
      <c r="DC243" s="102"/>
      <c r="DD243" s="102"/>
      <c r="DE243" s="102"/>
      <c r="DF243" s="102"/>
      <c r="DG243" s="102"/>
      <c r="DH243" s="102"/>
      <c r="DI243" s="102"/>
      <c r="DJ243" s="102"/>
      <c r="DK243" s="102"/>
      <c r="DL243" s="102"/>
      <c r="DM243" s="102"/>
      <c r="DN243" s="102"/>
      <c r="DO243" s="102"/>
      <c r="DP243" s="102"/>
      <c r="DQ243" s="102"/>
      <c r="DR243" s="102"/>
      <c r="DS243" s="102"/>
      <c r="DT243" s="105"/>
      <c r="DU243" s="102"/>
      <c r="DV243" s="102"/>
      <c r="DW243" s="102"/>
      <c r="DX243" s="102"/>
      <c r="DY243" s="102"/>
      <c r="DZ243" s="102"/>
      <c r="EA243" s="102"/>
      <c r="EB243" s="102"/>
      <c r="EC243" s="102"/>
      <c r="ED243" s="102"/>
      <c r="EE243" s="102"/>
      <c r="EF243" s="102"/>
      <c r="EG243" s="102"/>
      <c r="EH243" s="102"/>
      <c r="EI243" s="102"/>
      <c r="EJ243" s="102"/>
      <c r="EK243" s="102"/>
      <c r="EL243" s="102"/>
      <c r="EM243" s="102"/>
    </row>
    <row r="244" spans="1:143" ht="15.75" customHeight="1" x14ac:dyDescent="0.5500000000000000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c r="AZ244" s="102"/>
      <c r="BA244" s="102"/>
      <c r="BB244" s="102"/>
      <c r="BC244" s="102"/>
      <c r="BD244" s="102"/>
      <c r="BE244" s="102"/>
      <c r="BF244" s="102"/>
      <c r="BG244" s="102"/>
      <c r="BH244" s="102"/>
      <c r="BI244" s="102"/>
      <c r="BJ244" s="102"/>
      <c r="BK244" s="102"/>
      <c r="BL244" s="102"/>
      <c r="BM244" s="102"/>
      <c r="BN244" s="102"/>
      <c r="BO244" s="102"/>
      <c r="BP244" s="102"/>
      <c r="BQ244" s="102"/>
      <c r="BR244" s="102"/>
      <c r="BS244" s="102"/>
      <c r="BT244" s="102"/>
      <c r="BU244" s="102"/>
      <c r="BV244" s="102"/>
      <c r="BW244" s="102"/>
      <c r="BX244" s="102"/>
      <c r="BY244" s="102"/>
      <c r="BZ244" s="102"/>
      <c r="CA244" s="102"/>
      <c r="CB244" s="102"/>
      <c r="CC244" s="102"/>
      <c r="CD244" s="102"/>
      <c r="CE244" s="102"/>
      <c r="CF244" s="102"/>
      <c r="CG244" s="102"/>
      <c r="CH244" s="102"/>
      <c r="CI244" s="102"/>
      <c r="CJ244" s="102"/>
      <c r="CK244" s="102"/>
      <c r="CL244" s="102"/>
      <c r="CM244" s="102"/>
      <c r="CN244" s="102"/>
      <c r="CO244" s="102"/>
      <c r="CP244" s="102"/>
      <c r="CQ244" s="102"/>
      <c r="CR244" s="102"/>
      <c r="CS244" s="102"/>
      <c r="CT244" s="102"/>
      <c r="CU244" s="102"/>
      <c r="CV244" s="102"/>
      <c r="CW244" s="102"/>
      <c r="CX244" s="102"/>
      <c r="CY244" s="102"/>
      <c r="CZ244" s="102"/>
      <c r="DA244" s="102"/>
      <c r="DB244" s="102"/>
      <c r="DC244" s="102"/>
      <c r="DD244" s="102"/>
      <c r="DE244" s="102"/>
      <c r="DF244" s="102"/>
      <c r="DG244" s="102"/>
      <c r="DH244" s="102"/>
      <c r="DI244" s="102"/>
      <c r="DJ244" s="102"/>
      <c r="DK244" s="102"/>
      <c r="DL244" s="102"/>
      <c r="DM244" s="102"/>
      <c r="DN244" s="102"/>
      <c r="DO244" s="102"/>
      <c r="DP244" s="102"/>
      <c r="DQ244" s="102"/>
      <c r="DR244" s="102"/>
      <c r="DS244" s="102"/>
      <c r="DT244" s="105"/>
      <c r="DU244" s="102"/>
      <c r="DV244" s="102"/>
      <c r="DW244" s="102"/>
      <c r="DX244" s="102"/>
      <c r="DY244" s="102"/>
      <c r="DZ244" s="102"/>
      <c r="EA244" s="102"/>
      <c r="EB244" s="102"/>
      <c r="EC244" s="102"/>
      <c r="ED244" s="102"/>
      <c r="EE244" s="102"/>
      <c r="EF244" s="102"/>
      <c r="EG244" s="102"/>
      <c r="EH244" s="102"/>
      <c r="EI244" s="102"/>
      <c r="EJ244" s="102"/>
      <c r="EK244" s="102"/>
      <c r="EL244" s="102"/>
      <c r="EM244" s="102"/>
    </row>
    <row r="245" spans="1:143" ht="15.75" customHeight="1" x14ac:dyDescent="0.55000000000000004">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c r="AZ245" s="102"/>
      <c r="BA245" s="102"/>
      <c r="BB245" s="102"/>
      <c r="BC245" s="102"/>
      <c r="BD245" s="102"/>
      <c r="BE245" s="102"/>
      <c r="BF245" s="102"/>
      <c r="BG245" s="102"/>
      <c r="BH245" s="102"/>
      <c r="BI245" s="102"/>
      <c r="BJ245" s="102"/>
      <c r="BK245" s="102"/>
      <c r="BL245" s="102"/>
      <c r="BM245" s="102"/>
      <c r="BN245" s="102"/>
      <c r="BO245" s="102"/>
      <c r="BP245" s="102"/>
      <c r="BQ245" s="102"/>
      <c r="BR245" s="102"/>
      <c r="BS245" s="102"/>
      <c r="BT245" s="102"/>
      <c r="BU245" s="102"/>
      <c r="BV245" s="102"/>
      <c r="BW245" s="102"/>
      <c r="BX245" s="102"/>
      <c r="BY245" s="102"/>
      <c r="BZ245" s="102"/>
      <c r="CA245" s="102"/>
      <c r="CB245" s="102"/>
      <c r="CC245" s="102"/>
      <c r="CD245" s="102"/>
      <c r="CE245" s="102"/>
      <c r="CF245" s="102"/>
      <c r="CG245" s="102"/>
      <c r="CH245" s="102"/>
      <c r="CI245" s="102"/>
      <c r="CJ245" s="102"/>
      <c r="CK245" s="102"/>
      <c r="CL245" s="102"/>
      <c r="CM245" s="102"/>
      <c r="CN245" s="102"/>
      <c r="CO245" s="102"/>
      <c r="CP245" s="102"/>
      <c r="CQ245" s="102"/>
      <c r="CR245" s="102"/>
      <c r="CS245" s="102"/>
      <c r="CT245" s="102"/>
      <c r="CU245" s="102"/>
      <c r="CV245" s="102"/>
      <c r="CW245" s="102"/>
      <c r="CX245" s="102"/>
      <c r="CY245" s="102"/>
      <c r="CZ245" s="102"/>
      <c r="DA245" s="102"/>
      <c r="DB245" s="102"/>
      <c r="DC245" s="102"/>
      <c r="DD245" s="102"/>
      <c r="DE245" s="102"/>
      <c r="DF245" s="102"/>
      <c r="DG245" s="102"/>
      <c r="DH245" s="102"/>
      <c r="DI245" s="102"/>
      <c r="DJ245" s="102"/>
      <c r="DK245" s="102"/>
      <c r="DL245" s="102"/>
      <c r="DM245" s="102"/>
      <c r="DN245" s="102"/>
      <c r="DO245" s="102"/>
      <c r="DP245" s="102"/>
      <c r="DQ245" s="102"/>
      <c r="DR245" s="102"/>
      <c r="DS245" s="102"/>
      <c r="DT245" s="105"/>
      <c r="DU245" s="102"/>
      <c r="DV245" s="102"/>
      <c r="DW245" s="102"/>
      <c r="DX245" s="102"/>
      <c r="DY245" s="102"/>
      <c r="DZ245" s="102"/>
      <c r="EA245" s="102"/>
      <c r="EB245" s="102"/>
      <c r="EC245" s="102"/>
      <c r="ED245" s="102"/>
      <c r="EE245" s="102"/>
      <c r="EF245" s="102"/>
      <c r="EG245" s="102"/>
      <c r="EH245" s="102"/>
      <c r="EI245" s="102"/>
      <c r="EJ245" s="102"/>
      <c r="EK245" s="102"/>
      <c r="EL245" s="102"/>
      <c r="EM245" s="102"/>
    </row>
    <row r="246" spans="1:143" ht="15.75" customHeight="1" x14ac:dyDescent="0.55000000000000004">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c r="AZ246" s="102"/>
      <c r="BA246" s="102"/>
      <c r="BB246" s="102"/>
      <c r="BC246" s="102"/>
      <c r="BD246" s="102"/>
      <c r="BE246" s="102"/>
      <c r="BF246" s="102"/>
      <c r="BG246" s="102"/>
      <c r="BH246" s="102"/>
      <c r="BI246" s="102"/>
      <c r="BJ246" s="102"/>
      <c r="BK246" s="102"/>
      <c r="BL246" s="102"/>
      <c r="BM246" s="102"/>
      <c r="BN246" s="102"/>
      <c r="BO246" s="102"/>
      <c r="BP246" s="102"/>
      <c r="BQ246" s="102"/>
      <c r="BR246" s="102"/>
      <c r="BS246" s="102"/>
      <c r="BT246" s="102"/>
      <c r="BU246" s="102"/>
      <c r="BV246" s="102"/>
      <c r="BW246" s="102"/>
      <c r="BX246" s="102"/>
      <c r="BY246" s="102"/>
      <c r="BZ246" s="102"/>
      <c r="CA246" s="102"/>
      <c r="CB246" s="102"/>
      <c r="CC246" s="102"/>
      <c r="CD246" s="102"/>
      <c r="CE246" s="102"/>
      <c r="CF246" s="102"/>
      <c r="CG246" s="102"/>
      <c r="CH246" s="102"/>
      <c r="CI246" s="102"/>
      <c r="CJ246" s="102"/>
      <c r="CK246" s="102"/>
      <c r="CL246" s="102"/>
      <c r="CM246" s="102"/>
      <c r="CN246" s="102"/>
      <c r="CO246" s="102"/>
      <c r="CP246" s="102"/>
      <c r="CQ246" s="102"/>
      <c r="CR246" s="102"/>
      <c r="CS246" s="102"/>
      <c r="CT246" s="102"/>
      <c r="CU246" s="102"/>
      <c r="CV246" s="102"/>
      <c r="CW246" s="102"/>
      <c r="CX246" s="102"/>
      <c r="CY246" s="102"/>
      <c r="CZ246" s="102"/>
      <c r="DA246" s="102"/>
      <c r="DB246" s="102"/>
      <c r="DC246" s="102"/>
      <c r="DD246" s="102"/>
      <c r="DE246" s="102"/>
      <c r="DF246" s="102"/>
      <c r="DG246" s="102"/>
      <c r="DH246" s="102"/>
      <c r="DI246" s="102"/>
      <c r="DJ246" s="102"/>
      <c r="DK246" s="102"/>
      <c r="DL246" s="102"/>
      <c r="DM246" s="102"/>
      <c r="DN246" s="102"/>
      <c r="DO246" s="102"/>
      <c r="DP246" s="102"/>
      <c r="DQ246" s="102"/>
      <c r="DR246" s="102"/>
      <c r="DS246" s="102"/>
      <c r="DT246" s="105"/>
      <c r="DU246" s="102"/>
      <c r="DV246" s="102"/>
      <c r="DW246" s="102"/>
      <c r="DX246" s="102"/>
      <c r="DY246" s="102"/>
      <c r="DZ246" s="102"/>
      <c r="EA246" s="102"/>
      <c r="EB246" s="102"/>
      <c r="EC246" s="102"/>
      <c r="ED246" s="102"/>
      <c r="EE246" s="102"/>
      <c r="EF246" s="102"/>
      <c r="EG246" s="102"/>
      <c r="EH246" s="102"/>
      <c r="EI246" s="102"/>
      <c r="EJ246" s="102"/>
      <c r="EK246" s="102"/>
      <c r="EL246" s="102"/>
      <c r="EM246" s="102"/>
    </row>
    <row r="247" spans="1:143" ht="15.75" customHeight="1" x14ac:dyDescent="0.55000000000000004">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c r="AZ247" s="102"/>
      <c r="BA247" s="102"/>
      <c r="BB247" s="102"/>
      <c r="BC247" s="102"/>
      <c r="BD247" s="102"/>
      <c r="BE247" s="102"/>
      <c r="BF247" s="102"/>
      <c r="BG247" s="102"/>
      <c r="BH247" s="102"/>
      <c r="BI247" s="102"/>
      <c r="BJ247" s="102"/>
      <c r="BK247" s="102"/>
      <c r="BL247" s="102"/>
      <c r="BM247" s="102"/>
      <c r="BN247" s="102"/>
      <c r="BO247" s="102"/>
      <c r="BP247" s="102"/>
      <c r="BQ247" s="102"/>
      <c r="BR247" s="102"/>
      <c r="BS247" s="102"/>
      <c r="BT247" s="102"/>
      <c r="BU247" s="102"/>
      <c r="BV247" s="102"/>
      <c r="BW247" s="102"/>
      <c r="BX247" s="102"/>
      <c r="BY247" s="102"/>
      <c r="BZ247" s="102"/>
      <c r="CA247" s="102"/>
      <c r="CB247" s="102"/>
      <c r="CC247" s="102"/>
      <c r="CD247" s="102"/>
      <c r="CE247" s="102"/>
      <c r="CF247" s="102"/>
      <c r="CG247" s="102"/>
      <c r="CH247" s="102"/>
      <c r="CI247" s="102"/>
      <c r="CJ247" s="102"/>
      <c r="CK247" s="102"/>
      <c r="CL247" s="102"/>
      <c r="CM247" s="102"/>
      <c r="CN247" s="102"/>
      <c r="CO247" s="102"/>
      <c r="CP247" s="102"/>
      <c r="CQ247" s="102"/>
      <c r="CR247" s="102"/>
      <c r="CS247" s="102"/>
      <c r="CT247" s="102"/>
      <c r="CU247" s="102"/>
      <c r="CV247" s="102"/>
      <c r="CW247" s="102"/>
      <c r="CX247" s="102"/>
      <c r="CY247" s="102"/>
      <c r="CZ247" s="102"/>
      <c r="DA247" s="102"/>
      <c r="DB247" s="102"/>
      <c r="DC247" s="102"/>
      <c r="DD247" s="102"/>
      <c r="DE247" s="102"/>
      <c r="DF247" s="102"/>
      <c r="DG247" s="102"/>
      <c r="DH247" s="102"/>
      <c r="DI247" s="102"/>
      <c r="DJ247" s="102"/>
      <c r="DK247" s="102"/>
      <c r="DL247" s="102"/>
      <c r="DM247" s="102"/>
      <c r="DN247" s="102"/>
      <c r="DO247" s="102"/>
      <c r="DP247" s="102"/>
      <c r="DQ247" s="102"/>
      <c r="DR247" s="102"/>
      <c r="DS247" s="102"/>
      <c r="DT247" s="105"/>
      <c r="DU247" s="102"/>
      <c r="DV247" s="102"/>
      <c r="DW247" s="102"/>
      <c r="DX247" s="102"/>
      <c r="DY247" s="102"/>
      <c r="DZ247" s="102"/>
      <c r="EA247" s="102"/>
      <c r="EB247" s="102"/>
      <c r="EC247" s="102"/>
      <c r="ED247" s="102"/>
      <c r="EE247" s="102"/>
      <c r="EF247" s="102"/>
      <c r="EG247" s="102"/>
      <c r="EH247" s="102"/>
      <c r="EI247" s="102"/>
      <c r="EJ247" s="102"/>
      <c r="EK247" s="102"/>
      <c r="EL247" s="102"/>
      <c r="EM247" s="102"/>
    </row>
    <row r="248" spans="1:143" ht="15.75" customHeight="1" x14ac:dyDescent="0.55000000000000004">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c r="AZ248" s="102"/>
      <c r="BA248" s="102"/>
      <c r="BB248" s="102"/>
      <c r="BC248" s="102"/>
      <c r="BD248" s="102"/>
      <c r="BE248" s="102"/>
      <c r="BF248" s="102"/>
      <c r="BG248" s="102"/>
      <c r="BH248" s="102"/>
      <c r="BI248" s="102"/>
      <c r="BJ248" s="102"/>
      <c r="BK248" s="102"/>
      <c r="BL248" s="102"/>
      <c r="BM248" s="102"/>
      <c r="BN248" s="102"/>
      <c r="BO248" s="102"/>
      <c r="BP248" s="102"/>
      <c r="BQ248" s="102"/>
      <c r="BR248" s="102"/>
      <c r="BS248" s="102"/>
      <c r="BT248" s="102"/>
      <c r="BU248" s="102"/>
      <c r="BV248" s="102"/>
      <c r="BW248" s="102"/>
      <c r="BX248" s="102"/>
      <c r="BY248" s="102"/>
      <c r="BZ248" s="102"/>
      <c r="CA248" s="102"/>
      <c r="CB248" s="102"/>
      <c r="CC248" s="102"/>
      <c r="CD248" s="102"/>
      <c r="CE248" s="102"/>
      <c r="CF248" s="102"/>
      <c r="CG248" s="102"/>
      <c r="CH248" s="102"/>
      <c r="CI248" s="102"/>
      <c r="CJ248" s="102"/>
      <c r="CK248" s="102"/>
      <c r="CL248" s="102"/>
      <c r="CM248" s="102"/>
      <c r="CN248" s="102"/>
      <c r="CO248" s="102"/>
      <c r="CP248" s="102"/>
      <c r="CQ248" s="102"/>
      <c r="CR248" s="102"/>
      <c r="CS248" s="102"/>
      <c r="CT248" s="102"/>
      <c r="CU248" s="102"/>
      <c r="CV248" s="102"/>
      <c r="CW248" s="102"/>
      <c r="CX248" s="102"/>
      <c r="CY248" s="102"/>
      <c r="CZ248" s="102"/>
      <c r="DA248" s="102"/>
      <c r="DB248" s="102"/>
      <c r="DC248" s="102"/>
      <c r="DD248" s="102"/>
      <c r="DE248" s="102"/>
      <c r="DF248" s="102"/>
      <c r="DG248" s="102"/>
      <c r="DH248" s="102"/>
      <c r="DI248" s="102"/>
      <c r="DJ248" s="102"/>
      <c r="DK248" s="102"/>
      <c r="DL248" s="102"/>
      <c r="DM248" s="102"/>
      <c r="DN248" s="102"/>
      <c r="DO248" s="102"/>
      <c r="DP248" s="102"/>
      <c r="DQ248" s="102"/>
      <c r="DR248" s="102"/>
      <c r="DS248" s="102"/>
      <c r="DT248" s="105"/>
      <c r="DU248" s="102"/>
      <c r="DV248" s="102"/>
      <c r="DW248" s="102"/>
      <c r="DX248" s="102"/>
      <c r="DY248" s="102"/>
      <c r="DZ248" s="102"/>
      <c r="EA248" s="102"/>
      <c r="EB248" s="102"/>
      <c r="EC248" s="102"/>
      <c r="ED248" s="102"/>
      <c r="EE248" s="102"/>
      <c r="EF248" s="102"/>
      <c r="EG248" s="102"/>
      <c r="EH248" s="102"/>
      <c r="EI248" s="102"/>
      <c r="EJ248" s="102"/>
      <c r="EK248" s="102"/>
      <c r="EL248" s="102"/>
      <c r="EM248" s="102"/>
    </row>
    <row r="249" spans="1:143" ht="15.75" customHeight="1" x14ac:dyDescent="0.55000000000000004">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c r="AZ249" s="102"/>
      <c r="BA249" s="102"/>
      <c r="BB249" s="102"/>
      <c r="BC249" s="102"/>
      <c r="BD249" s="102"/>
      <c r="BE249" s="102"/>
      <c r="BF249" s="102"/>
      <c r="BG249" s="102"/>
      <c r="BH249" s="102"/>
      <c r="BI249" s="102"/>
      <c r="BJ249" s="102"/>
      <c r="BK249" s="102"/>
      <c r="BL249" s="102"/>
      <c r="BM249" s="102"/>
      <c r="BN249" s="102"/>
      <c r="BO249" s="102"/>
      <c r="BP249" s="102"/>
      <c r="BQ249" s="102"/>
      <c r="BR249" s="102"/>
      <c r="BS249" s="102"/>
      <c r="BT249" s="102"/>
      <c r="BU249" s="102"/>
      <c r="BV249" s="102"/>
      <c r="BW249" s="102"/>
      <c r="BX249" s="102"/>
      <c r="BY249" s="102"/>
      <c r="BZ249" s="102"/>
      <c r="CA249" s="102"/>
      <c r="CB249" s="102"/>
      <c r="CC249" s="102"/>
      <c r="CD249" s="102"/>
      <c r="CE249" s="102"/>
      <c r="CF249" s="102"/>
      <c r="CG249" s="102"/>
      <c r="CH249" s="102"/>
      <c r="CI249" s="102"/>
      <c r="CJ249" s="102"/>
      <c r="CK249" s="102"/>
      <c r="CL249" s="102"/>
      <c r="CM249" s="102"/>
      <c r="CN249" s="102"/>
      <c r="CO249" s="102"/>
      <c r="CP249" s="102"/>
      <c r="CQ249" s="102"/>
      <c r="CR249" s="102"/>
      <c r="CS249" s="102"/>
      <c r="CT249" s="102"/>
      <c r="CU249" s="102"/>
      <c r="CV249" s="102"/>
      <c r="CW249" s="102"/>
      <c r="CX249" s="102"/>
      <c r="CY249" s="102"/>
      <c r="CZ249" s="102"/>
      <c r="DA249" s="102"/>
      <c r="DB249" s="102"/>
      <c r="DC249" s="102"/>
      <c r="DD249" s="102"/>
      <c r="DE249" s="102"/>
      <c r="DF249" s="102"/>
      <c r="DG249" s="102"/>
      <c r="DH249" s="102"/>
      <c r="DI249" s="102"/>
      <c r="DJ249" s="102"/>
      <c r="DK249" s="102"/>
      <c r="DL249" s="102"/>
      <c r="DM249" s="102"/>
      <c r="DN249" s="102"/>
      <c r="DO249" s="102"/>
      <c r="DP249" s="102"/>
      <c r="DQ249" s="102"/>
      <c r="DR249" s="102"/>
      <c r="DS249" s="102"/>
      <c r="DT249" s="105"/>
      <c r="DU249" s="102"/>
      <c r="DV249" s="102"/>
      <c r="DW249" s="102"/>
      <c r="DX249" s="102"/>
      <c r="DY249" s="102"/>
      <c r="DZ249" s="102"/>
      <c r="EA249" s="102"/>
      <c r="EB249" s="102"/>
      <c r="EC249" s="102"/>
      <c r="ED249" s="102"/>
      <c r="EE249" s="102"/>
      <c r="EF249" s="102"/>
      <c r="EG249" s="102"/>
      <c r="EH249" s="102"/>
      <c r="EI249" s="102"/>
      <c r="EJ249" s="102"/>
      <c r="EK249" s="102"/>
      <c r="EL249" s="102"/>
      <c r="EM249" s="102"/>
    </row>
    <row r="250" spans="1:143" ht="15.75" customHeight="1" x14ac:dyDescent="0.55000000000000004">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c r="AZ250" s="102"/>
      <c r="BA250" s="102"/>
      <c r="BB250" s="102"/>
      <c r="BC250" s="102"/>
      <c r="BD250" s="102"/>
      <c r="BE250" s="102"/>
      <c r="BF250" s="102"/>
      <c r="BG250" s="102"/>
      <c r="BH250" s="102"/>
      <c r="BI250" s="102"/>
      <c r="BJ250" s="102"/>
      <c r="BK250" s="102"/>
      <c r="BL250" s="102"/>
      <c r="BM250" s="102"/>
      <c r="BN250" s="102"/>
      <c r="BO250" s="102"/>
      <c r="BP250" s="102"/>
      <c r="BQ250" s="102"/>
      <c r="BR250" s="102"/>
      <c r="BS250" s="102"/>
      <c r="BT250" s="102"/>
      <c r="BU250" s="102"/>
      <c r="BV250" s="102"/>
      <c r="BW250" s="102"/>
      <c r="BX250" s="102"/>
      <c r="BY250" s="102"/>
      <c r="BZ250" s="102"/>
      <c r="CA250" s="102"/>
      <c r="CB250" s="102"/>
      <c r="CC250" s="102"/>
      <c r="CD250" s="102"/>
      <c r="CE250" s="102"/>
      <c r="CF250" s="102"/>
      <c r="CG250" s="102"/>
      <c r="CH250" s="102"/>
      <c r="CI250" s="102"/>
      <c r="CJ250" s="102"/>
      <c r="CK250" s="102"/>
      <c r="CL250" s="102"/>
      <c r="CM250" s="102"/>
      <c r="CN250" s="102"/>
      <c r="CO250" s="102"/>
      <c r="CP250" s="102"/>
      <c r="CQ250" s="102"/>
      <c r="CR250" s="102"/>
      <c r="CS250" s="102"/>
      <c r="CT250" s="102"/>
      <c r="CU250" s="102"/>
      <c r="CV250" s="102"/>
      <c r="CW250" s="102"/>
      <c r="CX250" s="102"/>
      <c r="CY250" s="102"/>
      <c r="CZ250" s="102"/>
      <c r="DA250" s="102"/>
      <c r="DB250" s="102"/>
      <c r="DC250" s="102"/>
      <c r="DD250" s="102"/>
      <c r="DE250" s="102"/>
      <c r="DF250" s="102"/>
      <c r="DG250" s="102"/>
      <c r="DH250" s="102"/>
      <c r="DI250" s="102"/>
      <c r="DJ250" s="102"/>
      <c r="DK250" s="102"/>
      <c r="DL250" s="102"/>
      <c r="DM250" s="102"/>
      <c r="DN250" s="102"/>
      <c r="DO250" s="102"/>
      <c r="DP250" s="102"/>
      <c r="DQ250" s="102"/>
      <c r="DR250" s="102"/>
      <c r="DS250" s="102"/>
      <c r="DT250" s="105"/>
      <c r="DU250" s="102"/>
      <c r="DV250" s="102"/>
      <c r="DW250" s="102"/>
      <c r="DX250" s="102"/>
      <c r="DY250" s="102"/>
      <c r="DZ250" s="102"/>
      <c r="EA250" s="102"/>
      <c r="EB250" s="102"/>
      <c r="EC250" s="102"/>
      <c r="ED250" s="102"/>
      <c r="EE250" s="102"/>
      <c r="EF250" s="102"/>
      <c r="EG250" s="102"/>
      <c r="EH250" s="102"/>
      <c r="EI250" s="102"/>
      <c r="EJ250" s="102"/>
      <c r="EK250" s="102"/>
      <c r="EL250" s="102"/>
      <c r="EM250" s="102"/>
    </row>
    <row r="251" spans="1:143" ht="15.75" customHeight="1" x14ac:dyDescent="0.55000000000000004">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c r="AZ251" s="102"/>
      <c r="BA251" s="102"/>
      <c r="BB251" s="102"/>
      <c r="BC251" s="102"/>
      <c r="BD251" s="102"/>
      <c r="BE251" s="102"/>
      <c r="BF251" s="102"/>
      <c r="BG251" s="102"/>
      <c r="BH251" s="102"/>
      <c r="BI251" s="102"/>
      <c r="BJ251" s="102"/>
      <c r="BK251" s="102"/>
      <c r="BL251" s="102"/>
      <c r="BM251" s="102"/>
      <c r="BN251" s="102"/>
      <c r="BO251" s="102"/>
      <c r="BP251" s="102"/>
      <c r="BQ251" s="102"/>
      <c r="BR251" s="102"/>
      <c r="BS251" s="102"/>
      <c r="BT251" s="102"/>
      <c r="BU251" s="102"/>
      <c r="BV251" s="102"/>
      <c r="BW251" s="102"/>
      <c r="BX251" s="102"/>
      <c r="BY251" s="102"/>
      <c r="BZ251" s="102"/>
      <c r="CA251" s="102"/>
      <c r="CB251" s="102"/>
      <c r="CC251" s="102"/>
      <c r="CD251" s="102"/>
      <c r="CE251" s="102"/>
      <c r="CF251" s="102"/>
      <c r="CG251" s="102"/>
      <c r="CH251" s="102"/>
      <c r="CI251" s="102"/>
      <c r="CJ251" s="102"/>
      <c r="CK251" s="102"/>
      <c r="CL251" s="102"/>
      <c r="CM251" s="102"/>
      <c r="CN251" s="102"/>
      <c r="CO251" s="102"/>
      <c r="CP251" s="102"/>
      <c r="CQ251" s="102"/>
      <c r="CR251" s="102"/>
      <c r="CS251" s="102"/>
      <c r="CT251" s="102"/>
      <c r="CU251" s="102"/>
      <c r="CV251" s="102"/>
      <c r="CW251" s="102"/>
      <c r="CX251" s="102"/>
      <c r="CY251" s="102"/>
      <c r="CZ251" s="102"/>
      <c r="DA251" s="102"/>
      <c r="DB251" s="102"/>
      <c r="DC251" s="102"/>
      <c r="DD251" s="102"/>
      <c r="DE251" s="102"/>
      <c r="DF251" s="102"/>
      <c r="DG251" s="102"/>
      <c r="DH251" s="102"/>
      <c r="DI251" s="102"/>
      <c r="DJ251" s="102"/>
      <c r="DK251" s="102"/>
      <c r="DL251" s="102"/>
      <c r="DM251" s="102"/>
      <c r="DN251" s="102"/>
      <c r="DO251" s="102"/>
      <c r="DP251" s="102"/>
      <c r="DQ251" s="102"/>
      <c r="DR251" s="102"/>
      <c r="DS251" s="102"/>
      <c r="DT251" s="105"/>
      <c r="DU251" s="102"/>
      <c r="DV251" s="102"/>
      <c r="DW251" s="102"/>
      <c r="DX251" s="102"/>
      <c r="DY251" s="102"/>
      <c r="DZ251" s="102"/>
      <c r="EA251" s="102"/>
      <c r="EB251" s="102"/>
      <c r="EC251" s="102"/>
      <c r="ED251" s="102"/>
      <c r="EE251" s="102"/>
      <c r="EF251" s="102"/>
      <c r="EG251" s="102"/>
      <c r="EH251" s="102"/>
      <c r="EI251" s="102"/>
      <c r="EJ251" s="102"/>
      <c r="EK251" s="102"/>
      <c r="EL251" s="102"/>
      <c r="EM251" s="102"/>
    </row>
    <row r="252" spans="1:143" ht="15.75" customHeight="1" x14ac:dyDescent="0.55000000000000004">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c r="AZ252" s="102"/>
      <c r="BA252" s="102"/>
      <c r="BB252" s="102"/>
      <c r="BC252" s="102"/>
      <c r="BD252" s="102"/>
      <c r="BE252" s="102"/>
      <c r="BF252" s="102"/>
      <c r="BG252" s="102"/>
      <c r="BH252" s="102"/>
      <c r="BI252" s="102"/>
      <c r="BJ252" s="102"/>
      <c r="BK252" s="102"/>
      <c r="BL252" s="102"/>
      <c r="BM252" s="102"/>
      <c r="BN252" s="102"/>
      <c r="BO252" s="102"/>
      <c r="BP252" s="102"/>
      <c r="BQ252" s="102"/>
      <c r="BR252" s="102"/>
      <c r="BS252" s="102"/>
      <c r="BT252" s="102"/>
      <c r="BU252" s="102"/>
      <c r="BV252" s="102"/>
      <c r="BW252" s="102"/>
      <c r="BX252" s="102"/>
      <c r="BY252" s="102"/>
      <c r="BZ252" s="102"/>
      <c r="CA252" s="102"/>
      <c r="CB252" s="102"/>
      <c r="CC252" s="102"/>
      <c r="CD252" s="102"/>
      <c r="CE252" s="102"/>
      <c r="CF252" s="102"/>
      <c r="CG252" s="102"/>
      <c r="CH252" s="102"/>
      <c r="CI252" s="102"/>
      <c r="CJ252" s="102"/>
      <c r="CK252" s="102"/>
      <c r="CL252" s="102"/>
      <c r="CM252" s="102"/>
      <c r="CN252" s="102"/>
      <c r="CO252" s="102"/>
      <c r="CP252" s="102"/>
      <c r="CQ252" s="102"/>
      <c r="CR252" s="102"/>
      <c r="CS252" s="102"/>
      <c r="CT252" s="102"/>
      <c r="CU252" s="102"/>
      <c r="CV252" s="102"/>
      <c r="CW252" s="102"/>
      <c r="CX252" s="102"/>
      <c r="CY252" s="102"/>
      <c r="CZ252" s="102"/>
      <c r="DA252" s="102"/>
      <c r="DB252" s="102"/>
      <c r="DC252" s="102"/>
      <c r="DD252" s="102"/>
      <c r="DE252" s="102"/>
      <c r="DF252" s="102"/>
      <c r="DG252" s="102"/>
      <c r="DH252" s="102"/>
      <c r="DI252" s="102"/>
      <c r="DJ252" s="102"/>
      <c r="DK252" s="102"/>
      <c r="DL252" s="102"/>
      <c r="DM252" s="102"/>
      <c r="DN252" s="102"/>
      <c r="DO252" s="102"/>
      <c r="DP252" s="102"/>
      <c r="DQ252" s="102"/>
      <c r="DR252" s="102"/>
      <c r="DS252" s="102"/>
      <c r="DT252" s="105"/>
      <c r="DU252" s="102"/>
      <c r="DV252" s="102"/>
      <c r="DW252" s="102"/>
      <c r="DX252" s="102"/>
      <c r="DY252" s="102"/>
      <c r="DZ252" s="102"/>
      <c r="EA252" s="102"/>
      <c r="EB252" s="102"/>
      <c r="EC252" s="102"/>
      <c r="ED252" s="102"/>
      <c r="EE252" s="102"/>
      <c r="EF252" s="102"/>
      <c r="EG252" s="102"/>
      <c r="EH252" s="102"/>
      <c r="EI252" s="102"/>
      <c r="EJ252" s="102"/>
      <c r="EK252" s="102"/>
      <c r="EL252" s="102"/>
      <c r="EM252" s="102"/>
    </row>
    <row r="253" spans="1:143" ht="15.75" customHeight="1" x14ac:dyDescent="0.55000000000000004">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c r="AZ253" s="102"/>
      <c r="BA253" s="102"/>
      <c r="BB253" s="102"/>
      <c r="BC253" s="102"/>
      <c r="BD253" s="102"/>
      <c r="BE253" s="102"/>
      <c r="BF253" s="102"/>
      <c r="BG253" s="102"/>
      <c r="BH253" s="102"/>
      <c r="BI253" s="102"/>
      <c r="BJ253" s="102"/>
      <c r="BK253" s="102"/>
      <c r="BL253" s="102"/>
      <c r="BM253" s="102"/>
      <c r="BN253" s="102"/>
      <c r="BO253" s="102"/>
      <c r="BP253" s="102"/>
      <c r="BQ253" s="102"/>
      <c r="BR253" s="102"/>
      <c r="BS253" s="102"/>
      <c r="BT253" s="102"/>
      <c r="BU253" s="102"/>
      <c r="BV253" s="102"/>
      <c r="BW253" s="102"/>
      <c r="BX253" s="102"/>
      <c r="BY253" s="102"/>
      <c r="BZ253" s="102"/>
      <c r="CA253" s="102"/>
      <c r="CB253" s="102"/>
      <c r="CC253" s="102"/>
      <c r="CD253" s="102"/>
      <c r="CE253" s="102"/>
      <c r="CF253" s="102"/>
      <c r="CG253" s="102"/>
      <c r="CH253" s="102"/>
      <c r="CI253" s="102"/>
      <c r="CJ253" s="102"/>
      <c r="CK253" s="102"/>
      <c r="CL253" s="102"/>
      <c r="CM253" s="102"/>
      <c r="CN253" s="102"/>
      <c r="CO253" s="102"/>
      <c r="CP253" s="102"/>
      <c r="CQ253" s="102"/>
      <c r="CR253" s="102"/>
      <c r="CS253" s="102"/>
      <c r="CT253" s="102"/>
      <c r="CU253" s="102"/>
      <c r="CV253" s="102"/>
      <c r="CW253" s="102"/>
      <c r="CX253" s="102"/>
      <c r="CY253" s="102"/>
      <c r="CZ253" s="102"/>
      <c r="DA253" s="102"/>
      <c r="DB253" s="102"/>
      <c r="DC253" s="102"/>
      <c r="DD253" s="102"/>
      <c r="DE253" s="102"/>
      <c r="DF253" s="102"/>
      <c r="DG253" s="102"/>
      <c r="DH253" s="102"/>
      <c r="DI253" s="102"/>
      <c r="DJ253" s="102"/>
      <c r="DK253" s="102"/>
      <c r="DL253" s="102"/>
      <c r="DM253" s="102"/>
      <c r="DN253" s="102"/>
      <c r="DO253" s="102"/>
      <c r="DP253" s="102"/>
      <c r="DQ253" s="102"/>
      <c r="DR253" s="102"/>
      <c r="DS253" s="102"/>
      <c r="DT253" s="105"/>
      <c r="DU253" s="102"/>
      <c r="DV253" s="102"/>
      <c r="DW253" s="102"/>
      <c r="DX253" s="102"/>
      <c r="DY253" s="102"/>
      <c r="DZ253" s="102"/>
      <c r="EA253" s="102"/>
      <c r="EB253" s="102"/>
      <c r="EC253" s="102"/>
      <c r="ED253" s="102"/>
      <c r="EE253" s="102"/>
      <c r="EF253" s="102"/>
      <c r="EG253" s="102"/>
      <c r="EH253" s="102"/>
      <c r="EI253" s="102"/>
      <c r="EJ253" s="102"/>
      <c r="EK253" s="102"/>
      <c r="EL253" s="102"/>
      <c r="EM253" s="102"/>
    </row>
    <row r="254" spans="1:143" ht="15.75" customHeight="1" x14ac:dyDescent="0.5500000000000000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c r="AZ254" s="102"/>
      <c r="BA254" s="102"/>
      <c r="BB254" s="102"/>
      <c r="BC254" s="102"/>
      <c r="BD254" s="102"/>
      <c r="BE254" s="102"/>
      <c r="BF254" s="102"/>
      <c r="BG254" s="102"/>
      <c r="BH254" s="102"/>
      <c r="BI254" s="102"/>
      <c r="BJ254" s="102"/>
      <c r="BK254" s="102"/>
      <c r="BL254" s="102"/>
      <c r="BM254" s="102"/>
      <c r="BN254" s="102"/>
      <c r="BO254" s="102"/>
      <c r="BP254" s="102"/>
      <c r="BQ254" s="102"/>
      <c r="BR254" s="102"/>
      <c r="BS254" s="102"/>
      <c r="BT254" s="102"/>
      <c r="BU254" s="102"/>
      <c r="BV254" s="102"/>
      <c r="BW254" s="102"/>
      <c r="BX254" s="102"/>
      <c r="BY254" s="102"/>
      <c r="BZ254" s="102"/>
      <c r="CA254" s="102"/>
      <c r="CB254" s="102"/>
      <c r="CC254" s="102"/>
      <c r="CD254" s="102"/>
      <c r="CE254" s="102"/>
      <c r="CF254" s="102"/>
      <c r="CG254" s="102"/>
      <c r="CH254" s="102"/>
      <c r="CI254" s="102"/>
      <c r="CJ254" s="102"/>
      <c r="CK254" s="102"/>
      <c r="CL254" s="102"/>
      <c r="CM254" s="102"/>
      <c r="CN254" s="102"/>
      <c r="CO254" s="102"/>
      <c r="CP254" s="102"/>
      <c r="CQ254" s="102"/>
      <c r="CR254" s="102"/>
      <c r="CS254" s="102"/>
      <c r="CT254" s="102"/>
      <c r="CU254" s="102"/>
      <c r="CV254" s="102"/>
      <c r="CW254" s="102"/>
      <c r="CX254" s="102"/>
      <c r="CY254" s="102"/>
      <c r="CZ254" s="102"/>
      <c r="DA254" s="102"/>
      <c r="DB254" s="102"/>
      <c r="DC254" s="102"/>
      <c r="DD254" s="102"/>
      <c r="DE254" s="102"/>
      <c r="DF254" s="102"/>
      <c r="DG254" s="102"/>
      <c r="DH254" s="102"/>
      <c r="DI254" s="102"/>
      <c r="DJ254" s="102"/>
      <c r="DK254" s="102"/>
      <c r="DL254" s="102"/>
      <c r="DM254" s="102"/>
      <c r="DN254" s="102"/>
      <c r="DO254" s="102"/>
      <c r="DP254" s="102"/>
      <c r="DQ254" s="102"/>
      <c r="DR254" s="102"/>
      <c r="DS254" s="102"/>
      <c r="DT254" s="105"/>
      <c r="DU254" s="102"/>
      <c r="DV254" s="102"/>
      <c r="DW254" s="102"/>
      <c r="DX254" s="102"/>
      <c r="DY254" s="102"/>
      <c r="DZ254" s="102"/>
      <c r="EA254" s="102"/>
      <c r="EB254" s="102"/>
      <c r="EC254" s="102"/>
      <c r="ED254" s="102"/>
      <c r="EE254" s="102"/>
      <c r="EF254" s="102"/>
      <c r="EG254" s="102"/>
      <c r="EH254" s="102"/>
      <c r="EI254" s="102"/>
      <c r="EJ254" s="102"/>
      <c r="EK254" s="102"/>
      <c r="EL254" s="102"/>
      <c r="EM254" s="102"/>
    </row>
    <row r="255" spans="1:143" ht="15.75" customHeight="1" x14ac:dyDescent="0.55000000000000004">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02"/>
      <c r="BG255" s="102"/>
      <c r="BH255" s="102"/>
      <c r="BI255" s="102"/>
      <c r="BJ255" s="102"/>
      <c r="BK255" s="102"/>
      <c r="BL255" s="102"/>
      <c r="BM255" s="102"/>
      <c r="BN255" s="102"/>
      <c r="BO255" s="102"/>
      <c r="BP255" s="102"/>
      <c r="BQ255" s="102"/>
      <c r="BR255" s="102"/>
      <c r="BS255" s="102"/>
      <c r="BT255" s="102"/>
      <c r="BU255" s="102"/>
      <c r="BV255" s="102"/>
      <c r="BW255" s="102"/>
      <c r="BX255" s="102"/>
      <c r="BY255" s="102"/>
      <c r="BZ255" s="102"/>
      <c r="CA255" s="102"/>
      <c r="CB255" s="102"/>
      <c r="CC255" s="102"/>
      <c r="CD255" s="102"/>
      <c r="CE255" s="102"/>
      <c r="CF255" s="102"/>
      <c r="CG255" s="102"/>
      <c r="CH255" s="102"/>
      <c r="CI255" s="102"/>
      <c r="CJ255" s="102"/>
      <c r="CK255" s="102"/>
      <c r="CL255" s="102"/>
      <c r="CM255" s="102"/>
      <c r="CN255" s="102"/>
      <c r="CO255" s="102"/>
      <c r="CP255" s="102"/>
      <c r="CQ255" s="102"/>
      <c r="CR255" s="102"/>
      <c r="CS255" s="102"/>
      <c r="CT255" s="102"/>
      <c r="CU255" s="102"/>
      <c r="CV255" s="102"/>
      <c r="CW255" s="102"/>
      <c r="CX255" s="102"/>
      <c r="CY255" s="102"/>
      <c r="CZ255" s="102"/>
      <c r="DA255" s="102"/>
      <c r="DB255" s="102"/>
      <c r="DC255" s="102"/>
      <c r="DD255" s="102"/>
      <c r="DE255" s="102"/>
      <c r="DF255" s="102"/>
      <c r="DG255" s="102"/>
      <c r="DH255" s="102"/>
      <c r="DI255" s="102"/>
      <c r="DJ255" s="102"/>
      <c r="DK255" s="102"/>
      <c r="DL255" s="102"/>
      <c r="DM255" s="102"/>
      <c r="DN255" s="102"/>
      <c r="DO255" s="102"/>
      <c r="DP255" s="102"/>
      <c r="DQ255" s="102"/>
      <c r="DR255" s="102"/>
      <c r="DS255" s="102"/>
      <c r="DT255" s="105"/>
      <c r="DU255" s="102"/>
      <c r="DV255" s="102"/>
      <c r="DW255" s="102"/>
      <c r="DX255" s="102"/>
      <c r="DY255" s="102"/>
      <c r="DZ255" s="102"/>
      <c r="EA255" s="102"/>
      <c r="EB255" s="102"/>
      <c r="EC255" s="102"/>
      <c r="ED255" s="102"/>
      <c r="EE255" s="102"/>
      <c r="EF255" s="102"/>
      <c r="EG255" s="102"/>
      <c r="EH255" s="102"/>
      <c r="EI255" s="102"/>
      <c r="EJ255" s="102"/>
      <c r="EK255" s="102"/>
      <c r="EL255" s="102"/>
      <c r="EM255" s="102"/>
    </row>
    <row r="256" spans="1:143" ht="15.75" customHeight="1" x14ac:dyDescent="0.55000000000000004">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c r="AZ256" s="102"/>
      <c r="BA256" s="102"/>
      <c r="BB256" s="102"/>
      <c r="BC256" s="102"/>
      <c r="BD256" s="102"/>
      <c r="BE256" s="102"/>
      <c r="BF256" s="102"/>
      <c r="BG256" s="102"/>
      <c r="BH256" s="102"/>
      <c r="BI256" s="102"/>
      <c r="BJ256" s="102"/>
      <c r="BK256" s="102"/>
      <c r="BL256" s="102"/>
      <c r="BM256" s="102"/>
      <c r="BN256" s="102"/>
      <c r="BO256" s="102"/>
      <c r="BP256" s="102"/>
      <c r="BQ256" s="102"/>
      <c r="BR256" s="102"/>
      <c r="BS256" s="102"/>
      <c r="BT256" s="102"/>
      <c r="BU256" s="102"/>
      <c r="BV256" s="102"/>
      <c r="BW256" s="102"/>
      <c r="BX256" s="102"/>
      <c r="BY256" s="102"/>
      <c r="BZ256" s="102"/>
      <c r="CA256" s="102"/>
      <c r="CB256" s="102"/>
      <c r="CC256" s="102"/>
      <c r="CD256" s="102"/>
      <c r="CE256" s="102"/>
      <c r="CF256" s="102"/>
      <c r="CG256" s="102"/>
      <c r="CH256" s="102"/>
      <c r="CI256" s="102"/>
      <c r="CJ256" s="102"/>
      <c r="CK256" s="102"/>
      <c r="CL256" s="102"/>
      <c r="CM256" s="102"/>
      <c r="CN256" s="102"/>
      <c r="CO256" s="102"/>
      <c r="CP256" s="102"/>
      <c r="CQ256" s="102"/>
      <c r="CR256" s="102"/>
      <c r="CS256" s="102"/>
      <c r="CT256" s="102"/>
      <c r="CU256" s="102"/>
      <c r="CV256" s="102"/>
      <c r="CW256" s="102"/>
      <c r="CX256" s="102"/>
      <c r="CY256" s="102"/>
      <c r="CZ256" s="102"/>
      <c r="DA256" s="102"/>
      <c r="DB256" s="102"/>
      <c r="DC256" s="102"/>
      <c r="DD256" s="102"/>
      <c r="DE256" s="102"/>
      <c r="DF256" s="102"/>
      <c r="DG256" s="102"/>
      <c r="DH256" s="102"/>
      <c r="DI256" s="102"/>
      <c r="DJ256" s="102"/>
      <c r="DK256" s="102"/>
      <c r="DL256" s="102"/>
      <c r="DM256" s="102"/>
      <c r="DN256" s="102"/>
      <c r="DO256" s="102"/>
      <c r="DP256" s="102"/>
      <c r="DQ256" s="102"/>
      <c r="DR256" s="102"/>
      <c r="DS256" s="102"/>
      <c r="DT256" s="105"/>
      <c r="DU256" s="102"/>
      <c r="DV256" s="102"/>
      <c r="DW256" s="102"/>
      <c r="DX256" s="102"/>
      <c r="DY256" s="102"/>
      <c r="DZ256" s="102"/>
      <c r="EA256" s="102"/>
      <c r="EB256" s="102"/>
      <c r="EC256" s="102"/>
      <c r="ED256" s="102"/>
      <c r="EE256" s="102"/>
      <c r="EF256" s="102"/>
      <c r="EG256" s="102"/>
      <c r="EH256" s="102"/>
      <c r="EI256" s="102"/>
      <c r="EJ256" s="102"/>
      <c r="EK256" s="102"/>
      <c r="EL256" s="102"/>
      <c r="EM256" s="102"/>
    </row>
    <row r="257" spans="1:143" ht="15.75" customHeight="1" x14ac:dyDescent="0.55000000000000004">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c r="AZ257" s="102"/>
      <c r="BA257" s="102"/>
      <c r="BB257" s="102"/>
      <c r="BC257" s="102"/>
      <c r="BD257" s="102"/>
      <c r="BE257" s="102"/>
      <c r="BF257" s="102"/>
      <c r="BG257" s="102"/>
      <c r="BH257" s="102"/>
      <c r="BI257" s="102"/>
      <c r="BJ257" s="102"/>
      <c r="BK257" s="102"/>
      <c r="BL257" s="102"/>
      <c r="BM257" s="102"/>
      <c r="BN257" s="102"/>
      <c r="BO257" s="102"/>
      <c r="BP257" s="102"/>
      <c r="BQ257" s="102"/>
      <c r="BR257" s="102"/>
      <c r="BS257" s="102"/>
      <c r="BT257" s="102"/>
      <c r="BU257" s="102"/>
      <c r="BV257" s="102"/>
      <c r="BW257" s="102"/>
      <c r="BX257" s="102"/>
      <c r="BY257" s="102"/>
      <c r="BZ257" s="102"/>
      <c r="CA257" s="102"/>
      <c r="CB257" s="102"/>
      <c r="CC257" s="102"/>
      <c r="CD257" s="102"/>
      <c r="CE257" s="102"/>
      <c r="CF257" s="102"/>
      <c r="CG257" s="102"/>
      <c r="CH257" s="102"/>
      <c r="CI257" s="102"/>
      <c r="CJ257" s="102"/>
      <c r="CK257" s="102"/>
      <c r="CL257" s="102"/>
      <c r="CM257" s="102"/>
      <c r="CN257" s="102"/>
      <c r="CO257" s="102"/>
      <c r="CP257" s="102"/>
      <c r="CQ257" s="102"/>
      <c r="CR257" s="102"/>
      <c r="CS257" s="102"/>
      <c r="CT257" s="102"/>
      <c r="CU257" s="102"/>
      <c r="CV257" s="102"/>
      <c r="CW257" s="102"/>
      <c r="CX257" s="102"/>
      <c r="CY257" s="102"/>
      <c r="CZ257" s="102"/>
      <c r="DA257" s="102"/>
      <c r="DB257" s="102"/>
      <c r="DC257" s="102"/>
      <c r="DD257" s="102"/>
      <c r="DE257" s="102"/>
      <c r="DF257" s="102"/>
      <c r="DG257" s="102"/>
      <c r="DH257" s="102"/>
      <c r="DI257" s="102"/>
      <c r="DJ257" s="102"/>
      <c r="DK257" s="102"/>
      <c r="DL257" s="102"/>
      <c r="DM257" s="102"/>
      <c r="DN257" s="102"/>
      <c r="DO257" s="102"/>
      <c r="DP257" s="102"/>
      <c r="DQ257" s="102"/>
      <c r="DR257" s="102"/>
      <c r="DS257" s="102"/>
      <c r="DT257" s="105"/>
      <c r="DU257" s="102"/>
      <c r="DV257" s="102"/>
      <c r="DW257" s="102"/>
      <c r="DX257" s="102"/>
      <c r="DY257" s="102"/>
      <c r="DZ257" s="102"/>
      <c r="EA257" s="102"/>
      <c r="EB257" s="102"/>
      <c r="EC257" s="102"/>
      <c r="ED257" s="102"/>
      <c r="EE257" s="102"/>
      <c r="EF257" s="102"/>
      <c r="EG257" s="102"/>
      <c r="EH257" s="102"/>
      <c r="EI257" s="102"/>
      <c r="EJ257" s="102"/>
      <c r="EK257" s="102"/>
      <c r="EL257" s="102"/>
      <c r="EM257" s="102"/>
    </row>
    <row r="258" spans="1:143" ht="15.75" customHeight="1" x14ac:dyDescent="0.55000000000000004">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c r="AZ258" s="102"/>
      <c r="BA258" s="102"/>
      <c r="BB258" s="102"/>
      <c r="BC258" s="102"/>
      <c r="BD258" s="102"/>
      <c r="BE258" s="102"/>
      <c r="BF258" s="102"/>
      <c r="BG258" s="102"/>
      <c r="BH258" s="102"/>
      <c r="BI258" s="102"/>
      <c r="BJ258" s="102"/>
      <c r="BK258" s="102"/>
      <c r="BL258" s="102"/>
      <c r="BM258" s="102"/>
      <c r="BN258" s="102"/>
      <c r="BO258" s="102"/>
      <c r="BP258" s="102"/>
      <c r="BQ258" s="102"/>
      <c r="BR258" s="102"/>
      <c r="BS258" s="102"/>
      <c r="BT258" s="102"/>
      <c r="BU258" s="102"/>
      <c r="BV258" s="102"/>
      <c r="BW258" s="102"/>
      <c r="BX258" s="102"/>
      <c r="BY258" s="102"/>
      <c r="BZ258" s="102"/>
      <c r="CA258" s="102"/>
      <c r="CB258" s="102"/>
      <c r="CC258" s="102"/>
      <c r="CD258" s="102"/>
      <c r="CE258" s="102"/>
      <c r="CF258" s="102"/>
      <c r="CG258" s="102"/>
      <c r="CH258" s="102"/>
      <c r="CI258" s="102"/>
      <c r="CJ258" s="102"/>
      <c r="CK258" s="102"/>
      <c r="CL258" s="102"/>
      <c r="CM258" s="102"/>
      <c r="CN258" s="102"/>
      <c r="CO258" s="102"/>
      <c r="CP258" s="102"/>
      <c r="CQ258" s="102"/>
      <c r="CR258" s="102"/>
      <c r="CS258" s="102"/>
      <c r="CT258" s="102"/>
      <c r="CU258" s="102"/>
      <c r="CV258" s="102"/>
      <c r="CW258" s="102"/>
      <c r="CX258" s="102"/>
      <c r="CY258" s="102"/>
      <c r="CZ258" s="102"/>
      <c r="DA258" s="102"/>
      <c r="DB258" s="102"/>
      <c r="DC258" s="102"/>
      <c r="DD258" s="102"/>
      <c r="DE258" s="102"/>
      <c r="DF258" s="102"/>
      <c r="DG258" s="102"/>
      <c r="DH258" s="102"/>
      <c r="DI258" s="102"/>
      <c r="DJ258" s="102"/>
      <c r="DK258" s="102"/>
      <c r="DL258" s="102"/>
      <c r="DM258" s="102"/>
      <c r="DN258" s="102"/>
      <c r="DO258" s="102"/>
      <c r="DP258" s="102"/>
      <c r="DQ258" s="102"/>
      <c r="DR258" s="102"/>
      <c r="DS258" s="102"/>
      <c r="DT258" s="105"/>
      <c r="DU258" s="102"/>
      <c r="DV258" s="102"/>
      <c r="DW258" s="102"/>
      <c r="DX258" s="102"/>
      <c r="DY258" s="102"/>
      <c r="DZ258" s="102"/>
      <c r="EA258" s="102"/>
      <c r="EB258" s="102"/>
      <c r="EC258" s="102"/>
      <c r="ED258" s="102"/>
      <c r="EE258" s="102"/>
      <c r="EF258" s="102"/>
      <c r="EG258" s="102"/>
      <c r="EH258" s="102"/>
      <c r="EI258" s="102"/>
      <c r="EJ258" s="102"/>
      <c r="EK258" s="102"/>
      <c r="EL258" s="102"/>
      <c r="EM258" s="102"/>
    </row>
    <row r="259" spans="1:143" ht="15.75" customHeight="1" x14ac:dyDescent="0.55000000000000004">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c r="AZ259" s="102"/>
      <c r="BA259" s="102"/>
      <c r="BB259" s="102"/>
      <c r="BC259" s="102"/>
      <c r="BD259" s="102"/>
      <c r="BE259" s="102"/>
      <c r="BF259" s="102"/>
      <c r="BG259" s="102"/>
      <c r="BH259" s="102"/>
      <c r="BI259" s="102"/>
      <c r="BJ259" s="102"/>
      <c r="BK259" s="102"/>
      <c r="BL259" s="102"/>
      <c r="BM259" s="102"/>
      <c r="BN259" s="102"/>
      <c r="BO259" s="102"/>
      <c r="BP259" s="102"/>
      <c r="BQ259" s="102"/>
      <c r="BR259" s="102"/>
      <c r="BS259" s="102"/>
      <c r="BT259" s="102"/>
      <c r="BU259" s="102"/>
      <c r="BV259" s="102"/>
      <c r="BW259" s="102"/>
      <c r="BX259" s="102"/>
      <c r="BY259" s="102"/>
      <c r="BZ259" s="102"/>
      <c r="CA259" s="102"/>
      <c r="CB259" s="102"/>
      <c r="CC259" s="102"/>
      <c r="CD259" s="102"/>
      <c r="CE259" s="102"/>
      <c r="CF259" s="102"/>
      <c r="CG259" s="102"/>
      <c r="CH259" s="102"/>
      <c r="CI259" s="102"/>
      <c r="CJ259" s="102"/>
      <c r="CK259" s="102"/>
      <c r="CL259" s="102"/>
      <c r="CM259" s="102"/>
      <c r="CN259" s="102"/>
      <c r="CO259" s="102"/>
      <c r="CP259" s="102"/>
      <c r="CQ259" s="102"/>
      <c r="CR259" s="102"/>
      <c r="CS259" s="102"/>
      <c r="CT259" s="102"/>
      <c r="CU259" s="102"/>
      <c r="CV259" s="102"/>
      <c r="CW259" s="102"/>
      <c r="CX259" s="102"/>
      <c r="CY259" s="102"/>
      <c r="CZ259" s="102"/>
      <c r="DA259" s="102"/>
      <c r="DB259" s="102"/>
      <c r="DC259" s="102"/>
      <c r="DD259" s="102"/>
      <c r="DE259" s="102"/>
      <c r="DF259" s="102"/>
      <c r="DG259" s="102"/>
      <c r="DH259" s="102"/>
      <c r="DI259" s="102"/>
      <c r="DJ259" s="102"/>
      <c r="DK259" s="102"/>
      <c r="DL259" s="102"/>
      <c r="DM259" s="102"/>
      <c r="DN259" s="102"/>
      <c r="DO259" s="102"/>
      <c r="DP259" s="102"/>
      <c r="DQ259" s="102"/>
      <c r="DR259" s="102"/>
      <c r="DS259" s="102"/>
      <c r="DT259" s="105"/>
      <c r="DU259" s="102"/>
      <c r="DV259" s="102"/>
      <c r="DW259" s="102"/>
      <c r="DX259" s="102"/>
      <c r="DY259" s="102"/>
      <c r="DZ259" s="102"/>
      <c r="EA259" s="102"/>
      <c r="EB259" s="102"/>
      <c r="EC259" s="102"/>
      <c r="ED259" s="102"/>
      <c r="EE259" s="102"/>
      <c r="EF259" s="102"/>
      <c r="EG259" s="102"/>
      <c r="EH259" s="102"/>
      <c r="EI259" s="102"/>
      <c r="EJ259" s="102"/>
      <c r="EK259" s="102"/>
      <c r="EL259" s="102"/>
      <c r="EM259" s="102"/>
    </row>
    <row r="260" spans="1:143" ht="15.75" customHeight="1" x14ac:dyDescent="0.55000000000000004">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c r="AZ260" s="102"/>
      <c r="BA260" s="102"/>
      <c r="BB260" s="102"/>
      <c r="BC260" s="102"/>
      <c r="BD260" s="102"/>
      <c r="BE260" s="102"/>
      <c r="BF260" s="102"/>
      <c r="BG260" s="102"/>
      <c r="BH260" s="102"/>
      <c r="BI260" s="102"/>
      <c r="BJ260" s="102"/>
      <c r="BK260" s="102"/>
      <c r="BL260" s="102"/>
      <c r="BM260" s="102"/>
      <c r="BN260" s="102"/>
      <c r="BO260" s="102"/>
      <c r="BP260" s="102"/>
      <c r="BQ260" s="102"/>
      <c r="BR260" s="102"/>
      <c r="BS260" s="102"/>
      <c r="BT260" s="102"/>
      <c r="BU260" s="102"/>
      <c r="BV260" s="102"/>
      <c r="BW260" s="102"/>
      <c r="BX260" s="102"/>
      <c r="BY260" s="102"/>
      <c r="BZ260" s="102"/>
      <c r="CA260" s="102"/>
      <c r="CB260" s="102"/>
      <c r="CC260" s="102"/>
      <c r="CD260" s="102"/>
      <c r="CE260" s="102"/>
      <c r="CF260" s="102"/>
      <c r="CG260" s="102"/>
      <c r="CH260" s="102"/>
      <c r="CI260" s="102"/>
      <c r="CJ260" s="102"/>
      <c r="CK260" s="102"/>
      <c r="CL260" s="102"/>
      <c r="CM260" s="102"/>
      <c r="CN260" s="102"/>
      <c r="CO260" s="102"/>
      <c r="CP260" s="102"/>
      <c r="CQ260" s="102"/>
      <c r="CR260" s="102"/>
      <c r="CS260" s="102"/>
      <c r="CT260" s="102"/>
      <c r="CU260" s="102"/>
      <c r="CV260" s="102"/>
      <c r="CW260" s="102"/>
      <c r="CX260" s="102"/>
      <c r="CY260" s="102"/>
      <c r="CZ260" s="102"/>
      <c r="DA260" s="102"/>
      <c r="DB260" s="102"/>
      <c r="DC260" s="102"/>
      <c r="DD260" s="102"/>
      <c r="DE260" s="102"/>
      <c r="DF260" s="102"/>
      <c r="DG260" s="102"/>
      <c r="DH260" s="102"/>
      <c r="DI260" s="102"/>
      <c r="DJ260" s="102"/>
      <c r="DK260" s="102"/>
      <c r="DL260" s="102"/>
      <c r="DM260" s="102"/>
      <c r="DN260" s="102"/>
      <c r="DO260" s="102"/>
      <c r="DP260" s="102"/>
      <c r="DQ260" s="102"/>
      <c r="DR260" s="102"/>
      <c r="DS260" s="102"/>
      <c r="DT260" s="105"/>
      <c r="DU260" s="102"/>
      <c r="DV260" s="102"/>
      <c r="DW260" s="102"/>
      <c r="DX260" s="102"/>
      <c r="DY260" s="102"/>
      <c r="DZ260" s="102"/>
      <c r="EA260" s="102"/>
      <c r="EB260" s="102"/>
      <c r="EC260" s="102"/>
      <c r="ED260" s="102"/>
      <c r="EE260" s="102"/>
      <c r="EF260" s="102"/>
      <c r="EG260" s="102"/>
      <c r="EH260" s="102"/>
      <c r="EI260" s="102"/>
      <c r="EJ260" s="102"/>
      <c r="EK260" s="102"/>
      <c r="EL260" s="102"/>
      <c r="EM260" s="102"/>
    </row>
    <row r="261" spans="1:143" ht="15.75" customHeight="1" x14ac:dyDescent="0.55000000000000004">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c r="AZ261" s="102"/>
      <c r="BA261" s="102"/>
      <c r="BB261" s="102"/>
      <c r="BC261" s="102"/>
      <c r="BD261" s="102"/>
      <c r="BE261" s="102"/>
      <c r="BF261" s="102"/>
      <c r="BG261" s="102"/>
      <c r="BH261" s="102"/>
      <c r="BI261" s="102"/>
      <c r="BJ261" s="102"/>
      <c r="BK261" s="102"/>
      <c r="BL261" s="102"/>
      <c r="BM261" s="102"/>
      <c r="BN261" s="102"/>
      <c r="BO261" s="102"/>
      <c r="BP261" s="102"/>
      <c r="BQ261" s="102"/>
      <c r="BR261" s="102"/>
      <c r="BS261" s="102"/>
      <c r="BT261" s="102"/>
      <c r="BU261" s="102"/>
      <c r="BV261" s="102"/>
      <c r="BW261" s="102"/>
      <c r="BX261" s="102"/>
      <c r="BY261" s="102"/>
      <c r="BZ261" s="102"/>
      <c r="CA261" s="102"/>
      <c r="CB261" s="102"/>
      <c r="CC261" s="102"/>
      <c r="CD261" s="102"/>
      <c r="CE261" s="102"/>
      <c r="CF261" s="102"/>
      <c r="CG261" s="102"/>
      <c r="CH261" s="102"/>
      <c r="CI261" s="102"/>
      <c r="CJ261" s="102"/>
      <c r="CK261" s="102"/>
      <c r="CL261" s="102"/>
      <c r="CM261" s="102"/>
      <c r="CN261" s="102"/>
      <c r="CO261" s="102"/>
      <c r="CP261" s="102"/>
      <c r="CQ261" s="102"/>
      <c r="CR261" s="102"/>
      <c r="CS261" s="102"/>
      <c r="CT261" s="102"/>
      <c r="CU261" s="102"/>
      <c r="CV261" s="102"/>
      <c r="CW261" s="102"/>
      <c r="CX261" s="102"/>
      <c r="CY261" s="102"/>
      <c r="CZ261" s="102"/>
      <c r="DA261" s="102"/>
      <c r="DB261" s="102"/>
      <c r="DC261" s="102"/>
      <c r="DD261" s="102"/>
      <c r="DE261" s="102"/>
      <c r="DF261" s="102"/>
      <c r="DG261" s="102"/>
      <c r="DH261" s="102"/>
      <c r="DI261" s="102"/>
      <c r="DJ261" s="102"/>
      <c r="DK261" s="102"/>
      <c r="DL261" s="102"/>
      <c r="DM261" s="102"/>
      <c r="DN261" s="102"/>
      <c r="DO261" s="102"/>
      <c r="DP261" s="102"/>
      <c r="DQ261" s="102"/>
      <c r="DR261" s="102"/>
      <c r="DS261" s="102"/>
      <c r="DT261" s="105"/>
      <c r="DU261" s="102"/>
      <c r="DV261" s="102"/>
      <c r="DW261" s="102"/>
      <c r="DX261" s="102"/>
      <c r="DY261" s="102"/>
      <c r="DZ261" s="102"/>
      <c r="EA261" s="102"/>
      <c r="EB261" s="102"/>
      <c r="EC261" s="102"/>
      <c r="ED261" s="102"/>
      <c r="EE261" s="102"/>
      <c r="EF261" s="102"/>
      <c r="EG261" s="102"/>
      <c r="EH261" s="102"/>
      <c r="EI261" s="102"/>
      <c r="EJ261" s="102"/>
      <c r="EK261" s="102"/>
      <c r="EL261" s="102"/>
      <c r="EM261" s="102"/>
    </row>
    <row r="262" spans="1:143" ht="15.75" customHeight="1" x14ac:dyDescent="0.55000000000000004">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c r="AZ262" s="102"/>
      <c r="BA262" s="102"/>
      <c r="BB262" s="102"/>
      <c r="BC262" s="102"/>
      <c r="BD262" s="102"/>
      <c r="BE262" s="102"/>
      <c r="BF262" s="102"/>
      <c r="BG262" s="102"/>
      <c r="BH262" s="102"/>
      <c r="BI262" s="102"/>
      <c r="BJ262" s="102"/>
      <c r="BK262" s="102"/>
      <c r="BL262" s="102"/>
      <c r="BM262" s="102"/>
      <c r="BN262" s="102"/>
      <c r="BO262" s="102"/>
      <c r="BP262" s="102"/>
      <c r="BQ262" s="102"/>
      <c r="BR262" s="102"/>
      <c r="BS262" s="102"/>
      <c r="BT262" s="102"/>
      <c r="BU262" s="102"/>
      <c r="BV262" s="102"/>
      <c r="BW262" s="102"/>
      <c r="BX262" s="102"/>
      <c r="BY262" s="102"/>
      <c r="BZ262" s="102"/>
      <c r="CA262" s="102"/>
      <c r="CB262" s="102"/>
      <c r="CC262" s="102"/>
      <c r="CD262" s="102"/>
      <c r="CE262" s="102"/>
      <c r="CF262" s="102"/>
      <c r="CG262" s="102"/>
      <c r="CH262" s="102"/>
      <c r="CI262" s="102"/>
      <c r="CJ262" s="102"/>
      <c r="CK262" s="102"/>
      <c r="CL262" s="102"/>
      <c r="CM262" s="102"/>
      <c r="CN262" s="102"/>
      <c r="CO262" s="102"/>
      <c r="CP262" s="102"/>
      <c r="CQ262" s="102"/>
      <c r="CR262" s="102"/>
      <c r="CS262" s="102"/>
      <c r="CT262" s="102"/>
      <c r="CU262" s="102"/>
      <c r="CV262" s="102"/>
      <c r="CW262" s="102"/>
      <c r="CX262" s="102"/>
      <c r="CY262" s="102"/>
      <c r="CZ262" s="102"/>
      <c r="DA262" s="102"/>
      <c r="DB262" s="102"/>
      <c r="DC262" s="102"/>
      <c r="DD262" s="102"/>
      <c r="DE262" s="102"/>
      <c r="DF262" s="102"/>
      <c r="DG262" s="102"/>
      <c r="DH262" s="102"/>
      <c r="DI262" s="102"/>
      <c r="DJ262" s="102"/>
      <c r="DK262" s="102"/>
      <c r="DL262" s="102"/>
      <c r="DM262" s="102"/>
      <c r="DN262" s="102"/>
      <c r="DO262" s="102"/>
      <c r="DP262" s="102"/>
      <c r="DQ262" s="102"/>
      <c r="DR262" s="102"/>
      <c r="DS262" s="102"/>
      <c r="DT262" s="105"/>
      <c r="DU262" s="102"/>
      <c r="DV262" s="102"/>
      <c r="DW262" s="102"/>
      <c r="DX262" s="102"/>
      <c r="DY262" s="102"/>
      <c r="DZ262" s="102"/>
      <c r="EA262" s="102"/>
      <c r="EB262" s="102"/>
      <c r="EC262" s="102"/>
      <c r="ED262" s="102"/>
      <c r="EE262" s="102"/>
      <c r="EF262" s="102"/>
      <c r="EG262" s="102"/>
      <c r="EH262" s="102"/>
      <c r="EI262" s="102"/>
      <c r="EJ262" s="102"/>
      <c r="EK262" s="102"/>
      <c r="EL262" s="102"/>
      <c r="EM262" s="102"/>
    </row>
    <row r="263" spans="1:143" ht="15.75" customHeight="1" x14ac:dyDescent="0.55000000000000004">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c r="AZ263" s="102"/>
      <c r="BA263" s="102"/>
      <c r="BB263" s="102"/>
      <c r="BC263" s="102"/>
      <c r="BD263" s="102"/>
      <c r="BE263" s="102"/>
      <c r="BF263" s="102"/>
      <c r="BG263" s="102"/>
      <c r="BH263" s="102"/>
      <c r="BI263" s="102"/>
      <c r="BJ263" s="102"/>
      <c r="BK263" s="102"/>
      <c r="BL263" s="102"/>
      <c r="BM263" s="102"/>
      <c r="BN263" s="102"/>
      <c r="BO263" s="102"/>
      <c r="BP263" s="102"/>
      <c r="BQ263" s="102"/>
      <c r="BR263" s="102"/>
      <c r="BS263" s="102"/>
      <c r="BT263" s="102"/>
      <c r="BU263" s="102"/>
      <c r="BV263" s="102"/>
      <c r="BW263" s="102"/>
      <c r="BX263" s="102"/>
      <c r="BY263" s="102"/>
      <c r="BZ263" s="102"/>
      <c r="CA263" s="102"/>
      <c r="CB263" s="102"/>
      <c r="CC263" s="102"/>
      <c r="CD263" s="102"/>
      <c r="CE263" s="102"/>
      <c r="CF263" s="102"/>
      <c r="CG263" s="102"/>
      <c r="CH263" s="102"/>
      <c r="CI263" s="102"/>
      <c r="CJ263" s="102"/>
      <c r="CK263" s="102"/>
      <c r="CL263" s="102"/>
      <c r="CM263" s="102"/>
      <c r="CN263" s="102"/>
      <c r="CO263" s="102"/>
      <c r="CP263" s="102"/>
      <c r="CQ263" s="102"/>
      <c r="CR263" s="102"/>
      <c r="CS263" s="102"/>
      <c r="CT263" s="102"/>
      <c r="CU263" s="102"/>
      <c r="CV263" s="102"/>
      <c r="CW263" s="102"/>
      <c r="CX263" s="102"/>
      <c r="CY263" s="102"/>
      <c r="CZ263" s="102"/>
      <c r="DA263" s="102"/>
      <c r="DB263" s="102"/>
      <c r="DC263" s="102"/>
      <c r="DD263" s="102"/>
      <c r="DE263" s="102"/>
      <c r="DF263" s="102"/>
      <c r="DG263" s="102"/>
      <c r="DH263" s="102"/>
      <c r="DI263" s="102"/>
      <c r="DJ263" s="102"/>
      <c r="DK263" s="102"/>
      <c r="DL263" s="102"/>
      <c r="DM263" s="102"/>
      <c r="DN263" s="102"/>
      <c r="DO263" s="102"/>
      <c r="DP263" s="102"/>
      <c r="DQ263" s="102"/>
      <c r="DR263" s="102"/>
      <c r="DS263" s="102"/>
      <c r="DT263" s="105"/>
      <c r="DU263" s="102"/>
      <c r="DV263" s="102"/>
      <c r="DW263" s="102"/>
      <c r="DX263" s="102"/>
      <c r="DY263" s="102"/>
      <c r="DZ263" s="102"/>
      <c r="EA263" s="102"/>
      <c r="EB263" s="102"/>
      <c r="EC263" s="102"/>
      <c r="ED263" s="102"/>
      <c r="EE263" s="102"/>
      <c r="EF263" s="102"/>
      <c r="EG263" s="102"/>
      <c r="EH263" s="102"/>
      <c r="EI263" s="102"/>
      <c r="EJ263" s="102"/>
      <c r="EK263" s="102"/>
      <c r="EL263" s="102"/>
      <c r="EM263" s="102"/>
    </row>
    <row r="264" spans="1:143" ht="15.75" customHeight="1" x14ac:dyDescent="0.5500000000000000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c r="AZ264" s="102"/>
      <c r="BA264" s="102"/>
      <c r="BB264" s="102"/>
      <c r="BC264" s="102"/>
      <c r="BD264" s="102"/>
      <c r="BE264" s="102"/>
      <c r="BF264" s="102"/>
      <c r="BG264" s="102"/>
      <c r="BH264" s="102"/>
      <c r="BI264" s="102"/>
      <c r="BJ264" s="102"/>
      <c r="BK264" s="102"/>
      <c r="BL264" s="102"/>
      <c r="BM264" s="102"/>
      <c r="BN264" s="102"/>
      <c r="BO264" s="102"/>
      <c r="BP264" s="102"/>
      <c r="BQ264" s="102"/>
      <c r="BR264" s="102"/>
      <c r="BS264" s="102"/>
      <c r="BT264" s="102"/>
      <c r="BU264" s="102"/>
      <c r="BV264" s="102"/>
      <c r="BW264" s="102"/>
      <c r="BX264" s="102"/>
      <c r="BY264" s="102"/>
      <c r="BZ264" s="102"/>
      <c r="CA264" s="102"/>
      <c r="CB264" s="102"/>
      <c r="CC264" s="102"/>
      <c r="CD264" s="102"/>
      <c r="CE264" s="102"/>
      <c r="CF264" s="102"/>
      <c r="CG264" s="102"/>
      <c r="CH264" s="102"/>
      <c r="CI264" s="102"/>
      <c r="CJ264" s="102"/>
      <c r="CK264" s="102"/>
      <c r="CL264" s="102"/>
      <c r="CM264" s="102"/>
      <c r="CN264" s="102"/>
      <c r="CO264" s="102"/>
      <c r="CP264" s="102"/>
      <c r="CQ264" s="102"/>
      <c r="CR264" s="102"/>
      <c r="CS264" s="102"/>
      <c r="CT264" s="102"/>
      <c r="CU264" s="102"/>
      <c r="CV264" s="102"/>
      <c r="CW264" s="102"/>
      <c r="CX264" s="102"/>
      <c r="CY264" s="102"/>
      <c r="CZ264" s="102"/>
      <c r="DA264" s="102"/>
      <c r="DB264" s="102"/>
      <c r="DC264" s="102"/>
      <c r="DD264" s="102"/>
      <c r="DE264" s="102"/>
      <c r="DF264" s="102"/>
      <c r="DG264" s="102"/>
      <c r="DH264" s="102"/>
      <c r="DI264" s="102"/>
      <c r="DJ264" s="102"/>
      <c r="DK264" s="102"/>
      <c r="DL264" s="102"/>
      <c r="DM264" s="102"/>
      <c r="DN264" s="102"/>
      <c r="DO264" s="102"/>
      <c r="DP264" s="102"/>
      <c r="DQ264" s="102"/>
      <c r="DR264" s="102"/>
      <c r="DS264" s="102"/>
      <c r="DT264" s="105"/>
      <c r="DU264" s="102"/>
      <c r="DV264" s="102"/>
      <c r="DW264" s="102"/>
      <c r="DX264" s="102"/>
      <c r="DY264" s="102"/>
      <c r="DZ264" s="102"/>
      <c r="EA264" s="102"/>
      <c r="EB264" s="102"/>
      <c r="EC264" s="102"/>
      <c r="ED264" s="102"/>
      <c r="EE264" s="102"/>
      <c r="EF264" s="102"/>
      <c r="EG264" s="102"/>
      <c r="EH264" s="102"/>
      <c r="EI264" s="102"/>
      <c r="EJ264" s="102"/>
      <c r="EK264" s="102"/>
      <c r="EL264" s="102"/>
      <c r="EM264" s="102"/>
    </row>
    <row r="265" spans="1:143" ht="15.75" customHeight="1" x14ac:dyDescent="0.55000000000000004">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02"/>
      <c r="BG265" s="102"/>
      <c r="BH265" s="102"/>
      <c r="BI265" s="102"/>
      <c r="BJ265" s="102"/>
      <c r="BK265" s="102"/>
      <c r="BL265" s="102"/>
      <c r="BM265" s="102"/>
      <c r="BN265" s="102"/>
      <c r="BO265" s="102"/>
      <c r="BP265" s="102"/>
      <c r="BQ265" s="102"/>
      <c r="BR265" s="102"/>
      <c r="BS265" s="102"/>
      <c r="BT265" s="102"/>
      <c r="BU265" s="102"/>
      <c r="BV265" s="102"/>
      <c r="BW265" s="102"/>
      <c r="BX265" s="102"/>
      <c r="BY265" s="102"/>
      <c r="BZ265" s="102"/>
      <c r="CA265" s="102"/>
      <c r="CB265" s="102"/>
      <c r="CC265" s="102"/>
      <c r="CD265" s="102"/>
      <c r="CE265" s="102"/>
      <c r="CF265" s="102"/>
      <c r="CG265" s="102"/>
      <c r="CH265" s="102"/>
      <c r="CI265" s="102"/>
      <c r="CJ265" s="102"/>
      <c r="CK265" s="102"/>
      <c r="CL265" s="102"/>
      <c r="CM265" s="102"/>
      <c r="CN265" s="102"/>
      <c r="CO265" s="102"/>
      <c r="CP265" s="102"/>
      <c r="CQ265" s="102"/>
      <c r="CR265" s="102"/>
      <c r="CS265" s="102"/>
      <c r="CT265" s="102"/>
      <c r="CU265" s="102"/>
      <c r="CV265" s="102"/>
      <c r="CW265" s="102"/>
      <c r="CX265" s="102"/>
      <c r="CY265" s="102"/>
      <c r="CZ265" s="102"/>
      <c r="DA265" s="102"/>
      <c r="DB265" s="102"/>
      <c r="DC265" s="102"/>
      <c r="DD265" s="102"/>
      <c r="DE265" s="102"/>
      <c r="DF265" s="102"/>
      <c r="DG265" s="102"/>
      <c r="DH265" s="102"/>
      <c r="DI265" s="102"/>
      <c r="DJ265" s="102"/>
      <c r="DK265" s="102"/>
      <c r="DL265" s="102"/>
      <c r="DM265" s="102"/>
      <c r="DN265" s="102"/>
      <c r="DO265" s="102"/>
      <c r="DP265" s="102"/>
      <c r="DQ265" s="102"/>
      <c r="DR265" s="102"/>
      <c r="DS265" s="102"/>
      <c r="DT265" s="105"/>
      <c r="DU265" s="102"/>
      <c r="DV265" s="102"/>
      <c r="DW265" s="102"/>
      <c r="DX265" s="102"/>
      <c r="DY265" s="102"/>
      <c r="DZ265" s="102"/>
      <c r="EA265" s="102"/>
      <c r="EB265" s="102"/>
      <c r="EC265" s="102"/>
      <c r="ED265" s="102"/>
      <c r="EE265" s="102"/>
      <c r="EF265" s="102"/>
      <c r="EG265" s="102"/>
      <c r="EH265" s="102"/>
      <c r="EI265" s="102"/>
      <c r="EJ265" s="102"/>
      <c r="EK265" s="102"/>
      <c r="EL265" s="102"/>
      <c r="EM265" s="102"/>
    </row>
    <row r="266" spans="1:143" ht="15.75" customHeight="1" x14ac:dyDescent="0.55000000000000004">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c r="AZ266" s="102"/>
      <c r="BA266" s="102"/>
      <c r="BB266" s="102"/>
      <c r="BC266" s="102"/>
      <c r="BD266" s="102"/>
      <c r="BE266" s="102"/>
      <c r="BF266" s="102"/>
      <c r="BG266" s="102"/>
      <c r="BH266" s="102"/>
      <c r="BI266" s="102"/>
      <c r="BJ266" s="102"/>
      <c r="BK266" s="102"/>
      <c r="BL266" s="102"/>
      <c r="BM266" s="102"/>
      <c r="BN266" s="102"/>
      <c r="BO266" s="102"/>
      <c r="BP266" s="102"/>
      <c r="BQ266" s="102"/>
      <c r="BR266" s="102"/>
      <c r="BS266" s="102"/>
      <c r="BT266" s="102"/>
      <c r="BU266" s="102"/>
      <c r="BV266" s="102"/>
      <c r="BW266" s="102"/>
      <c r="BX266" s="102"/>
      <c r="BY266" s="102"/>
      <c r="BZ266" s="102"/>
      <c r="CA266" s="102"/>
      <c r="CB266" s="102"/>
      <c r="CC266" s="102"/>
      <c r="CD266" s="102"/>
      <c r="CE266" s="102"/>
      <c r="CF266" s="102"/>
      <c r="CG266" s="102"/>
      <c r="CH266" s="102"/>
      <c r="CI266" s="102"/>
      <c r="CJ266" s="102"/>
      <c r="CK266" s="102"/>
      <c r="CL266" s="102"/>
      <c r="CM266" s="102"/>
      <c r="CN266" s="102"/>
      <c r="CO266" s="102"/>
      <c r="CP266" s="102"/>
      <c r="CQ266" s="102"/>
      <c r="CR266" s="102"/>
      <c r="CS266" s="102"/>
      <c r="CT266" s="102"/>
      <c r="CU266" s="102"/>
      <c r="CV266" s="102"/>
      <c r="CW266" s="102"/>
      <c r="CX266" s="102"/>
      <c r="CY266" s="102"/>
      <c r="CZ266" s="102"/>
      <c r="DA266" s="102"/>
      <c r="DB266" s="102"/>
      <c r="DC266" s="102"/>
      <c r="DD266" s="102"/>
      <c r="DE266" s="102"/>
      <c r="DF266" s="102"/>
      <c r="DG266" s="102"/>
      <c r="DH266" s="102"/>
      <c r="DI266" s="102"/>
      <c r="DJ266" s="102"/>
      <c r="DK266" s="102"/>
      <c r="DL266" s="102"/>
      <c r="DM266" s="102"/>
      <c r="DN266" s="102"/>
      <c r="DO266" s="102"/>
      <c r="DP266" s="102"/>
      <c r="DQ266" s="102"/>
      <c r="DR266" s="102"/>
      <c r="DS266" s="102"/>
      <c r="DT266" s="105"/>
      <c r="DU266" s="102"/>
      <c r="DV266" s="102"/>
      <c r="DW266" s="102"/>
      <c r="DX266" s="102"/>
      <c r="DY266" s="102"/>
      <c r="DZ266" s="102"/>
      <c r="EA266" s="102"/>
      <c r="EB266" s="102"/>
      <c r="EC266" s="102"/>
      <c r="ED266" s="102"/>
      <c r="EE266" s="102"/>
      <c r="EF266" s="102"/>
      <c r="EG266" s="102"/>
      <c r="EH266" s="102"/>
      <c r="EI266" s="102"/>
      <c r="EJ266" s="102"/>
      <c r="EK266" s="102"/>
      <c r="EL266" s="102"/>
      <c r="EM266" s="102"/>
    </row>
    <row r="267" spans="1:143" ht="15.75" customHeight="1" x14ac:dyDescent="0.55000000000000004">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c r="AZ267" s="102"/>
      <c r="BA267" s="102"/>
      <c r="BB267" s="102"/>
      <c r="BC267" s="102"/>
      <c r="BD267" s="102"/>
      <c r="BE267" s="102"/>
      <c r="BF267" s="102"/>
      <c r="BG267" s="102"/>
      <c r="BH267" s="102"/>
      <c r="BI267" s="102"/>
      <c r="BJ267" s="102"/>
      <c r="BK267" s="102"/>
      <c r="BL267" s="102"/>
      <c r="BM267" s="102"/>
      <c r="BN267" s="102"/>
      <c r="BO267" s="102"/>
      <c r="BP267" s="102"/>
      <c r="BQ267" s="102"/>
      <c r="BR267" s="102"/>
      <c r="BS267" s="102"/>
      <c r="BT267" s="102"/>
      <c r="BU267" s="102"/>
      <c r="BV267" s="102"/>
      <c r="BW267" s="102"/>
      <c r="BX267" s="102"/>
      <c r="BY267" s="102"/>
      <c r="BZ267" s="102"/>
      <c r="CA267" s="102"/>
      <c r="CB267" s="102"/>
      <c r="CC267" s="102"/>
      <c r="CD267" s="102"/>
      <c r="CE267" s="102"/>
      <c r="CF267" s="102"/>
      <c r="CG267" s="102"/>
      <c r="CH267" s="102"/>
      <c r="CI267" s="102"/>
      <c r="CJ267" s="102"/>
      <c r="CK267" s="102"/>
      <c r="CL267" s="102"/>
      <c r="CM267" s="102"/>
      <c r="CN267" s="102"/>
      <c r="CO267" s="102"/>
      <c r="CP267" s="102"/>
      <c r="CQ267" s="102"/>
      <c r="CR267" s="102"/>
      <c r="CS267" s="102"/>
      <c r="CT267" s="102"/>
      <c r="CU267" s="102"/>
      <c r="CV267" s="102"/>
      <c r="CW267" s="102"/>
      <c r="CX267" s="102"/>
      <c r="CY267" s="102"/>
      <c r="CZ267" s="102"/>
      <c r="DA267" s="102"/>
      <c r="DB267" s="102"/>
      <c r="DC267" s="102"/>
      <c r="DD267" s="102"/>
      <c r="DE267" s="102"/>
      <c r="DF267" s="102"/>
      <c r="DG267" s="102"/>
      <c r="DH267" s="102"/>
      <c r="DI267" s="102"/>
      <c r="DJ267" s="102"/>
      <c r="DK267" s="102"/>
      <c r="DL267" s="102"/>
      <c r="DM267" s="102"/>
      <c r="DN267" s="102"/>
      <c r="DO267" s="102"/>
      <c r="DP267" s="102"/>
      <c r="DQ267" s="102"/>
      <c r="DR267" s="102"/>
      <c r="DS267" s="102"/>
      <c r="DT267" s="105"/>
      <c r="DU267" s="102"/>
      <c r="DV267" s="102"/>
      <c r="DW267" s="102"/>
      <c r="DX267" s="102"/>
      <c r="DY267" s="102"/>
      <c r="DZ267" s="102"/>
      <c r="EA267" s="102"/>
      <c r="EB267" s="102"/>
      <c r="EC267" s="102"/>
      <c r="ED267" s="102"/>
      <c r="EE267" s="102"/>
      <c r="EF267" s="102"/>
      <c r="EG267" s="102"/>
      <c r="EH267" s="102"/>
      <c r="EI267" s="102"/>
      <c r="EJ267" s="102"/>
      <c r="EK267" s="102"/>
      <c r="EL267" s="102"/>
      <c r="EM267" s="102"/>
    </row>
    <row r="268" spans="1:143" ht="15.75" customHeight="1" x14ac:dyDescent="0.55000000000000004">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c r="AZ268" s="102"/>
      <c r="BA268" s="102"/>
      <c r="BB268" s="102"/>
      <c r="BC268" s="102"/>
      <c r="BD268" s="102"/>
      <c r="BE268" s="102"/>
      <c r="BF268" s="102"/>
      <c r="BG268" s="102"/>
      <c r="BH268" s="102"/>
      <c r="BI268" s="102"/>
      <c r="BJ268" s="102"/>
      <c r="BK268" s="102"/>
      <c r="BL268" s="102"/>
      <c r="BM268" s="102"/>
      <c r="BN268" s="102"/>
      <c r="BO268" s="102"/>
      <c r="BP268" s="102"/>
      <c r="BQ268" s="102"/>
      <c r="BR268" s="102"/>
      <c r="BS268" s="102"/>
      <c r="BT268" s="102"/>
      <c r="BU268" s="102"/>
      <c r="BV268" s="102"/>
      <c r="BW268" s="102"/>
      <c r="BX268" s="102"/>
      <c r="BY268" s="102"/>
      <c r="BZ268" s="102"/>
      <c r="CA268" s="102"/>
      <c r="CB268" s="102"/>
      <c r="CC268" s="102"/>
      <c r="CD268" s="102"/>
      <c r="CE268" s="102"/>
      <c r="CF268" s="102"/>
      <c r="CG268" s="102"/>
      <c r="CH268" s="102"/>
      <c r="CI268" s="102"/>
      <c r="CJ268" s="102"/>
      <c r="CK268" s="102"/>
      <c r="CL268" s="102"/>
      <c r="CM268" s="102"/>
      <c r="CN268" s="102"/>
      <c r="CO268" s="102"/>
      <c r="CP268" s="102"/>
      <c r="CQ268" s="102"/>
      <c r="CR268" s="102"/>
      <c r="CS268" s="102"/>
      <c r="CT268" s="102"/>
      <c r="CU268" s="102"/>
      <c r="CV268" s="102"/>
      <c r="CW268" s="102"/>
      <c r="CX268" s="102"/>
      <c r="CY268" s="102"/>
      <c r="CZ268" s="102"/>
      <c r="DA268" s="102"/>
      <c r="DB268" s="102"/>
      <c r="DC268" s="102"/>
      <c r="DD268" s="102"/>
      <c r="DE268" s="102"/>
      <c r="DF268" s="102"/>
      <c r="DG268" s="102"/>
      <c r="DH268" s="102"/>
      <c r="DI268" s="102"/>
      <c r="DJ268" s="102"/>
      <c r="DK268" s="102"/>
      <c r="DL268" s="102"/>
      <c r="DM268" s="102"/>
      <c r="DN268" s="102"/>
      <c r="DO268" s="102"/>
      <c r="DP268" s="102"/>
      <c r="DQ268" s="102"/>
      <c r="DR268" s="102"/>
      <c r="DS268" s="102"/>
      <c r="DT268" s="105"/>
      <c r="DU268" s="102"/>
      <c r="DV268" s="102"/>
      <c r="DW268" s="102"/>
      <c r="DX268" s="102"/>
      <c r="DY268" s="102"/>
      <c r="DZ268" s="102"/>
      <c r="EA268" s="102"/>
      <c r="EB268" s="102"/>
      <c r="EC268" s="102"/>
      <c r="ED268" s="102"/>
      <c r="EE268" s="102"/>
      <c r="EF268" s="102"/>
      <c r="EG268" s="102"/>
      <c r="EH268" s="102"/>
      <c r="EI268" s="102"/>
      <c r="EJ268" s="102"/>
      <c r="EK268" s="102"/>
      <c r="EL268" s="102"/>
      <c r="EM268" s="102"/>
    </row>
    <row r="269" spans="1:143" ht="15.75" customHeight="1" x14ac:dyDescent="0.55000000000000004">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2"/>
      <c r="BF269" s="102"/>
      <c r="BG269" s="102"/>
      <c r="BH269" s="102"/>
      <c r="BI269" s="102"/>
      <c r="BJ269" s="102"/>
      <c r="BK269" s="102"/>
      <c r="BL269" s="102"/>
      <c r="BM269" s="102"/>
      <c r="BN269" s="102"/>
      <c r="BO269" s="102"/>
      <c r="BP269" s="102"/>
      <c r="BQ269" s="102"/>
      <c r="BR269" s="102"/>
      <c r="BS269" s="102"/>
      <c r="BT269" s="102"/>
      <c r="BU269" s="102"/>
      <c r="BV269" s="102"/>
      <c r="BW269" s="102"/>
      <c r="BX269" s="102"/>
      <c r="BY269" s="102"/>
      <c r="BZ269" s="102"/>
      <c r="CA269" s="102"/>
      <c r="CB269" s="102"/>
      <c r="CC269" s="102"/>
      <c r="CD269" s="102"/>
      <c r="CE269" s="102"/>
      <c r="CF269" s="102"/>
      <c r="CG269" s="102"/>
      <c r="CH269" s="102"/>
      <c r="CI269" s="102"/>
      <c r="CJ269" s="102"/>
      <c r="CK269" s="102"/>
      <c r="CL269" s="102"/>
      <c r="CM269" s="102"/>
      <c r="CN269" s="102"/>
      <c r="CO269" s="102"/>
      <c r="CP269" s="102"/>
      <c r="CQ269" s="102"/>
      <c r="CR269" s="102"/>
      <c r="CS269" s="102"/>
      <c r="CT269" s="102"/>
      <c r="CU269" s="102"/>
      <c r="CV269" s="102"/>
      <c r="CW269" s="102"/>
      <c r="CX269" s="102"/>
      <c r="CY269" s="102"/>
      <c r="CZ269" s="102"/>
      <c r="DA269" s="102"/>
      <c r="DB269" s="102"/>
      <c r="DC269" s="102"/>
      <c r="DD269" s="102"/>
      <c r="DE269" s="102"/>
      <c r="DF269" s="102"/>
      <c r="DG269" s="102"/>
      <c r="DH269" s="102"/>
      <c r="DI269" s="102"/>
      <c r="DJ269" s="102"/>
      <c r="DK269" s="102"/>
      <c r="DL269" s="102"/>
      <c r="DM269" s="102"/>
      <c r="DN269" s="102"/>
      <c r="DO269" s="102"/>
      <c r="DP269" s="102"/>
      <c r="DQ269" s="102"/>
      <c r="DR269" s="102"/>
      <c r="DS269" s="102"/>
      <c r="DT269" s="105"/>
      <c r="DU269" s="102"/>
      <c r="DV269" s="102"/>
      <c r="DW269" s="102"/>
      <c r="DX269" s="102"/>
      <c r="DY269" s="102"/>
      <c r="DZ269" s="102"/>
      <c r="EA269" s="102"/>
      <c r="EB269" s="102"/>
      <c r="EC269" s="102"/>
      <c r="ED269" s="102"/>
      <c r="EE269" s="102"/>
      <c r="EF269" s="102"/>
      <c r="EG269" s="102"/>
      <c r="EH269" s="102"/>
      <c r="EI269" s="102"/>
      <c r="EJ269" s="102"/>
      <c r="EK269" s="102"/>
      <c r="EL269" s="102"/>
      <c r="EM269" s="102"/>
    </row>
    <row r="270" spans="1:143" ht="15.75" customHeight="1" x14ac:dyDescent="0.55000000000000004">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c r="AZ270" s="102"/>
      <c r="BA270" s="102"/>
      <c r="BB270" s="102"/>
      <c r="BC270" s="102"/>
      <c r="BD270" s="102"/>
      <c r="BE270" s="102"/>
      <c r="BF270" s="102"/>
      <c r="BG270" s="102"/>
      <c r="BH270" s="102"/>
      <c r="BI270" s="102"/>
      <c r="BJ270" s="102"/>
      <c r="BK270" s="102"/>
      <c r="BL270" s="102"/>
      <c r="BM270" s="102"/>
      <c r="BN270" s="102"/>
      <c r="BO270" s="102"/>
      <c r="BP270" s="102"/>
      <c r="BQ270" s="102"/>
      <c r="BR270" s="102"/>
      <c r="BS270" s="102"/>
      <c r="BT270" s="102"/>
      <c r="BU270" s="102"/>
      <c r="BV270" s="102"/>
      <c r="BW270" s="102"/>
      <c r="BX270" s="102"/>
      <c r="BY270" s="102"/>
      <c r="BZ270" s="102"/>
      <c r="CA270" s="102"/>
      <c r="CB270" s="102"/>
      <c r="CC270" s="102"/>
      <c r="CD270" s="102"/>
      <c r="CE270" s="102"/>
      <c r="CF270" s="102"/>
      <c r="CG270" s="102"/>
      <c r="CH270" s="102"/>
      <c r="CI270" s="102"/>
      <c r="CJ270" s="102"/>
      <c r="CK270" s="102"/>
      <c r="CL270" s="102"/>
      <c r="CM270" s="102"/>
      <c r="CN270" s="102"/>
      <c r="CO270" s="102"/>
      <c r="CP270" s="102"/>
      <c r="CQ270" s="102"/>
      <c r="CR270" s="102"/>
      <c r="CS270" s="102"/>
      <c r="CT270" s="102"/>
      <c r="CU270" s="102"/>
      <c r="CV270" s="102"/>
      <c r="CW270" s="102"/>
      <c r="CX270" s="102"/>
      <c r="CY270" s="102"/>
      <c r="CZ270" s="102"/>
      <c r="DA270" s="102"/>
      <c r="DB270" s="102"/>
      <c r="DC270" s="102"/>
      <c r="DD270" s="102"/>
      <c r="DE270" s="102"/>
      <c r="DF270" s="102"/>
      <c r="DG270" s="102"/>
      <c r="DH270" s="102"/>
      <c r="DI270" s="102"/>
      <c r="DJ270" s="102"/>
      <c r="DK270" s="102"/>
      <c r="DL270" s="102"/>
      <c r="DM270" s="102"/>
      <c r="DN270" s="102"/>
      <c r="DO270" s="102"/>
      <c r="DP270" s="102"/>
      <c r="DQ270" s="102"/>
      <c r="DR270" s="102"/>
      <c r="DS270" s="102"/>
      <c r="DT270" s="105"/>
      <c r="DU270" s="102"/>
      <c r="DV270" s="102"/>
      <c r="DW270" s="102"/>
      <c r="DX270" s="102"/>
      <c r="DY270" s="102"/>
      <c r="DZ270" s="102"/>
      <c r="EA270" s="102"/>
      <c r="EB270" s="102"/>
      <c r="EC270" s="102"/>
      <c r="ED270" s="102"/>
      <c r="EE270" s="102"/>
      <c r="EF270" s="102"/>
      <c r="EG270" s="102"/>
      <c r="EH270" s="102"/>
      <c r="EI270" s="102"/>
      <c r="EJ270" s="102"/>
      <c r="EK270" s="102"/>
      <c r="EL270" s="102"/>
      <c r="EM270" s="102"/>
    </row>
    <row r="271" spans="1:143" ht="15.75" customHeight="1" x14ac:dyDescent="0.55000000000000004">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c r="AZ271" s="102"/>
      <c r="BA271" s="102"/>
      <c r="BB271" s="102"/>
      <c r="BC271" s="102"/>
      <c r="BD271" s="102"/>
      <c r="BE271" s="102"/>
      <c r="BF271" s="102"/>
      <c r="BG271" s="102"/>
      <c r="BH271" s="102"/>
      <c r="BI271" s="102"/>
      <c r="BJ271" s="102"/>
      <c r="BK271" s="102"/>
      <c r="BL271" s="102"/>
      <c r="BM271" s="102"/>
      <c r="BN271" s="102"/>
      <c r="BO271" s="102"/>
      <c r="BP271" s="102"/>
      <c r="BQ271" s="102"/>
      <c r="BR271" s="102"/>
      <c r="BS271" s="102"/>
      <c r="BT271" s="102"/>
      <c r="BU271" s="102"/>
      <c r="BV271" s="102"/>
      <c r="BW271" s="102"/>
      <c r="BX271" s="102"/>
      <c r="BY271" s="102"/>
      <c r="BZ271" s="102"/>
      <c r="CA271" s="102"/>
      <c r="CB271" s="102"/>
      <c r="CC271" s="102"/>
      <c r="CD271" s="102"/>
      <c r="CE271" s="102"/>
      <c r="CF271" s="102"/>
      <c r="CG271" s="102"/>
      <c r="CH271" s="102"/>
      <c r="CI271" s="102"/>
      <c r="CJ271" s="102"/>
      <c r="CK271" s="102"/>
      <c r="CL271" s="102"/>
      <c r="CM271" s="102"/>
      <c r="CN271" s="102"/>
      <c r="CO271" s="102"/>
      <c r="CP271" s="102"/>
      <c r="CQ271" s="102"/>
      <c r="CR271" s="102"/>
      <c r="CS271" s="102"/>
      <c r="CT271" s="102"/>
      <c r="CU271" s="102"/>
      <c r="CV271" s="102"/>
      <c r="CW271" s="102"/>
      <c r="CX271" s="102"/>
      <c r="CY271" s="102"/>
      <c r="CZ271" s="102"/>
      <c r="DA271" s="102"/>
      <c r="DB271" s="102"/>
      <c r="DC271" s="102"/>
      <c r="DD271" s="102"/>
      <c r="DE271" s="102"/>
      <c r="DF271" s="102"/>
      <c r="DG271" s="102"/>
      <c r="DH271" s="102"/>
      <c r="DI271" s="102"/>
      <c r="DJ271" s="102"/>
      <c r="DK271" s="102"/>
      <c r="DL271" s="102"/>
      <c r="DM271" s="102"/>
      <c r="DN271" s="102"/>
      <c r="DO271" s="102"/>
      <c r="DP271" s="102"/>
      <c r="DQ271" s="102"/>
      <c r="DR271" s="102"/>
      <c r="DS271" s="102"/>
      <c r="DT271" s="105"/>
      <c r="DU271" s="102"/>
      <c r="DV271" s="102"/>
      <c r="DW271" s="102"/>
      <c r="DX271" s="102"/>
      <c r="DY271" s="102"/>
      <c r="DZ271" s="102"/>
      <c r="EA271" s="102"/>
      <c r="EB271" s="102"/>
      <c r="EC271" s="102"/>
      <c r="ED271" s="102"/>
      <c r="EE271" s="102"/>
      <c r="EF271" s="102"/>
      <c r="EG271" s="102"/>
      <c r="EH271" s="102"/>
      <c r="EI271" s="102"/>
      <c r="EJ271" s="102"/>
      <c r="EK271" s="102"/>
      <c r="EL271" s="102"/>
      <c r="EM271" s="102"/>
    </row>
    <row r="272" spans="1:143" ht="15.75" customHeight="1" x14ac:dyDescent="0.55000000000000004">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c r="AZ272" s="102"/>
      <c r="BA272" s="102"/>
      <c r="BB272" s="102"/>
      <c r="BC272" s="102"/>
      <c r="BD272" s="102"/>
      <c r="BE272" s="102"/>
      <c r="BF272" s="102"/>
      <c r="BG272" s="102"/>
      <c r="BH272" s="102"/>
      <c r="BI272" s="102"/>
      <c r="BJ272" s="102"/>
      <c r="BK272" s="102"/>
      <c r="BL272" s="102"/>
      <c r="BM272" s="102"/>
      <c r="BN272" s="102"/>
      <c r="BO272" s="102"/>
      <c r="BP272" s="102"/>
      <c r="BQ272" s="102"/>
      <c r="BR272" s="102"/>
      <c r="BS272" s="102"/>
      <c r="BT272" s="102"/>
      <c r="BU272" s="102"/>
      <c r="BV272" s="102"/>
      <c r="BW272" s="102"/>
      <c r="BX272" s="102"/>
      <c r="BY272" s="102"/>
      <c r="BZ272" s="102"/>
      <c r="CA272" s="102"/>
      <c r="CB272" s="102"/>
      <c r="CC272" s="102"/>
      <c r="CD272" s="102"/>
      <c r="CE272" s="102"/>
      <c r="CF272" s="102"/>
      <c r="CG272" s="102"/>
      <c r="CH272" s="102"/>
      <c r="CI272" s="102"/>
      <c r="CJ272" s="102"/>
      <c r="CK272" s="102"/>
      <c r="CL272" s="102"/>
      <c r="CM272" s="102"/>
      <c r="CN272" s="102"/>
      <c r="CO272" s="102"/>
      <c r="CP272" s="102"/>
      <c r="CQ272" s="102"/>
      <c r="CR272" s="102"/>
      <c r="CS272" s="102"/>
      <c r="CT272" s="102"/>
      <c r="CU272" s="102"/>
      <c r="CV272" s="102"/>
      <c r="CW272" s="102"/>
      <c r="CX272" s="102"/>
      <c r="CY272" s="102"/>
      <c r="CZ272" s="102"/>
      <c r="DA272" s="102"/>
      <c r="DB272" s="102"/>
      <c r="DC272" s="102"/>
      <c r="DD272" s="102"/>
      <c r="DE272" s="102"/>
      <c r="DF272" s="102"/>
      <c r="DG272" s="102"/>
      <c r="DH272" s="102"/>
      <c r="DI272" s="102"/>
      <c r="DJ272" s="102"/>
      <c r="DK272" s="102"/>
      <c r="DL272" s="102"/>
      <c r="DM272" s="102"/>
      <c r="DN272" s="102"/>
      <c r="DO272" s="102"/>
      <c r="DP272" s="102"/>
      <c r="DQ272" s="102"/>
      <c r="DR272" s="102"/>
      <c r="DS272" s="102"/>
      <c r="DT272" s="105"/>
      <c r="DU272" s="102"/>
      <c r="DV272" s="102"/>
      <c r="DW272" s="102"/>
      <c r="DX272" s="102"/>
      <c r="DY272" s="102"/>
      <c r="DZ272" s="102"/>
      <c r="EA272" s="102"/>
      <c r="EB272" s="102"/>
      <c r="EC272" s="102"/>
      <c r="ED272" s="102"/>
      <c r="EE272" s="102"/>
      <c r="EF272" s="102"/>
      <c r="EG272" s="102"/>
      <c r="EH272" s="102"/>
      <c r="EI272" s="102"/>
      <c r="EJ272" s="102"/>
      <c r="EK272" s="102"/>
      <c r="EL272" s="102"/>
      <c r="EM272" s="102"/>
    </row>
    <row r="273" spans="1:143" ht="15.75" customHeight="1" x14ac:dyDescent="0.55000000000000004">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2"/>
      <c r="BF273" s="102"/>
      <c r="BG273" s="102"/>
      <c r="BH273" s="102"/>
      <c r="BI273" s="102"/>
      <c r="BJ273" s="102"/>
      <c r="BK273" s="102"/>
      <c r="BL273" s="102"/>
      <c r="BM273" s="102"/>
      <c r="BN273" s="102"/>
      <c r="BO273" s="102"/>
      <c r="BP273" s="102"/>
      <c r="BQ273" s="102"/>
      <c r="BR273" s="102"/>
      <c r="BS273" s="102"/>
      <c r="BT273" s="102"/>
      <c r="BU273" s="102"/>
      <c r="BV273" s="102"/>
      <c r="BW273" s="102"/>
      <c r="BX273" s="102"/>
      <c r="BY273" s="102"/>
      <c r="BZ273" s="102"/>
      <c r="CA273" s="102"/>
      <c r="CB273" s="102"/>
      <c r="CC273" s="102"/>
      <c r="CD273" s="102"/>
      <c r="CE273" s="102"/>
      <c r="CF273" s="102"/>
      <c r="CG273" s="102"/>
      <c r="CH273" s="102"/>
      <c r="CI273" s="102"/>
      <c r="CJ273" s="102"/>
      <c r="CK273" s="102"/>
      <c r="CL273" s="102"/>
      <c r="CM273" s="102"/>
      <c r="CN273" s="102"/>
      <c r="CO273" s="102"/>
      <c r="CP273" s="102"/>
      <c r="CQ273" s="102"/>
      <c r="CR273" s="102"/>
      <c r="CS273" s="102"/>
      <c r="CT273" s="102"/>
      <c r="CU273" s="102"/>
      <c r="CV273" s="102"/>
      <c r="CW273" s="102"/>
      <c r="CX273" s="102"/>
      <c r="CY273" s="102"/>
      <c r="CZ273" s="102"/>
      <c r="DA273" s="102"/>
      <c r="DB273" s="102"/>
      <c r="DC273" s="102"/>
      <c r="DD273" s="102"/>
      <c r="DE273" s="102"/>
      <c r="DF273" s="102"/>
      <c r="DG273" s="102"/>
      <c r="DH273" s="102"/>
      <c r="DI273" s="102"/>
      <c r="DJ273" s="102"/>
      <c r="DK273" s="102"/>
      <c r="DL273" s="102"/>
      <c r="DM273" s="102"/>
      <c r="DN273" s="102"/>
      <c r="DO273" s="102"/>
      <c r="DP273" s="102"/>
      <c r="DQ273" s="102"/>
      <c r="DR273" s="102"/>
      <c r="DS273" s="102"/>
      <c r="DT273" s="105"/>
      <c r="DU273" s="102"/>
      <c r="DV273" s="102"/>
      <c r="DW273" s="102"/>
      <c r="DX273" s="102"/>
      <c r="DY273" s="102"/>
      <c r="DZ273" s="102"/>
      <c r="EA273" s="102"/>
      <c r="EB273" s="102"/>
      <c r="EC273" s="102"/>
      <c r="ED273" s="102"/>
      <c r="EE273" s="102"/>
      <c r="EF273" s="102"/>
      <c r="EG273" s="102"/>
      <c r="EH273" s="102"/>
      <c r="EI273" s="102"/>
      <c r="EJ273" s="102"/>
      <c r="EK273" s="102"/>
      <c r="EL273" s="102"/>
      <c r="EM273" s="102"/>
    </row>
    <row r="274" spans="1:143" ht="15.75" customHeight="1" x14ac:dyDescent="0.5500000000000000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2"/>
      <c r="BF274" s="102"/>
      <c r="BG274" s="102"/>
      <c r="BH274" s="102"/>
      <c r="BI274" s="102"/>
      <c r="BJ274" s="102"/>
      <c r="BK274" s="102"/>
      <c r="BL274" s="102"/>
      <c r="BM274" s="102"/>
      <c r="BN274" s="102"/>
      <c r="BO274" s="102"/>
      <c r="BP274" s="102"/>
      <c r="BQ274" s="102"/>
      <c r="BR274" s="102"/>
      <c r="BS274" s="102"/>
      <c r="BT274" s="102"/>
      <c r="BU274" s="102"/>
      <c r="BV274" s="102"/>
      <c r="BW274" s="102"/>
      <c r="BX274" s="102"/>
      <c r="BY274" s="102"/>
      <c r="BZ274" s="102"/>
      <c r="CA274" s="102"/>
      <c r="CB274" s="102"/>
      <c r="CC274" s="102"/>
      <c r="CD274" s="102"/>
      <c r="CE274" s="102"/>
      <c r="CF274" s="102"/>
      <c r="CG274" s="102"/>
      <c r="CH274" s="102"/>
      <c r="CI274" s="102"/>
      <c r="CJ274" s="102"/>
      <c r="CK274" s="102"/>
      <c r="CL274" s="102"/>
      <c r="CM274" s="102"/>
      <c r="CN274" s="102"/>
      <c r="CO274" s="102"/>
      <c r="CP274" s="102"/>
      <c r="CQ274" s="102"/>
      <c r="CR274" s="102"/>
      <c r="CS274" s="102"/>
      <c r="CT274" s="102"/>
      <c r="CU274" s="102"/>
      <c r="CV274" s="102"/>
      <c r="CW274" s="102"/>
      <c r="CX274" s="102"/>
      <c r="CY274" s="102"/>
      <c r="CZ274" s="102"/>
      <c r="DA274" s="102"/>
      <c r="DB274" s="102"/>
      <c r="DC274" s="102"/>
      <c r="DD274" s="102"/>
      <c r="DE274" s="102"/>
      <c r="DF274" s="102"/>
      <c r="DG274" s="102"/>
      <c r="DH274" s="102"/>
      <c r="DI274" s="102"/>
      <c r="DJ274" s="102"/>
      <c r="DK274" s="102"/>
      <c r="DL274" s="102"/>
      <c r="DM274" s="102"/>
      <c r="DN274" s="102"/>
      <c r="DO274" s="102"/>
      <c r="DP274" s="102"/>
      <c r="DQ274" s="102"/>
      <c r="DR274" s="102"/>
      <c r="DS274" s="102"/>
      <c r="DT274" s="105"/>
      <c r="DU274" s="102"/>
      <c r="DV274" s="102"/>
      <c r="DW274" s="102"/>
      <c r="DX274" s="102"/>
      <c r="DY274" s="102"/>
      <c r="DZ274" s="102"/>
      <c r="EA274" s="102"/>
      <c r="EB274" s="102"/>
      <c r="EC274" s="102"/>
      <c r="ED274" s="102"/>
      <c r="EE274" s="102"/>
      <c r="EF274" s="102"/>
      <c r="EG274" s="102"/>
      <c r="EH274" s="102"/>
      <c r="EI274" s="102"/>
      <c r="EJ274" s="102"/>
      <c r="EK274" s="102"/>
      <c r="EL274" s="102"/>
      <c r="EM274" s="102"/>
    </row>
    <row r="275" spans="1:143" ht="15.75" customHeight="1" x14ac:dyDescent="0.55000000000000004">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02"/>
      <c r="BG275" s="102"/>
      <c r="BH275" s="102"/>
      <c r="BI275" s="102"/>
      <c r="BJ275" s="102"/>
      <c r="BK275" s="102"/>
      <c r="BL275" s="102"/>
      <c r="BM275" s="102"/>
      <c r="BN275" s="102"/>
      <c r="BO275" s="102"/>
      <c r="BP275" s="102"/>
      <c r="BQ275" s="102"/>
      <c r="BR275" s="102"/>
      <c r="BS275" s="102"/>
      <c r="BT275" s="102"/>
      <c r="BU275" s="102"/>
      <c r="BV275" s="102"/>
      <c r="BW275" s="102"/>
      <c r="BX275" s="102"/>
      <c r="BY275" s="102"/>
      <c r="BZ275" s="102"/>
      <c r="CA275" s="102"/>
      <c r="CB275" s="102"/>
      <c r="CC275" s="102"/>
      <c r="CD275" s="102"/>
      <c r="CE275" s="102"/>
      <c r="CF275" s="102"/>
      <c r="CG275" s="102"/>
      <c r="CH275" s="102"/>
      <c r="CI275" s="102"/>
      <c r="CJ275" s="102"/>
      <c r="CK275" s="102"/>
      <c r="CL275" s="102"/>
      <c r="CM275" s="102"/>
      <c r="CN275" s="102"/>
      <c r="CO275" s="102"/>
      <c r="CP275" s="102"/>
      <c r="CQ275" s="102"/>
      <c r="CR275" s="102"/>
      <c r="CS275" s="102"/>
      <c r="CT275" s="102"/>
      <c r="CU275" s="102"/>
      <c r="CV275" s="102"/>
      <c r="CW275" s="102"/>
      <c r="CX275" s="102"/>
      <c r="CY275" s="102"/>
      <c r="CZ275" s="102"/>
      <c r="DA275" s="102"/>
      <c r="DB275" s="102"/>
      <c r="DC275" s="102"/>
      <c r="DD275" s="102"/>
      <c r="DE275" s="102"/>
      <c r="DF275" s="102"/>
      <c r="DG275" s="102"/>
      <c r="DH275" s="102"/>
      <c r="DI275" s="102"/>
      <c r="DJ275" s="102"/>
      <c r="DK275" s="102"/>
      <c r="DL275" s="102"/>
      <c r="DM275" s="102"/>
      <c r="DN275" s="102"/>
      <c r="DO275" s="102"/>
      <c r="DP275" s="102"/>
      <c r="DQ275" s="102"/>
      <c r="DR275" s="102"/>
      <c r="DS275" s="102"/>
      <c r="DT275" s="105"/>
      <c r="DU275" s="102"/>
      <c r="DV275" s="102"/>
      <c r="DW275" s="102"/>
      <c r="DX275" s="102"/>
      <c r="DY275" s="102"/>
      <c r="DZ275" s="102"/>
      <c r="EA275" s="102"/>
      <c r="EB275" s="102"/>
      <c r="EC275" s="102"/>
      <c r="ED275" s="102"/>
      <c r="EE275" s="102"/>
      <c r="EF275" s="102"/>
      <c r="EG275" s="102"/>
      <c r="EH275" s="102"/>
      <c r="EI275" s="102"/>
      <c r="EJ275" s="102"/>
      <c r="EK275" s="102"/>
      <c r="EL275" s="102"/>
      <c r="EM275" s="102"/>
    </row>
    <row r="276" spans="1:143" ht="15.75" customHeight="1" x14ac:dyDescent="0.55000000000000004">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c r="AZ276" s="102"/>
      <c r="BA276" s="102"/>
      <c r="BB276" s="102"/>
      <c r="BC276" s="102"/>
      <c r="BD276" s="102"/>
      <c r="BE276" s="102"/>
      <c r="BF276" s="102"/>
      <c r="BG276" s="102"/>
      <c r="BH276" s="102"/>
      <c r="BI276" s="102"/>
      <c r="BJ276" s="102"/>
      <c r="BK276" s="102"/>
      <c r="BL276" s="102"/>
      <c r="BM276" s="102"/>
      <c r="BN276" s="102"/>
      <c r="BO276" s="102"/>
      <c r="BP276" s="102"/>
      <c r="BQ276" s="102"/>
      <c r="BR276" s="102"/>
      <c r="BS276" s="102"/>
      <c r="BT276" s="102"/>
      <c r="BU276" s="102"/>
      <c r="BV276" s="102"/>
      <c r="BW276" s="102"/>
      <c r="BX276" s="102"/>
      <c r="BY276" s="102"/>
      <c r="BZ276" s="102"/>
      <c r="CA276" s="102"/>
      <c r="CB276" s="102"/>
      <c r="CC276" s="102"/>
      <c r="CD276" s="102"/>
      <c r="CE276" s="102"/>
      <c r="CF276" s="102"/>
      <c r="CG276" s="102"/>
      <c r="CH276" s="102"/>
      <c r="CI276" s="102"/>
      <c r="CJ276" s="102"/>
      <c r="CK276" s="102"/>
      <c r="CL276" s="102"/>
      <c r="CM276" s="102"/>
      <c r="CN276" s="102"/>
      <c r="CO276" s="102"/>
      <c r="CP276" s="102"/>
      <c r="CQ276" s="102"/>
      <c r="CR276" s="102"/>
      <c r="CS276" s="102"/>
      <c r="CT276" s="102"/>
      <c r="CU276" s="102"/>
      <c r="CV276" s="102"/>
      <c r="CW276" s="102"/>
      <c r="CX276" s="102"/>
      <c r="CY276" s="102"/>
      <c r="CZ276" s="102"/>
      <c r="DA276" s="102"/>
      <c r="DB276" s="102"/>
      <c r="DC276" s="102"/>
      <c r="DD276" s="102"/>
      <c r="DE276" s="102"/>
      <c r="DF276" s="102"/>
      <c r="DG276" s="102"/>
      <c r="DH276" s="102"/>
      <c r="DI276" s="102"/>
      <c r="DJ276" s="102"/>
      <c r="DK276" s="102"/>
      <c r="DL276" s="102"/>
      <c r="DM276" s="102"/>
      <c r="DN276" s="102"/>
      <c r="DO276" s="102"/>
      <c r="DP276" s="102"/>
      <c r="DQ276" s="102"/>
      <c r="DR276" s="102"/>
      <c r="DS276" s="102"/>
      <c r="DT276" s="105"/>
      <c r="DU276" s="102"/>
      <c r="DV276" s="102"/>
      <c r="DW276" s="102"/>
      <c r="DX276" s="102"/>
      <c r="DY276" s="102"/>
      <c r="DZ276" s="102"/>
      <c r="EA276" s="102"/>
      <c r="EB276" s="102"/>
      <c r="EC276" s="102"/>
      <c r="ED276" s="102"/>
      <c r="EE276" s="102"/>
      <c r="EF276" s="102"/>
      <c r="EG276" s="102"/>
      <c r="EH276" s="102"/>
      <c r="EI276" s="102"/>
      <c r="EJ276" s="102"/>
      <c r="EK276" s="102"/>
      <c r="EL276" s="102"/>
      <c r="EM276" s="102"/>
    </row>
    <row r="277" spans="1:143" ht="15.75" customHeight="1" x14ac:dyDescent="0.55000000000000004">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2"/>
      <c r="BF277" s="102"/>
      <c r="BG277" s="102"/>
      <c r="BH277" s="102"/>
      <c r="BI277" s="102"/>
      <c r="BJ277" s="102"/>
      <c r="BK277" s="102"/>
      <c r="BL277" s="102"/>
      <c r="BM277" s="102"/>
      <c r="BN277" s="102"/>
      <c r="BO277" s="102"/>
      <c r="BP277" s="102"/>
      <c r="BQ277" s="102"/>
      <c r="BR277" s="102"/>
      <c r="BS277" s="102"/>
      <c r="BT277" s="102"/>
      <c r="BU277" s="102"/>
      <c r="BV277" s="102"/>
      <c r="BW277" s="102"/>
      <c r="BX277" s="102"/>
      <c r="BY277" s="102"/>
      <c r="BZ277" s="102"/>
      <c r="CA277" s="102"/>
      <c r="CB277" s="102"/>
      <c r="CC277" s="102"/>
      <c r="CD277" s="102"/>
      <c r="CE277" s="102"/>
      <c r="CF277" s="102"/>
      <c r="CG277" s="102"/>
      <c r="CH277" s="102"/>
      <c r="CI277" s="102"/>
      <c r="CJ277" s="102"/>
      <c r="CK277" s="102"/>
      <c r="CL277" s="102"/>
      <c r="CM277" s="102"/>
      <c r="CN277" s="102"/>
      <c r="CO277" s="102"/>
      <c r="CP277" s="102"/>
      <c r="CQ277" s="102"/>
      <c r="CR277" s="102"/>
      <c r="CS277" s="102"/>
      <c r="CT277" s="102"/>
      <c r="CU277" s="102"/>
      <c r="CV277" s="102"/>
      <c r="CW277" s="102"/>
      <c r="CX277" s="102"/>
      <c r="CY277" s="102"/>
      <c r="CZ277" s="102"/>
      <c r="DA277" s="102"/>
      <c r="DB277" s="102"/>
      <c r="DC277" s="102"/>
      <c r="DD277" s="102"/>
      <c r="DE277" s="102"/>
      <c r="DF277" s="102"/>
      <c r="DG277" s="102"/>
      <c r="DH277" s="102"/>
      <c r="DI277" s="102"/>
      <c r="DJ277" s="102"/>
      <c r="DK277" s="102"/>
      <c r="DL277" s="102"/>
      <c r="DM277" s="102"/>
      <c r="DN277" s="102"/>
      <c r="DO277" s="102"/>
      <c r="DP277" s="102"/>
      <c r="DQ277" s="102"/>
      <c r="DR277" s="102"/>
      <c r="DS277" s="102"/>
      <c r="DT277" s="105"/>
      <c r="DU277" s="102"/>
      <c r="DV277" s="102"/>
      <c r="DW277" s="102"/>
      <c r="DX277" s="102"/>
      <c r="DY277" s="102"/>
      <c r="DZ277" s="102"/>
      <c r="EA277" s="102"/>
      <c r="EB277" s="102"/>
      <c r="EC277" s="102"/>
      <c r="ED277" s="102"/>
      <c r="EE277" s="102"/>
      <c r="EF277" s="102"/>
      <c r="EG277" s="102"/>
      <c r="EH277" s="102"/>
      <c r="EI277" s="102"/>
      <c r="EJ277" s="102"/>
      <c r="EK277" s="102"/>
      <c r="EL277" s="102"/>
      <c r="EM277" s="102"/>
    </row>
    <row r="278" spans="1:143" ht="15.75" customHeight="1" x14ac:dyDescent="0.55000000000000004">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2"/>
      <c r="BF278" s="102"/>
      <c r="BG278" s="102"/>
      <c r="BH278" s="102"/>
      <c r="BI278" s="102"/>
      <c r="BJ278" s="102"/>
      <c r="BK278" s="102"/>
      <c r="BL278" s="102"/>
      <c r="BM278" s="102"/>
      <c r="BN278" s="102"/>
      <c r="BO278" s="102"/>
      <c r="BP278" s="102"/>
      <c r="BQ278" s="102"/>
      <c r="BR278" s="102"/>
      <c r="BS278" s="102"/>
      <c r="BT278" s="102"/>
      <c r="BU278" s="102"/>
      <c r="BV278" s="102"/>
      <c r="BW278" s="102"/>
      <c r="BX278" s="102"/>
      <c r="BY278" s="102"/>
      <c r="BZ278" s="102"/>
      <c r="CA278" s="102"/>
      <c r="CB278" s="102"/>
      <c r="CC278" s="102"/>
      <c r="CD278" s="102"/>
      <c r="CE278" s="102"/>
      <c r="CF278" s="102"/>
      <c r="CG278" s="102"/>
      <c r="CH278" s="102"/>
      <c r="CI278" s="102"/>
      <c r="CJ278" s="102"/>
      <c r="CK278" s="102"/>
      <c r="CL278" s="102"/>
      <c r="CM278" s="102"/>
      <c r="CN278" s="102"/>
      <c r="CO278" s="102"/>
      <c r="CP278" s="102"/>
      <c r="CQ278" s="102"/>
      <c r="CR278" s="102"/>
      <c r="CS278" s="102"/>
      <c r="CT278" s="102"/>
      <c r="CU278" s="102"/>
      <c r="CV278" s="102"/>
      <c r="CW278" s="102"/>
      <c r="CX278" s="102"/>
      <c r="CY278" s="102"/>
      <c r="CZ278" s="102"/>
      <c r="DA278" s="102"/>
      <c r="DB278" s="102"/>
      <c r="DC278" s="102"/>
      <c r="DD278" s="102"/>
      <c r="DE278" s="102"/>
      <c r="DF278" s="102"/>
      <c r="DG278" s="102"/>
      <c r="DH278" s="102"/>
      <c r="DI278" s="102"/>
      <c r="DJ278" s="102"/>
      <c r="DK278" s="102"/>
      <c r="DL278" s="102"/>
      <c r="DM278" s="102"/>
      <c r="DN278" s="102"/>
      <c r="DO278" s="102"/>
      <c r="DP278" s="102"/>
      <c r="DQ278" s="102"/>
      <c r="DR278" s="102"/>
      <c r="DS278" s="102"/>
      <c r="DT278" s="105"/>
      <c r="DU278" s="102"/>
      <c r="DV278" s="102"/>
      <c r="DW278" s="102"/>
      <c r="DX278" s="102"/>
      <c r="DY278" s="102"/>
      <c r="DZ278" s="102"/>
      <c r="EA278" s="102"/>
      <c r="EB278" s="102"/>
      <c r="EC278" s="102"/>
      <c r="ED278" s="102"/>
      <c r="EE278" s="102"/>
      <c r="EF278" s="102"/>
      <c r="EG278" s="102"/>
      <c r="EH278" s="102"/>
      <c r="EI278" s="102"/>
      <c r="EJ278" s="102"/>
      <c r="EK278" s="102"/>
      <c r="EL278" s="102"/>
      <c r="EM278" s="102"/>
    </row>
    <row r="279" spans="1:143" ht="15.75" customHeight="1" x14ac:dyDescent="0.55000000000000004">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2"/>
      <c r="BF279" s="102"/>
      <c r="BG279" s="102"/>
      <c r="BH279" s="102"/>
      <c r="BI279" s="102"/>
      <c r="BJ279" s="102"/>
      <c r="BK279" s="102"/>
      <c r="BL279" s="102"/>
      <c r="BM279" s="102"/>
      <c r="BN279" s="102"/>
      <c r="BO279" s="102"/>
      <c r="BP279" s="102"/>
      <c r="BQ279" s="102"/>
      <c r="BR279" s="102"/>
      <c r="BS279" s="102"/>
      <c r="BT279" s="102"/>
      <c r="BU279" s="102"/>
      <c r="BV279" s="102"/>
      <c r="BW279" s="102"/>
      <c r="BX279" s="102"/>
      <c r="BY279" s="102"/>
      <c r="BZ279" s="102"/>
      <c r="CA279" s="102"/>
      <c r="CB279" s="102"/>
      <c r="CC279" s="102"/>
      <c r="CD279" s="102"/>
      <c r="CE279" s="102"/>
      <c r="CF279" s="102"/>
      <c r="CG279" s="102"/>
      <c r="CH279" s="102"/>
      <c r="CI279" s="102"/>
      <c r="CJ279" s="102"/>
      <c r="CK279" s="102"/>
      <c r="CL279" s="102"/>
      <c r="CM279" s="102"/>
      <c r="CN279" s="102"/>
      <c r="CO279" s="102"/>
      <c r="CP279" s="102"/>
      <c r="CQ279" s="102"/>
      <c r="CR279" s="102"/>
      <c r="CS279" s="102"/>
      <c r="CT279" s="102"/>
      <c r="CU279" s="102"/>
      <c r="CV279" s="102"/>
      <c r="CW279" s="102"/>
      <c r="CX279" s="102"/>
      <c r="CY279" s="102"/>
      <c r="CZ279" s="102"/>
      <c r="DA279" s="102"/>
      <c r="DB279" s="102"/>
      <c r="DC279" s="102"/>
      <c r="DD279" s="102"/>
      <c r="DE279" s="102"/>
      <c r="DF279" s="102"/>
      <c r="DG279" s="102"/>
      <c r="DH279" s="102"/>
      <c r="DI279" s="102"/>
      <c r="DJ279" s="102"/>
      <c r="DK279" s="102"/>
      <c r="DL279" s="102"/>
      <c r="DM279" s="102"/>
      <c r="DN279" s="102"/>
      <c r="DO279" s="102"/>
      <c r="DP279" s="102"/>
      <c r="DQ279" s="102"/>
      <c r="DR279" s="102"/>
      <c r="DS279" s="102"/>
      <c r="DT279" s="105"/>
      <c r="DU279" s="102"/>
      <c r="DV279" s="102"/>
      <c r="DW279" s="102"/>
      <c r="DX279" s="102"/>
      <c r="DY279" s="102"/>
      <c r="DZ279" s="102"/>
      <c r="EA279" s="102"/>
      <c r="EB279" s="102"/>
      <c r="EC279" s="102"/>
      <c r="ED279" s="102"/>
      <c r="EE279" s="102"/>
      <c r="EF279" s="102"/>
      <c r="EG279" s="102"/>
      <c r="EH279" s="102"/>
      <c r="EI279" s="102"/>
      <c r="EJ279" s="102"/>
      <c r="EK279" s="102"/>
      <c r="EL279" s="102"/>
      <c r="EM279" s="102"/>
    </row>
    <row r="280" spans="1:143" ht="15.75" customHeight="1" x14ac:dyDescent="0.55000000000000004">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2"/>
      <c r="BF280" s="102"/>
      <c r="BG280" s="102"/>
      <c r="BH280" s="102"/>
      <c r="BI280" s="102"/>
      <c r="BJ280" s="102"/>
      <c r="BK280" s="102"/>
      <c r="BL280" s="102"/>
      <c r="BM280" s="102"/>
      <c r="BN280" s="102"/>
      <c r="BO280" s="102"/>
      <c r="BP280" s="102"/>
      <c r="BQ280" s="102"/>
      <c r="BR280" s="102"/>
      <c r="BS280" s="102"/>
      <c r="BT280" s="102"/>
      <c r="BU280" s="102"/>
      <c r="BV280" s="102"/>
      <c r="BW280" s="102"/>
      <c r="BX280" s="102"/>
      <c r="BY280" s="102"/>
      <c r="BZ280" s="102"/>
      <c r="CA280" s="102"/>
      <c r="CB280" s="102"/>
      <c r="CC280" s="102"/>
      <c r="CD280" s="102"/>
      <c r="CE280" s="102"/>
      <c r="CF280" s="102"/>
      <c r="CG280" s="102"/>
      <c r="CH280" s="102"/>
      <c r="CI280" s="102"/>
      <c r="CJ280" s="102"/>
      <c r="CK280" s="102"/>
      <c r="CL280" s="102"/>
      <c r="CM280" s="102"/>
      <c r="CN280" s="102"/>
      <c r="CO280" s="102"/>
      <c r="CP280" s="102"/>
      <c r="CQ280" s="102"/>
      <c r="CR280" s="102"/>
      <c r="CS280" s="102"/>
      <c r="CT280" s="102"/>
      <c r="CU280" s="102"/>
      <c r="CV280" s="102"/>
      <c r="CW280" s="102"/>
      <c r="CX280" s="102"/>
      <c r="CY280" s="102"/>
      <c r="CZ280" s="102"/>
      <c r="DA280" s="102"/>
      <c r="DB280" s="102"/>
      <c r="DC280" s="102"/>
      <c r="DD280" s="102"/>
      <c r="DE280" s="102"/>
      <c r="DF280" s="102"/>
      <c r="DG280" s="102"/>
      <c r="DH280" s="102"/>
      <c r="DI280" s="102"/>
      <c r="DJ280" s="102"/>
      <c r="DK280" s="102"/>
      <c r="DL280" s="102"/>
      <c r="DM280" s="102"/>
      <c r="DN280" s="102"/>
      <c r="DO280" s="102"/>
      <c r="DP280" s="102"/>
      <c r="DQ280" s="102"/>
      <c r="DR280" s="102"/>
      <c r="DS280" s="102"/>
      <c r="DT280" s="105"/>
      <c r="DU280" s="102"/>
      <c r="DV280" s="102"/>
      <c r="DW280" s="102"/>
      <c r="DX280" s="102"/>
      <c r="DY280" s="102"/>
      <c r="DZ280" s="102"/>
      <c r="EA280" s="102"/>
      <c r="EB280" s="102"/>
      <c r="EC280" s="102"/>
      <c r="ED280" s="102"/>
      <c r="EE280" s="102"/>
      <c r="EF280" s="102"/>
      <c r="EG280" s="102"/>
      <c r="EH280" s="102"/>
      <c r="EI280" s="102"/>
      <c r="EJ280" s="102"/>
      <c r="EK280" s="102"/>
      <c r="EL280" s="102"/>
      <c r="EM280" s="102"/>
    </row>
    <row r="281" spans="1:143" ht="15.75" customHeight="1" x14ac:dyDescent="0.55000000000000004">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2"/>
      <c r="BG281" s="102"/>
      <c r="BH281" s="102"/>
      <c r="BI281" s="102"/>
      <c r="BJ281" s="102"/>
      <c r="BK281" s="102"/>
      <c r="BL281" s="102"/>
      <c r="BM281" s="102"/>
      <c r="BN281" s="102"/>
      <c r="BO281" s="102"/>
      <c r="BP281" s="102"/>
      <c r="BQ281" s="102"/>
      <c r="BR281" s="102"/>
      <c r="BS281" s="102"/>
      <c r="BT281" s="102"/>
      <c r="BU281" s="102"/>
      <c r="BV281" s="102"/>
      <c r="BW281" s="102"/>
      <c r="BX281" s="102"/>
      <c r="BY281" s="102"/>
      <c r="BZ281" s="102"/>
      <c r="CA281" s="102"/>
      <c r="CB281" s="102"/>
      <c r="CC281" s="102"/>
      <c r="CD281" s="102"/>
      <c r="CE281" s="102"/>
      <c r="CF281" s="102"/>
      <c r="CG281" s="102"/>
      <c r="CH281" s="102"/>
      <c r="CI281" s="102"/>
      <c r="CJ281" s="102"/>
      <c r="CK281" s="102"/>
      <c r="CL281" s="102"/>
      <c r="CM281" s="102"/>
      <c r="CN281" s="102"/>
      <c r="CO281" s="102"/>
      <c r="CP281" s="102"/>
      <c r="CQ281" s="102"/>
      <c r="CR281" s="102"/>
      <c r="CS281" s="102"/>
      <c r="CT281" s="102"/>
      <c r="CU281" s="102"/>
      <c r="CV281" s="102"/>
      <c r="CW281" s="102"/>
      <c r="CX281" s="102"/>
      <c r="CY281" s="102"/>
      <c r="CZ281" s="102"/>
      <c r="DA281" s="102"/>
      <c r="DB281" s="102"/>
      <c r="DC281" s="102"/>
      <c r="DD281" s="102"/>
      <c r="DE281" s="102"/>
      <c r="DF281" s="102"/>
      <c r="DG281" s="102"/>
      <c r="DH281" s="102"/>
      <c r="DI281" s="102"/>
      <c r="DJ281" s="102"/>
      <c r="DK281" s="102"/>
      <c r="DL281" s="102"/>
      <c r="DM281" s="102"/>
      <c r="DN281" s="102"/>
      <c r="DO281" s="102"/>
      <c r="DP281" s="102"/>
      <c r="DQ281" s="102"/>
      <c r="DR281" s="102"/>
      <c r="DS281" s="102"/>
      <c r="DT281" s="105"/>
      <c r="DU281" s="102"/>
      <c r="DV281" s="102"/>
      <c r="DW281" s="102"/>
      <c r="DX281" s="102"/>
      <c r="DY281" s="102"/>
      <c r="DZ281" s="102"/>
      <c r="EA281" s="102"/>
      <c r="EB281" s="102"/>
      <c r="EC281" s="102"/>
      <c r="ED281" s="102"/>
      <c r="EE281" s="102"/>
      <c r="EF281" s="102"/>
      <c r="EG281" s="102"/>
      <c r="EH281" s="102"/>
      <c r="EI281" s="102"/>
      <c r="EJ281" s="102"/>
      <c r="EK281" s="102"/>
      <c r="EL281" s="102"/>
      <c r="EM281" s="102"/>
    </row>
    <row r="282" spans="1:143" ht="15.75" customHeight="1" x14ac:dyDescent="0.55000000000000004">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c r="AZ282" s="102"/>
      <c r="BA282" s="102"/>
      <c r="BB282" s="102"/>
      <c r="BC282" s="102"/>
      <c r="BD282" s="102"/>
      <c r="BE282" s="102"/>
      <c r="BF282" s="102"/>
      <c r="BG282" s="102"/>
      <c r="BH282" s="102"/>
      <c r="BI282" s="102"/>
      <c r="BJ282" s="102"/>
      <c r="BK282" s="102"/>
      <c r="BL282" s="102"/>
      <c r="BM282" s="102"/>
      <c r="BN282" s="102"/>
      <c r="BO282" s="102"/>
      <c r="BP282" s="102"/>
      <c r="BQ282" s="102"/>
      <c r="BR282" s="102"/>
      <c r="BS282" s="102"/>
      <c r="BT282" s="102"/>
      <c r="BU282" s="102"/>
      <c r="BV282" s="102"/>
      <c r="BW282" s="102"/>
      <c r="BX282" s="102"/>
      <c r="BY282" s="102"/>
      <c r="BZ282" s="102"/>
      <c r="CA282" s="102"/>
      <c r="CB282" s="102"/>
      <c r="CC282" s="102"/>
      <c r="CD282" s="102"/>
      <c r="CE282" s="102"/>
      <c r="CF282" s="102"/>
      <c r="CG282" s="102"/>
      <c r="CH282" s="102"/>
      <c r="CI282" s="102"/>
      <c r="CJ282" s="102"/>
      <c r="CK282" s="102"/>
      <c r="CL282" s="102"/>
      <c r="CM282" s="102"/>
      <c r="CN282" s="102"/>
      <c r="CO282" s="102"/>
      <c r="CP282" s="102"/>
      <c r="CQ282" s="102"/>
      <c r="CR282" s="102"/>
      <c r="CS282" s="102"/>
      <c r="CT282" s="102"/>
      <c r="CU282" s="102"/>
      <c r="CV282" s="102"/>
      <c r="CW282" s="102"/>
      <c r="CX282" s="102"/>
      <c r="CY282" s="102"/>
      <c r="CZ282" s="102"/>
      <c r="DA282" s="102"/>
      <c r="DB282" s="102"/>
      <c r="DC282" s="102"/>
      <c r="DD282" s="102"/>
      <c r="DE282" s="102"/>
      <c r="DF282" s="102"/>
      <c r="DG282" s="102"/>
      <c r="DH282" s="102"/>
      <c r="DI282" s="102"/>
      <c r="DJ282" s="102"/>
      <c r="DK282" s="102"/>
      <c r="DL282" s="102"/>
      <c r="DM282" s="102"/>
      <c r="DN282" s="102"/>
      <c r="DO282" s="102"/>
      <c r="DP282" s="102"/>
      <c r="DQ282" s="102"/>
      <c r="DR282" s="102"/>
      <c r="DS282" s="102"/>
      <c r="DT282" s="105"/>
      <c r="DU282" s="102"/>
      <c r="DV282" s="102"/>
      <c r="DW282" s="102"/>
      <c r="DX282" s="102"/>
      <c r="DY282" s="102"/>
      <c r="DZ282" s="102"/>
      <c r="EA282" s="102"/>
      <c r="EB282" s="102"/>
      <c r="EC282" s="102"/>
      <c r="ED282" s="102"/>
      <c r="EE282" s="102"/>
      <c r="EF282" s="102"/>
      <c r="EG282" s="102"/>
      <c r="EH282" s="102"/>
      <c r="EI282" s="102"/>
      <c r="EJ282" s="102"/>
      <c r="EK282" s="102"/>
      <c r="EL282" s="102"/>
      <c r="EM282" s="102"/>
    </row>
    <row r="283" spans="1:143" ht="15.75" customHeight="1" x14ac:dyDescent="0.55000000000000004">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2"/>
      <c r="BF283" s="102"/>
      <c r="BG283" s="102"/>
      <c r="BH283" s="102"/>
      <c r="BI283" s="102"/>
      <c r="BJ283" s="102"/>
      <c r="BK283" s="102"/>
      <c r="BL283" s="102"/>
      <c r="BM283" s="102"/>
      <c r="BN283" s="102"/>
      <c r="BO283" s="102"/>
      <c r="BP283" s="102"/>
      <c r="BQ283" s="102"/>
      <c r="BR283" s="102"/>
      <c r="BS283" s="102"/>
      <c r="BT283" s="102"/>
      <c r="BU283" s="102"/>
      <c r="BV283" s="102"/>
      <c r="BW283" s="102"/>
      <c r="BX283" s="102"/>
      <c r="BY283" s="102"/>
      <c r="BZ283" s="102"/>
      <c r="CA283" s="102"/>
      <c r="CB283" s="102"/>
      <c r="CC283" s="102"/>
      <c r="CD283" s="102"/>
      <c r="CE283" s="102"/>
      <c r="CF283" s="102"/>
      <c r="CG283" s="102"/>
      <c r="CH283" s="102"/>
      <c r="CI283" s="102"/>
      <c r="CJ283" s="102"/>
      <c r="CK283" s="102"/>
      <c r="CL283" s="102"/>
      <c r="CM283" s="102"/>
      <c r="CN283" s="102"/>
      <c r="CO283" s="102"/>
      <c r="CP283" s="102"/>
      <c r="CQ283" s="102"/>
      <c r="CR283" s="102"/>
      <c r="CS283" s="102"/>
      <c r="CT283" s="102"/>
      <c r="CU283" s="102"/>
      <c r="CV283" s="102"/>
      <c r="CW283" s="102"/>
      <c r="CX283" s="102"/>
      <c r="CY283" s="102"/>
      <c r="CZ283" s="102"/>
      <c r="DA283" s="102"/>
      <c r="DB283" s="102"/>
      <c r="DC283" s="102"/>
      <c r="DD283" s="102"/>
      <c r="DE283" s="102"/>
      <c r="DF283" s="102"/>
      <c r="DG283" s="102"/>
      <c r="DH283" s="102"/>
      <c r="DI283" s="102"/>
      <c r="DJ283" s="102"/>
      <c r="DK283" s="102"/>
      <c r="DL283" s="102"/>
      <c r="DM283" s="102"/>
      <c r="DN283" s="102"/>
      <c r="DO283" s="102"/>
      <c r="DP283" s="102"/>
      <c r="DQ283" s="102"/>
      <c r="DR283" s="102"/>
      <c r="DS283" s="102"/>
      <c r="DT283" s="105"/>
      <c r="DU283" s="102"/>
      <c r="DV283" s="102"/>
      <c r="DW283" s="102"/>
      <c r="DX283" s="102"/>
      <c r="DY283" s="102"/>
      <c r="DZ283" s="102"/>
      <c r="EA283" s="102"/>
      <c r="EB283" s="102"/>
      <c r="EC283" s="102"/>
      <c r="ED283" s="102"/>
      <c r="EE283" s="102"/>
      <c r="EF283" s="102"/>
      <c r="EG283" s="102"/>
      <c r="EH283" s="102"/>
      <c r="EI283" s="102"/>
      <c r="EJ283" s="102"/>
      <c r="EK283" s="102"/>
      <c r="EL283" s="102"/>
      <c r="EM283" s="102"/>
    </row>
    <row r="284" spans="1:143" ht="15.75" customHeight="1" x14ac:dyDescent="0.5500000000000000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c r="AZ284" s="102"/>
      <c r="BA284" s="102"/>
      <c r="BB284" s="102"/>
      <c r="BC284" s="102"/>
      <c r="BD284" s="102"/>
      <c r="BE284" s="102"/>
      <c r="BF284" s="102"/>
      <c r="BG284" s="102"/>
      <c r="BH284" s="102"/>
      <c r="BI284" s="102"/>
      <c r="BJ284" s="102"/>
      <c r="BK284" s="102"/>
      <c r="BL284" s="102"/>
      <c r="BM284" s="102"/>
      <c r="BN284" s="102"/>
      <c r="BO284" s="102"/>
      <c r="BP284" s="102"/>
      <c r="BQ284" s="102"/>
      <c r="BR284" s="102"/>
      <c r="BS284" s="102"/>
      <c r="BT284" s="102"/>
      <c r="BU284" s="102"/>
      <c r="BV284" s="102"/>
      <c r="BW284" s="102"/>
      <c r="BX284" s="102"/>
      <c r="BY284" s="102"/>
      <c r="BZ284" s="102"/>
      <c r="CA284" s="102"/>
      <c r="CB284" s="102"/>
      <c r="CC284" s="102"/>
      <c r="CD284" s="102"/>
      <c r="CE284" s="102"/>
      <c r="CF284" s="102"/>
      <c r="CG284" s="102"/>
      <c r="CH284" s="102"/>
      <c r="CI284" s="102"/>
      <c r="CJ284" s="102"/>
      <c r="CK284" s="102"/>
      <c r="CL284" s="102"/>
      <c r="CM284" s="102"/>
      <c r="CN284" s="102"/>
      <c r="CO284" s="102"/>
      <c r="CP284" s="102"/>
      <c r="CQ284" s="102"/>
      <c r="CR284" s="102"/>
      <c r="CS284" s="102"/>
      <c r="CT284" s="102"/>
      <c r="CU284" s="102"/>
      <c r="CV284" s="102"/>
      <c r="CW284" s="102"/>
      <c r="CX284" s="102"/>
      <c r="CY284" s="102"/>
      <c r="CZ284" s="102"/>
      <c r="DA284" s="102"/>
      <c r="DB284" s="102"/>
      <c r="DC284" s="102"/>
      <c r="DD284" s="102"/>
      <c r="DE284" s="102"/>
      <c r="DF284" s="102"/>
      <c r="DG284" s="102"/>
      <c r="DH284" s="102"/>
      <c r="DI284" s="102"/>
      <c r="DJ284" s="102"/>
      <c r="DK284" s="102"/>
      <c r="DL284" s="102"/>
      <c r="DM284" s="102"/>
      <c r="DN284" s="102"/>
      <c r="DO284" s="102"/>
      <c r="DP284" s="102"/>
      <c r="DQ284" s="102"/>
      <c r="DR284" s="102"/>
      <c r="DS284" s="102"/>
      <c r="DT284" s="105"/>
      <c r="DU284" s="102"/>
      <c r="DV284" s="102"/>
      <c r="DW284" s="102"/>
      <c r="DX284" s="102"/>
      <c r="DY284" s="102"/>
      <c r="DZ284" s="102"/>
      <c r="EA284" s="102"/>
      <c r="EB284" s="102"/>
      <c r="EC284" s="102"/>
      <c r="ED284" s="102"/>
      <c r="EE284" s="102"/>
      <c r="EF284" s="102"/>
      <c r="EG284" s="102"/>
      <c r="EH284" s="102"/>
      <c r="EI284" s="102"/>
      <c r="EJ284" s="102"/>
      <c r="EK284" s="102"/>
      <c r="EL284" s="102"/>
      <c r="EM284" s="102"/>
    </row>
    <row r="285" spans="1:143" ht="15.75" customHeight="1" x14ac:dyDescent="0.55000000000000004">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c r="AZ285" s="102"/>
      <c r="BA285" s="102"/>
      <c r="BB285" s="102"/>
      <c r="BC285" s="102"/>
      <c r="BD285" s="102"/>
      <c r="BE285" s="102"/>
      <c r="BF285" s="102"/>
      <c r="BG285" s="102"/>
      <c r="BH285" s="102"/>
      <c r="BI285" s="102"/>
      <c r="BJ285" s="102"/>
      <c r="BK285" s="102"/>
      <c r="BL285" s="102"/>
      <c r="BM285" s="102"/>
      <c r="BN285" s="102"/>
      <c r="BO285" s="102"/>
      <c r="BP285" s="102"/>
      <c r="BQ285" s="102"/>
      <c r="BR285" s="102"/>
      <c r="BS285" s="102"/>
      <c r="BT285" s="102"/>
      <c r="BU285" s="102"/>
      <c r="BV285" s="102"/>
      <c r="BW285" s="102"/>
      <c r="BX285" s="102"/>
      <c r="BY285" s="102"/>
      <c r="BZ285" s="102"/>
      <c r="CA285" s="102"/>
      <c r="CB285" s="102"/>
      <c r="CC285" s="102"/>
      <c r="CD285" s="102"/>
      <c r="CE285" s="102"/>
      <c r="CF285" s="102"/>
      <c r="CG285" s="102"/>
      <c r="CH285" s="102"/>
      <c r="CI285" s="102"/>
      <c r="CJ285" s="102"/>
      <c r="CK285" s="102"/>
      <c r="CL285" s="102"/>
      <c r="CM285" s="102"/>
      <c r="CN285" s="102"/>
      <c r="CO285" s="102"/>
      <c r="CP285" s="102"/>
      <c r="CQ285" s="102"/>
      <c r="CR285" s="102"/>
      <c r="CS285" s="102"/>
      <c r="CT285" s="102"/>
      <c r="CU285" s="102"/>
      <c r="CV285" s="102"/>
      <c r="CW285" s="102"/>
      <c r="CX285" s="102"/>
      <c r="CY285" s="102"/>
      <c r="CZ285" s="102"/>
      <c r="DA285" s="102"/>
      <c r="DB285" s="102"/>
      <c r="DC285" s="102"/>
      <c r="DD285" s="102"/>
      <c r="DE285" s="102"/>
      <c r="DF285" s="102"/>
      <c r="DG285" s="102"/>
      <c r="DH285" s="102"/>
      <c r="DI285" s="102"/>
      <c r="DJ285" s="102"/>
      <c r="DK285" s="102"/>
      <c r="DL285" s="102"/>
      <c r="DM285" s="102"/>
      <c r="DN285" s="102"/>
      <c r="DO285" s="102"/>
      <c r="DP285" s="102"/>
      <c r="DQ285" s="102"/>
      <c r="DR285" s="102"/>
      <c r="DS285" s="102"/>
      <c r="DT285" s="105"/>
      <c r="DU285" s="102"/>
      <c r="DV285" s="102"/>
      <c r="DW285" s="102"/>
      <c r="DX285" s="102"/>
      <c r="DY285" s="102"/>
      <c r="DZ285" s="102"/>
      <c r="EA285" s="102"/>
      <c r="EB285" s="102"/>
      <c r="EC285" s="102"/>
      <c r="ED285" s="102"/>
      <c r="EE285" s="102"/>
      <c r="EF285" s="102"/>
      <c r="EG285" s="102"/>
      <c r="EH285" s="102"/>
      <c r="EI285" s="102"/>
      <c r="EJ285" s="102"/>
      <c r="EK285" s="102"/>
      <c r="EL285" s="102"/>
      <c r="EM285" s="102"/>
    </row>
    <row r="286" spans="1:143" ht="15.75" customHeight="1" x14ac:dyDescent="0.55000000000000004">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c r="AZ286" s="102"/>
      <c r="BA286" s="102"/>
      <c r="BB286" s="102"/>
      <c r="BC286" s="102"/>
      <c r="BD286" s="102"/>
      <c r="BE286" s="102"/>
      <c r="BF286" s="102"/>
      <c r="BG286" s="102"/>
      <c r="BH286" s="102"/>
      <c r="BI286" s="102"/>
      <c r="BJ286" s="102"/>
      <c r="BK286" s="102"/>
      <c r="BL286" s="102"/>
      <c r="BM286" s="102"/>
      <c r="BN286" s="102"/>
      <c r="BO286" s="102"/>
      <c r="BP286" s="102"/>
      <c r="BQ286" s="102"/>
      <c r="BR286" s="102"/>
      <c r="BS286" s="102"/>
      <c r="BT286" s="102"/>
      <c r="BU286" s="102"/>
      <c r="BV286" s="102"/>
      <c r="BW286" s="102"/>
      <c r="BX286" s="102"/>
      <c r="BY286" s="102"/>
      <c r="BZ286" s="102"/>
      <c r="CA286" s="102"/>
      <c r="CB286" s="102"/>
      <c r="CC286" s="102"/>
      <c r="CD286" s="102"/>
      <c r="CE286" s="102"/>
      <c r="CF286" s="102"/>
      <c r="CG286" s="102"/>
      <c r="CH286" s="102"/>
      <c r="CI286" s="102"/>
      <c r="CJ286" s="102"/>
      <c r="CK286" s="102"/>
      <c r="CL286" s="102"/>
      <c r="CM286" s="102"/>
      <c r="CN286" s="102"/>
      <c r="CO286" s="102"/>
      <c r="CP286" s="102"/>
      <c r="CQ286" s="102"/>
      <c r="CR286" s="102"/>
      <c r="CS286" s="102"/>
      <c r="CT286" s="102"/>
      <c r="CU286" s="102"/>
      <c r="CV286" s="102"/>
      <c r="CW286" s="102"/>
      <c r="CX286" s="102"/>
      <c r="CY286" s="102"/>
      <c r="CZ286" s="102"/>
      <c r="DA286" s="102"/>
      <c r="DB286" s="102"/>
      <c r="DC286" s="102"/>
      <c r="DD286" s="102"/>
      <c r="DE286" s="102"/>
      <c r="DF286" s="102"/>
      <c r="DG286" s="102"/>
      <c r="DH286" s="102"/>
      <c r="DI286" s="102"/>
      <c r="DJ286" s="102"/>
      <c r="DK286" s="102"/>
      <c r="DL286" s="102"/>
      <c r="DM286" s="102"/>
      <c r="DN286" s="102"/>
      <c r="DO286" s="102"/>
      <c r="DP286" s="102"/>
      <c r="DQ286" s="102"/>
      <c r="DR286" s="102"/>
      <c r="DS286" s="102"/>
      <c r="DT286" s="105"/>
      <c r="DU286" s="102"/>
      <c r="DV286" s="102"/>
      <c r="DW286" s="102"/>
      <c r="DX286" s="102"/>
      <c r="DY286" s="102"/>
      <c r="DZ286" s="102"/>
      <c r="EA286" s="102"/>
      <c r="EB286" s="102"/>
      <c r="EC286" s="102"/>
      <c r="ED286" s="102"/>
      <c r="EE286" s="102"/>
      <c r="EF286" s="102"/>
      <c r="EG286" s="102"/>
      <c r="EH286" s="102"/>
      <c r="EI286" s="102"/>
      <c r="EJ286" s="102"/>
      <c r="EK286" s="102"/>
      <c r="EL286" s="102"/>
      <c r="EM286" s="102"/>
    </row>
    <row r="287" spans="1:143" ht="15.75" customHeight="1" x14ac:dyDescent="0.55000000000000004">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c r="AZ287" s="102"/>
      <c r="BA287" s="102"/>
      <c r="BB287" s="102"/>
      <c r="BC287" s="102"/>
      <c r="BD287" s="102"/>
      <c r="BE287" s="102"/>
      <c r="BF287" s="102"/>
      <c r="BG287" s="102"/>
      <c r="BH287" s="102"/>
      <c r="BI287" s="102"/>
      <c r="BJ287" s="102"/>
      <c r="BK287" s="102"/>
      <c r="BL287" s="102"/>
      <c r="BM287" s="102"/>
      <c r="BN287" s="102"/>
      <c r="BO287" s="102"/>
      <c r="BP287" s="102"/>
      <c r="BQ287" s="102"/>
      <c r="BR287" s="102"/>
      <c r="BS287" s="102"/>
      <c r="BT287" s="102"/>
      <c r="BU287" s="102"/>
      <c r="BV287" s="102"/>
      <c r="BW287" s="102"/>
      <c r="BX287" s="102"/>
      <c r="BY287" s="102"/>
      <c r="BZ287" s="102"/>
      <c r="CA287" s="102"/>
      <c r="CB287" s="102"/>
      <c r="CC287" s="102"/>
      <c r="CD287" s="102"/>
      <c r="CE287" s="102"/>
      <c r="CF287" s="102"/>
      <c r="CG287" s="102"/>
      <c r="CH287" s="102"/>
      <c r="CI287" s="102"/>
      <c r="CJ287" s="102"/>
      <c r="CK287" s="102"/>
      <c r="CL287" s="102"/>
      <c r="CM287" s="102"/>
      <c r="CN287" s="102"/>
      <c r="CO287" s="102"/>
      <c r="CP287" s="102"/>
      <c r="CQ287" s="102"/>
      <c r="CR287" s="102"/>
      <c r="CS287" s="102"/>
      <c r="CT287" s="102"/>
      <c r="CU287" s="102"/>
      <c r="CV287" s="102"/>
      <c r="CW287" s="102"/>
      <c r="CX287" s="102"/>
      <c r="CY287" s="102"/>
      <c r="CZ287" s="102"/>
      <c r="DA287" s="102"/>
      <c r="DB287" s="102"/>
      <c r="DC287" s="102"/>
      <c r="DD287" s="102"/>
      <c r="DE287" s="102"/>
      <c r="DF287" s="102"/>
      <c r="DG287" s="102"/>
      <c r="DH287" s="102"/>
      <c r="DI287" s="102"/>
      <c r="DJ287" s="102"/>
      <c r="DK287" s="102"/>
      <c r="DL287" s="102"/>
      <c r="DM287" s="102"/>
      <c r="DN287" s="102"/>
      <c r="DO287" s="102"/>
      <c r="DP287" s="102"/>
      <c r="DQ287" s="102"/>
      <c r="DR287" s="102"/>
      <c r="DS287" s="102"/>
      <c r="DT287" s="105"/>
      <c r="DU287" s="102"/>
      <c r="DV287" s="102"/>
      <c r="DW287" s="102"/>
      <c r="DX287" s="102"/>
      <c r="DY287" s="102"/>
      <c r="DZ287" s="102"/>
      <c r="EA287" s="102"/>
      <c r="EB287" s="102"/>
      <c r="EC287" s="102"/>
      <c r="ED287" s="102"/>
      <c r="EE287" s="102"/>
      <c r="EF287" s="102"/>
      <c r="EG287" s="102"/>
      <c r="EH287" s="102"/>
      <c r="EI287" s="102"/>
      <c r="EJ287" s="102"/>
      <c r="EK287" s="102"/>
      <c r="EL287" s="102"/>
      <c r="EM287" s="102"/>
    </row>
    <row r="288" spans="1:143" ht="15.75" customHeight="1" x14ac:dyDescent="0.55000000000000004">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c r="AZ288" s="102"/>
      <c r="BA288" s="102"/>
      <c r="BB288" s="102"/>
      <c r="BC288" s="102"/>
      <c r="BD288" s="102"/>
      <c r="BE288" s="102"/>
      <c r="BF288" s="102"/>
      <c r="BG288" s="102"/>
      <c r="BH288" s="102"/>
      <c r="BI288" s="102"/>
      <c r="BJ288" s="102"/>
      <c r="BK288" s="102"/>
      <c r="BL288" s="102"/>
      <c r="BM288" s="102"/>
      <c r="BN288" s="102"/>
      <c r="BO288" s="102"/>
      <c r="BP288" s="102"/>
      <c r="BQ288" s="102"/>
      <c r="BR288" s="102"/>
      <c r="BS288" s="102"/>
      <c r="BT288" s="102"/>
      <c r="BU288" s="102"/>
      <c r="BV288" s="102"/>
      <c r="BW288" s="102"/>
      <c r="BX288" s="102"/>
      <c r="BY288" s="102"/>
      <c r="BZ288" s="102"/>
      <c r="CA288" s="102"/>
      <c r="CB288" s="102"/>
      <c r="CC288" s="102"/>
      <c r="CD288" s="102"/>
      <c r="CE288" s="102"/>
      <c r="CF288" s="102"/>
      <c r="CG288" s="102"/>
      <c r="CH288" s="102"/>
      <c r="CI288" s="102"/>
      <c r="CJ288" s="102"/>
      <c r="CK288" s="102"/>
      <c r="CL288" s="102"/>
      <c r="CM288" s="102"/>
      <c r="CN288" s="102"/>
      <c r="CO288" s="102"/>
      <c r="CP288" s="102"/>
      <c r="CQ288" s="102"/>
      <c r="CR288" s="102"/>
      <c r="CS288" s="102"/>
      <c r="CT288" s="102"/>
      <c r="CU288" s="102"/>
      <c r="CV288" s="102"/>
      <c r="CW288" s="102"/>
      <c r="CX288" s="102"/>
      <c r="CY288" s="102"/>
      <c r="CZ288" s="102"/>
      <c r="DA288" s="102"/>
      <c r="DB288" s="102"/>
      <c r="DC288" s="102"/>
      <c r="DD288" s="102"/>
      <c r="DE288" s="102"/>
      <c r="DF288" s="102"/>
      <c r="DG288" s="102"/>
      <c r="DH288" s="102"/>
      <c r="DI288" s="102"/>
      <c r="DJ288" s="102"/>
      <c r="DK288" s="102"/>
      <c r="DL288" s="102"/>
      <c r="DM288" s="102"/>
      <c r="DN288" s="102"/>
      <c r="DO288" s="102"/>
      <c r="DP288" s="102"/>
      <c r="DQ288" s="102"/>
      <c r="DR288" s="102"/>
      <c r="DS288" s="102"/>
      <c r="DT288" s="105"/>
      <c r="DU288" s="102"/>
      <c r="DV288" s="102"/>
      <c r="DW288" s="102"/>
      <c r="DX288" s="102"/>
      <c r="DY288" s="102"/>
      <c r="DZ288" s="102"/>
      <c r="EA288" s="102"/>
      <c r="EB288" s="102"/>
      <c r="EC288" s="102"/>
      <c r="ED288" s="102"/>
      <c r="EE288" s="102"/>
      <c r="EF288" s="102"/>
      <c r="EG288" s="102"/>
      <c r="EH288" s="102"/>
      <c r="EI288" s="102"/>
      <c r="EJ288" s="102"/>
      <c r="EK288" s="102"/>
      <c r="EL288" s="102"/>
      <c r="EM288" s="102"/>
    </row>
    <row r="289" spans="1:143" ht="15.75" customHeight="1" x14ac:dyDescent="0.55000000000000004">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c r="AZ289" s="102"/>
      <c r="BA289" s="102"/>
      <c r="BB289" s="102"/>
      <c r="BC289" s="102"/>
      <c r="BD289" s="102"/>
      <c r="BE289" s="102"/>
      <c r="BF289" s="102"/>
      <c r="BG289" s="102"/>
      <c r="BH289" s="102"/>
      <c r="BI289" s="102"/>
      <c r="BJ289" s="102"/>
      <c r="BK289" s="102"/>
      <c r="BL289" s="102"/>
      <c r="BM289" s="102"/>
      <c r="BN289" s="102"/>
      <c r="BO289" s="102"/>
      <c r="BP289" s="102"/>
      <c r="BQ289" s="102"/>
      <c r="BR289" s="102"/>
      <c r="BS289" s="102"/>
      <c r="BT289" s="102"/>
      <c r="BU289" s="102"/>
      <c r="BV289" s="102"/>
      <c r="BW289" s="102"/>
      <c r="BX289" s="102"/>
      <c r="BY289" s="102"/>
      <c r="BZ289" s="102"/>
      <c r="CA289" s="102"/>
      <c r="CB289" s="102"/>
      <c r="CC289" s="102"/>
      <c r="CD289" s="102"/>
      <c r="CE289" s="102"/>
      <c r="CF289" s="102"/>
      <c r="CG289" s="102"/>
      <c r="CH289" s="102"/>
      <c r="CI289" s="102"/>
      <c r="CJ289" s="102"/>
      <c r="CK289" s="102"/>
      <c r="CL289" s="102"/>
      <c r="CM289" s="102"/>
      <c r="CN289" s="102"/>
      <c r="CO289" s="102"/>
      <c r="CP289" s="102"/>
      <c r="CQ289" s="102"/>
      <c r="CR289" s="102"/>
      <c r="CS289" s="102"/>
      <c r="CT289" s="102"/>
      <c r="CU289" s="102"/>
      <c r="CV289" s="102"/>
      <c r="CW289" s="102"/>
      <c r="CX289" s="102"/>
      <c r="CY289" s="102"/>
      <c r="CZ289" s="102"/>
      <c r="DA289" s="102"/>
      <c r="DB289" s="102"/>
      <c r="DC289" s="102"/>
      <c r="DD289" s="102"/>
      <c r="DE289" s="102"/>
      <c r="DF289" s="102"/>
      <c r="DG289" s="102"/>
      <c r="DH289" s="102"/>
      <c r="DI289" s="102"/>
      <c r="DJ289" s="102"/>
      <c r="DK289" s="102"/>
      <c r="DL289" s="102"/>
      <c r="DM289" s="102"/>
      <c r="DN289" s="102"/>
      <c r="DO289" s="102"/>
      <c r="DP289" s="102"/>
      <c r="DQ289" s="102"/>
      <c r="DR289" s="102"/>
      <c r="DS289" s="102"/>
      <c r="DT289" s="105"/>
      <c r="DU289" s="102"/>
      <c r="DV289" s="102"/>
      <c r="DW289" s="102"/>
      <c r="DX289" s="102"/>
      <c r="DY289" s="102"/>
      <c r="DZ289" s="102"/>
      <c r="EA289" s="102"/>
      <c r="EB289" s="102"/>
      <c r="EC289" s="102"/>
      <c r="ED289" s="102"/>
      <c r="EE289" s="102"/>
      <c r="EF289" s="102"/>
      <c r="EG289" s="102"/>
      <c r="EH289" s="102"/>
      <c r="EI289" s="102"/>
      <c r="EJ289" s="102"/>
      <c r="EK289" s="102"/>
      <c r="EL289" s="102"/>
      <c r="EM289" s="102"/>
    </row>
    <row r="290" spans="1:143" ht="15.75" customHeight="1" x14ac:dyDescent="0.55000000000000004">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c r="AZ290" s="102"/>
      <c r="BA290" s="102"/>
      <c r="BB290" s="102"/>
      <c r="BC290" s="102"/>
      <c r="BD290" s="102"/>
      <c r="BE290" s="102"/>
      <c r="BF290" s="102"/>
      <c r="BG290" s="102"/>
      <c r="BH290" s="102"/>
      <c r="BI290" s="102"/>
      <c r="BJ290" s="102"/>
      <c r="BK290" s="102"/>
      <c r="BL290" s="102"/>
      <c r="BM290" s="102"/>
      <c r="BN290" s="102"/>
      <c r="BO290" s="102"/>
      <c r="BP290" s="102"/>
      <c r="BQ290" s="102"/>
      <c r="BR290" s="102"/>
      <c r="BS290" s="102"/>
      <c r="BT290" s="102"/>
      <c r="BU290" s="102"/>
      <c r="BV290" s="102"/>
      <c r="BW290" s="102"/>
      <c r="BX290" s="102"/>
      <c r="BY290" s="102"/>
      <c r="BZ290" s="102"/>
      <c r="CA290" s="102"/>
      <c r="CB290" s="102"/>
      <c r="CC290" s="102"/>
      <c r="CD290" s="102"/>
      <c r="CE290" s="102"/>
      <c r="CF290" s="102"/>
      <c r="CG290" s="102"/>
      <c r="CH290" s="102"/>
      <c r="CI290" s="102"/>
      <c r="CJ290" s="102"/>
      <c r="CK290" s="102"/>
      <c r="CL290" s="102"/>
      <c r="CM290" s="102"/>
      <c r="CN290" s="102"/>
      <c r="CO290" s="102"/>
      <c r="CP290" s="102"/>
      <c r="CQ290" s="102"/>
      <c r="CR290" s="102"/>
      <c r="CS290" s="102"/>
      <c r="CT290" s="102"/>
      <c r="CU290" s="102"/>
      <c r="CV290" s="102"/>
      <c r="CW290" s="102"/>
      <c r="CX290" s="102"/>
      <c r="CY290" s="102"/>
      <c r="CZ290" s="102"/>
      <c r="DA290" s="102"/>
      <c r="DB290" s="102"/>
      <c r="DC290" s="102"/>
      <c r="DD290" s="102"/>
      <c r="DE290" s="102"/>
      <c r="DF290" s="102"/>
      <c r="DG290" s="102"/>
      <c r="DH290" s="102"/>
      <c r="DI290" s="102"/>
      <c r="DJ290" s="102"/>
      <c r="DK290" s="102"/>
      <c r="DL290" s="102"/>
      <c r="DM290" s="102"/>
      <c r="DN290" s="102"/>
      <c r="DO290" s="102"/>
      <c r="DP290" s="102"/>
      <c r="DQ290" s="102"/>
      <c r="DR290" s="102"/>
      <c r="DS290" s="102"/>
      <c r="DT290" s="105"/>
      <c r="DU290" s="102"/>
      <c r="DV290" s="102"/>
      <c r="DW290" s="102"/>
      <c r="DX290" s="102"/>
      <c r="DY290" s="102"/>
      <c r="DZ290" s="102"/>
      <c r="EA290" s="102"/>
      <c r="EB290" s="102"/>
      <c r="EC290" s="102"/>
      <c r="ED290" s="102"/>
      <c r="EE290" s="102"/>
      <c r="EF290" s="102"/>
      <c r="EG290" s="102"/>
      <c r="EH290" s="102"/>
      <c r="EI290" s="102"/>
      <c r="EJ290" s="102"/>
      <c r="EK290" s="102"/>
      <c r="EL290" s="102"/>
      <c r="EM290" s="102"/>
    </row>
    <row r="291" spans="1:143" ht="15.75" customHeight="1" x14ac:dyDescent="0.55000000000000004">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c r="AZ291" s="102"/>
      <c r="BA291" s="102"/>
      <c r="BB291" s="102"/>
      <c r="BC291" s="102"/>
      <c r="BD291" s="102"/>
      <c r="BE291" s="102"/>
      <c r="BF291" s="102"/>
      <c r="BG291" s="102"/>
      <c r="BH291" s="102"/>
      <c r="BI291" s="102"/>
      <c r="BJ291" s="102"/>
      <c r="BK291" s="102"/>
      <c r="BL291" s="102"/>
      <c r="BM291" s="102"/>
      <c r="BN291" s="102"/>
      <c r="BO291" s="102"/>
      <c r="BP291" s="102"/>
      <c r="BQ291" s="102"/>
      <c r="BR291" s="102"/>
      <c r="BS291" s="102"/>
      <c r="BT291" s="102"/>
      <c r="BU291" s="102"/>
      <c r="BV291" s="102"/>
      <c r="BW291" s="102"/>
      <c r="BX291" s="102"/>
      <c r="BY291" s="102"/>
      <c r="BZ291" s="102"/>
      <c r="CA291" s="102"/>
      <c r="CB291" s="102"/>
      <c r="CC291" s="102"/>
      <c r="CD291" s="102"/>
      <c r="CE291" s="102"/>
      <c r="CF291" s="102"/>
      <c r="CG291" s="102"/>
      <c r="CH291" s="102"/>
      <c r="CI291" s="102"/>
      <c r="CJ291" s="102"/>
      <c r="CK291" s="102"/>
      <c r="CL291" s="102"/>
      <c r="CM291" s="102"/>
      <c r="CN291" s="102"/>
      <c r="CO291" s="102"/>
      <c r="CP291" s="102"/>
      <c r="CQ291" s="102"/>
      <c r="CR291" s="102"/>
      <c r="CS291" s="102"/>
      <c r="CT291" s="102"/>
      <c r="CU291" s="102"/>
      <c r="CV291" s="102"/>
      <c r="CW291" s="102"/>
      <c r="CX291" s="102"/>
      <c r="CY291" s="102"/>
      <c r="CZ291" s="102"/>
      <c r="DA291" s="102"/>
      <c r="DB291" s="102"/>
      <c r="DC291" s="102"/>
      <c r="DD291" s="102"/>
      <c r="DE291" s="102"/>
      <c r="DF291" s="102"/>
      <c r="DG291" s="102"/>
      <c r="DH291" s="102"/>
      <c r="DI291" s="102"/>
      <c r="DJ291" s="102"/>
      <c r="DK291" s="102"/>
      <c r="DL291" s="102"/>
      <c r="DM291" s="102"/>
      <c r="DN291" s="102"/>
      <c r="DO291" s="102"/>
      <c r="DP291" s="102"/>
      <c r="DQ291" s="102"/>
      <c r="DR291" s="102"/>
      <c r="DS291" s="102"/>
      <c r="DT291" s="105"/>
      <c r="DU291" s="102"/>
      <c r="DV291" s="102"/>
      <c r="DW291" s="102"/>
      <c r="DX291" s="102"/>
      <c r="DY291" s="102"/>
      <c r="DZ291" s="102"/>
      <c r="EA291" s="102"/>
      <c r="EB291" s="102"/>
      <c r="EC291" s="102"/>
      <c r="ED291" s="102"/>
      <c r="EE291" s="102"/>
      <c r="EF291" s="102"/>
      <c r="EG291" s="102"/>
      <c r="EH291" s="102"/>
      <c r="EI291" s="102"/>
      <c r="EJ291" s="102"/>
      <c r="EK291" s="102"/>
      <c r="EL291" s="102"/>
      <c r="EM291" s="102"/>
    </row>
    <row r="292" spans="1:143" ht="15.75" customHeight="1" x14ac:dyDescent="0.55000000000000004">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c r="AZ292" s="102"/>
      <c r="BA292" s="102"/>
      <c r="BB292" s="102"/>
      <c r="BC292" s="102"/>
      <c r="BD292" s="102"/>
      <c r="BE292" s="102"/>
      <c r="BF292" s="102"/>
      <c r="BG292" s="102"/>
      <c r="BH292" s="102"/>
      <c r="BI292" s="102"/>
      <c r="BJ292" s="102"/>
      <c r="BK292" s="102"/>
      <c r="BL292" s="102"/>
      <c r="BM292" s="102"/>
      <c r="BN292" s="102"/>
      <c r="BO292" s="102"/>
      <c r="BP292" s="102"/>
      <c r="BQ292" s="102"/>
      <c r="BR292" s="102"/>
      <c r="BS292" s="102"/>
      <c r="BT292" s="102"/>
      <c r="BU292" s="102"/>
      <c r="BV292" s="102"/>
      <c r="BW292" s="102"/>
      <c r="BX292" s="102"/>
      <c r="BY292" s="102"/>
      <c r="BZ292" s="102"/>
      <c r="CA292" s="102"/>
      <c r="CB292" s="102"/>
      <c r="CC292" s="102"/>
      <c r="CD292" s="102"/>
      <c r="CE292" s="102"/>
      <c r="CF292" s="102"/>
      <c r="CG292" s="102"/>
      <c r="CH292" s="102"/>
      <c r="CI292" s="102"/>
      <c r="CJ292" s="102"/>
      <c r="CK292" s="102"/>
      <c r="CL292" s="102"/>
      <c r="CM292" s="102"/>
      <c r="CN292" s="102"/>
      <c r="CO292" s="102"/>
      <c r="CP292" s="102"/>
      <c r="CQ292" s="102"/>
      <c r="CR292" s="102"/>
      <c r="CS292" s="102"/>
      <c r="CT292" s="102"/>
      <c r="CU292" s="102"/>
      <c r="CV292" s="102"/>
      <c r="CW292" s="102"/>
      <c r="CX292" s="102"/>
      <c r="CY292" s="102"/>
      <c r="CZ292" s="102"/>
      <c r="DA292" s="102"/>
      <c r="DB292" s="102"/>
      <c r="DC292" s="102"/>
      <c r="DD292" s="102"/>
      <c r="DE292" s="102"/>
      <c r="DF292" s="102"/>
      <c r="DG292" s="102"/>
      <c r="DH292" s="102"/>
      <c r="DI292" s="102"/>
      <c r="DJ292" s="102"/>
      <c r="DK292" s="102"/>
      <c r="DL292" s="102"/>
      <c r="DM292" s="102"/>
      <c r="DN292" s="102"/>
      <c r="DO292" s="102"/>
      <c r="DP292" s="102"/>
      <c r="DQ292" s="102"/>
      <c r="DR292" s="102"/>
      <c r="DS292" s="102"/>
      <c r="DT292" s="105"/>
      <c r="DU292" s="102"/>
      <c r="DV292" s="102"/>
      <c r="DW292" s="102"/>
      <c r="DX292" s="102"/>
      <c r="DY292" s="102"/>
      <c r="DZ292" s="102"/>
      <c r="EA292" s="102"/>
      <c r="EB292" s="102"/>
      <c r="EC292" s="102"/>
      <c r="ED292" s="102"/>
      <c r="EE292" s="102"/>
      <c r="EF292" s="102"/>
      <c r="EG292" s="102"/>
      <c r="EH292" s="102"/>
      <c r="EI292" s="102"/>
      <c r="EJ292" s="102"/>
      <c r="EK292" s="102"/>
      <c r="EL292" s="102"/>
      <c r="EM292" s="102"/>
    </row>
    <row r="293" spans="1:143" ht="15.75" customHeight="1" x14ac:dyDescent="0.55000000000000004">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c r="AZ293" s="102"/>
      <c r="BA293" s="102"/>
      <c r="BB293" s="102"/>
      <c r="BC293" s="102"/>
      <c r="BD293" s="102"/>
      <c r="BE293" s="102"/>
      <c r="BF293" s="102"/>
      <c r="BG293" s="102"/>
      <c r="BH293" s="102"/>
      <c r="BI293" s="102"/>
      <c r="BJ293" s="102"/>
      <c r="BK293" s="102"/>
      <c r="BL293" s="102"/>
      <c r="BM293" s="102"/>
      <c r="BN293" s="102"/>
      <c r="BO293" s="102"/>
      <c r="BP293" s="102"/>
      <c r="BQ293" s="102"/>
      <c r="BR293" s="102"/>
      <c r="BS293" s="102"/>
      <c r="BT293" s="102"/>
      <c r="BU293" s="102"/>
      <c r="BV293" s="102"/>
      <c r="BW293" s="102"/>
      <c r="BX293" s="102"/>
      <c r="BY293" s="102"/>
      <c r="BZ293" s="102"/>
      <c r="CA293" s="102"/>
      <c r="CB293" s="102"/>
      <c r="CC293" s="102"/>
      <c r="CD293" s="102"/>
      <c r="CE293" s="102"/>
      <c r="CF293" s="102"/>
      <c r="CG293" s="102"/>
      <c r="CH293" s="102"/>
      <c r="CI293" s="102"/>
      <c r="CJ293" s="102"/>
      <c r="CK293" s="102"/>
      <c r="CL293" s="102"/>
      <c r="CM293" s="102"/>
      <c r="CN293" s="102"/>
      <c r="CO293" s="102"/>
      <c r="CP293" s="102"/>
      <c r="CQ293" s="102"/>
      <c r="CR293" s="102"/>
      <c r="CS293" s="102"/>
      <c r="CT293" s="102"/>
      <c r="CU293" s="102"/>
      <c r="CV293" s="102"/>
      <c r="CW293" s="102"/>
      <c r="CX293" s="102"/>
      <c r="CY293" s="102"/>
      <c r="CZ293" s="102"/>
      <c r="DA293" s="102"/>
      <c r="DB293" s="102"/>
      <c r="DC293" s="102"/>
      <c r="DD293" s="102"/>
      <c r="DE293" s="102"/>
      <c r="DF293" s="102"/>
      <c r="DG293" s="102"/>
      <c r="DH293" s="102"/>
      <c r="DI293" s="102"/>
      <c r="DJ293" s="102"/>
      <c r="DK293" s="102"/>
      <c r="DL293" s="102"/>
      <c r="DM293" s="102"/>
      <c r="DN293" s="102"/>
      <c r="DO293" s="102"/>
      <c r="DP293" s="102"/>
      <c r="DQ293" s="102"/>
      <c r="DR293" s="102"/>
      <c r="DS293" s="102"/>
      <c r="DT293" s="105"/>
      <c r="DU293" s="102"/>
      <c r="DV293" s="102"/>
      <c r="DW293" s="102"/>
      <c r="DX293" s="102"/>
      <c r="DY293" s="102"/>
      <c r="DZ293" s="102"/>
      <c r="EA293" s="102"/>
      <c r="EB293" s="102"/>
      <c r="EC293" s="102"/>
      <c r="ED293" s="102"/>
      <c r="EE293" s="102"/>
      <c r="EF293" s="102"/>
      <c r="EG293" s="102"/>
      <c r="EH293" s="102"/>
      <c r="EI293" s="102"/>
      <c r="EJ293" s="102"/>
      <c r="EK293" s="102"/>
      <c r="EL293" s="102"/>
      <c r="EM293" s="102"/>
    </row>
    <row r="294" spans="1:143" ht="15.75" customHeight="1" x14ac:dyDescent="0.5500000000000000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c r="AZ294" s="102"/>
      <c r="BA294" s="102"/>
      <c r="BB294" s="102"/>
      <c r="BC294" s="102"/>
      <c r="BD294" s="102"/>
      <c r="BE294" s="102"/>
      <c r="BF294" s="102"/>
      <c r="BG294" s="102"/>
      <c r="BH294" s="102"/>
      <c r="BI294" s="102"/>
      <c r="BJ294" s="102"/>
      <c r="BK294" s="102"/>
      <c r="BL294" s="102"/>
      <c r="BM294" s="102"/>
      <c r="BN294" s="102"/>
      <c r="BO294" s="102"/>
      <c r="BP294" s="102"/>
      <c r="BQ294" s="102"/>
      <c r="BR294" s="102"/>
      <c r="BS294" s="102"/>
      <c r="BT294" s="102"/>
      <c r="BU294" s="102"/>
      <c r="BV294" s="102"/>
      <c r="BW294" s="102"/>
      <c r="BX294" s="102"/>
      <c r="BY294" s="102"/>
      <c r="BZ294" s="102"/>
      <c r="CA294" s="102"/>
      <c r="CB294" s="102"/>
      <c r="CC294" s="102"/>
      <c r="CD294" s="102"/>
      <c r="CE294" s="102"/>
      <c r="CF294" s="102"/>
      <c r="CG294" s="102"/>
      <c r="CH294" s="102"/>
      <c r="CI294" s="102"/>
      <c r="CJ294" s="102"/>
      <c r="CK294" s="102"/>
      <c r="CL294" s="102"/>
      <c r="CM294" s="102"/>
      <c r="CN294" s="102"/>
      <c r="CO294" s="102"/>
      <c r="CP294" s="102"/>
      <c r="CQ294" s="102"/>
      <c r="CR294" s="102"/>
      <c r="CS294" s="102"/>
      <c r="CT294" s="102"/>
      <c r="CU294" s="102"/>
      <c r="CV294" s="102"/>
      <c r="CW294" s="102"/>
      <c r="CX294" s="102"/>
      <c r="CY294" s="102"/>
      <c r="CZ294" s="102"/>
      <c r="DA294" s="102"/>
      <c r="DB294" s="102"/>
      <c r="DC294" s="102"/>
      <c r="DD294" s="102"/>
      <c r="DE294" s="102"/>
      <c r="DF294" s="102"/>
      <c r="DG294" s="102"/>
      <c r="DH294" s="102"/>
      <c r="DI294" s="102"/>
      <c r="DJ294" s="102"/>
      <c r="DK294" s="102"/>
      <c r="DL294" s="102"/>
      <c r="DM294" s="102"/>
      <c r="DN294" s="102"/>
      <c r="DO294" s="102"/>
      <c r="DP294" s="102"/>
      <c r="DQ294" s="102"/>
      <c r="DR294" s="102"/>
      <c r="DS294" s="102"/>
      <c r="DT294" s="105"/>
      <c r="DU294" s="102"/>
      <c r="DV294" s="102"/>
      <c r="DW294" s="102"/>
      <c r="DX294" s="102"/>
      <c r="DY294" s="102"/>
      <c r="DZ294" s="102"/>
      <c r="EA294" s="102"/>
      <c r="EB294" s="102"/>
      <c r="EC294" s="102"/>
      <c r="ED294" s="102"/>
      <c r="EE294" s="102"/>
      <c r="EF294" s="102"/>
      <c r="EG294" s="102"/>
      <c r="EH294" s="102"/>
      <c r="EI294" s="102"/>
      <c r="EJ294" s="102"/>
      <c r="EK294" s="102"/>
      <c r="EL294" s="102"/>
      <c r="EM294" s="102"/>
    </row>
    <row r="295" spans="1:143" ht="15.75" customHeight="1" x14ac:dyDescent="0.55000000000000004">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c r="AZ295" s="102"/>
      <c r="BA295" s="102"/>
      <c r="BB295" s="102"/>
      <c r="BC295" s="102"/>
      <c r="BD295" s="102"/>
      <c r="BE295" s="102"/>
      <c r="BF295" s="102"/>
      <c r="BG295" s="102"/>
      <c r="BH295" s="102"/>
      <c r="BI295" s="102"/>
      <c r="BJ295" s="102"/>
      <c r="BK295" s="102"/>
      <c r="BL295" s="102"/>
      <c r="BM295" s="102"/>
      <c r="BN295" s="102"/>
      <c r="BO295" s="102"/>
      <c r="BP295" s="102"/>
      <c r="BQ295" s="102"/>
      <c r="BR295" s="102"/>
      <c r="BS295" s="102"/>
      <c r="BT295" s="102"/>
      <c r="BU295" s="102"/>
      <c r="BV295" s="102"/>
      <c r="BW295" s="102"/>
      <c r="BX295" s="102"/>
      <c r="BY295" s="102"/>
      <c r="BZ295" s="102"/>
      <c r="CA295" s="102"/>
      <c r="CB295" s="102"/>
      <c r="CC295" s="102"/>
      <c r="CD295" s="102"/>
      <c r="CE295" s="102"/>
      <c r="CF295" s="102"/>
      <c r="CG295" s="102"/>
      <c r="CH295" s="102"/>
      <c r="CI295" s="102"/>
      <c r="CJ295" s="102"/>
      <c r="CK295" s="102"/>
      <c r="CL295" s="102"/>
      <c r="CM295" s="102"/>
      <c r="CN295" s="102"/>
      <c r="CO295" s="102"/>
      <c r="CP295" s="102"/>
      <c r="CQ295" s="102"/>
      <c r="CR295" s="102"/>
      <c r="CS295" s="102"/>
      <c r="CT295" s="102"/>
      <c r="CU295" s="102"/>
      <c r="CV295" s="102"/>
      <c r="CW295" s="102"/>
      <c r="CX295" s="102"/>
      <c r="CY295" s="102"/>
      <c r="CZ295" s="102"/>
      <c r="DA295" s="102"/>
      <c r="DB295" s="102"/>
      <c r="DC295" s="102"/>
      <c r="DD295" s="102"/>
      <c r="DE295" s="102"/>
      <c r="DF295" s="102"/>
      <c r="DG295" s="102"/>
      <c r="DH295" s="102"/>
      <c r="DI295" s="102"/>
      <c r="DJ295" s="102"/>
      <c r="DK295" s="102"/>
      <c r="DL295" s="102"/>
      <c r="DM295" s="102"/>
      <c r="DN295" s="102"/>
      <c r="DO295" s="102"/>
      <c r="DP295" s="102"/>
      <c r="DQ295" s="102"/>
      <c r="DR295" s="102"/>
      <c r="DS295" s="102"/>
      <c r="DT295" s="105"/>
      <c r="DU295" s="102"/>
      <c r="DV295" s="102"/>
      <c r="DW295" s="102"/>
      <c r="DX295" s="102"/>
      <c r="DY295" s="102"/>
      <c r="DZ295" s="102"/>
      <c r="EA295" s="102"/>
      <c r="EB295" s="102"/>
      <c r="EC295" s="102"/>
      <c r="ED295" s="102"/>
      <c r="EE295" s="102"/>
      <c r="EF295" s="102"/>
      <c r="EG295" s="102"/>
      <c r="EH295" s="102"/>
      <c r="EI295" s="102"/>
      <c r="EJ295" s="102"/>
      <c r="EK295" s="102"/>
      <c r="EL295" s="102"/>
      <c r="EM295" s="102"/>
    </row>
    <row r="296" spans="1:143" ht="15.75" customHeight="1" x14ac:dyDescent="0.55000000000000004">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c r="BE296" s="102"/>
      <c r="BF296" s="102"/>
      <c r="BG296" s="102"/>
      <c r="BH296" s="102"/>
      <c r="BI296" s="102"/>
      <c r="BJ296" s="102"/>
      <c r="BK296" s="102"/>
      <c r="BL296" s="102"/>
      <c r="BM296" s="102"/>
      <c r="BN296" s="102"/>
      <c r="BO296" s="102"/>
      <c r="BP296" s="102"/>
      <c r="BQ296" s="102"/>
      <c r="BR296" s="102"/>
      <c r="BS296" s="102"/>
      <c r="BT296" s="102"/>
      <c r="BU296" s="102"/>
      <c r="BV296" s="102"/>
      <c r="BW296" s="102"/>
      <c r="BX296" s="102"/>
      <c r="BY296" s="102"/>
      <c r="BZ296" s="102"/>
      <c r="CA296" s="102"/>
      <c r="CB296" s="102"/>
      <c r="CC296" s="102"/>
      <c r="CD296" s="102"/>
      <c r="CE296" s="102"/>
      <c r="CF296" s="102"/>
      <c r="CG296" s="102"/>
      <c r="CH296" s="102"/>
      <c r="CI296" s="102"/>
      <c r="CJ296" s="102"/>
      <c r="CK296" s="102"/>
      <c r="CL296" s="102"/>
      <c r="CM296" s="102"/>
      <c r="CN296" s="102"/>
      <c r="CO296" s="102"/>
      <c r="CP296" s="102"/>
      <c r="CQ296" s="102"/>
      <c r="CR296" s="102"/>
      <c r="CS296" s="102"/>
      <c r="CT296" s="102"/>
      <c r="CU296" s="102"/>
      <c r="CV296" s="102"/>
      <c r="CW296" s="102"/>
      <c r="CX296" s="102"/>
      <c r="CY296" s="102"/>
      <c r="CZ296" s="102"/>
      <c r="DA296" s="102"/>
      <c r="DB296" s="102"/>
      <c r="DC296" s="102"/>
      <c r="DD296" s="102"/>
      <c r="DE296" s="102"/>
      <c r="DF296" s="102"/>
      <c r="DG296" s="102"/>
      <c r="DH296" s="102"/>
      <c r="DI296" s="102"/>
      <c r="DJ296" s="102"/>
      <c r="DK296" s="102"/>
      <c r="DL296" s="102"/>
      <c r="DM296" s="102"/>
      <c r="DN296" s="102"/>
      <c r="DO296" s="102"/>
      <c r="DP296" s="102"/>
      <c r="DQ296" s="102"/>
      <c r="DR296" s="102"/>
      <c r="DS296" s="102"/>
      <c r="DT296" s="105"/>
      <c r="DU296" s="102"/>
      <c r="DV296" s="102"/>
      <c r="DW296" s="102"/>
      <c r="DX296" s="102"/>
      <c r="DY296" s="102"/>
      <c r="DZ296" s="102"/>
      <c r="EA296" s="102"/>
      <c r="EB296" s="102"/>
      <c r="EC296" s="102"/>
      <c r="ED296" s="102"/>
      <c r="EE296" s="102"/>
      <c r="EF296" s="102"/>
      <c r="EG296" s="102"/>
      <c r="EH296" s="102"/>
      <c r="EI296" s="102"/>
      <c r="EJ296" s="102"/>
      <c r="EK296" s="102"/>
      <c r="EL296" s="102"/>
      <c r="EM296" s="102"/>
    </row>
    <row r="297" spans="1:143" ht="15.75" customHeight="1" x14ac:dyDescent="0.55000000000000004">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c r="AZ297" s="102"/>
      <c r="BA297" s="102"/>
      <c r="BB297" s="102"/>
      <c r="BC297" s="102"/>
      <c r="BD297" s="102"/>
      <c r="BE297" s="102"/>
      <c r="BF297" s="102"/>
      <c r="BG297" s="102"/>
      <c r="BH297" s="102"/>
      <c r="BI297" s="102"/>
      <c r="BJ297" s="102"/>
      <c r="BK297" s="102"/>
      <c r="BL297" s="102"/>
      <c r="BM297" s="102"/>
      <c r="BN297" s="102"/>
      <c r="BO297" s="102"/>
      <c r="BP297" s="102"/>
      <c r="BQ297" s="102"/>
      <c r="BR297" s="102"/>
      <c r="BS297" s="102"/>
      <c r="BT297" s="102"/>
      <c r="BU297" s="102"/>
      <c r="BV297" s="102"/>
      <c r="BW297" s="102"/>
      <c r="BX297" s="102"/>
      <c r="BY297" s="102"/>
      <c r="BZ297" s="102"/>
      <c r="CA297" s="102"/>
      <c r="CB297" s="102"/>
      <c r="CC297" s="102"/>
      <c r="CD297" s="102"/>
      <c r="CE297" s="102"/>
      <c r="CF297" s="102"/>
      <c r="CG297" s="102"/>
      <c r="CH297" s="102"/>
      <c r="CI297" s="102"/>
      <c r="CJ297" s="102"/>
      <c r="CK297" s="102"/>
      <c r="CL297" s="102"/>
      <c r="CM297" s="102"/>
      <c r="CN297" s="102"/>
      <c r="CO297" s="102"/>
      <c r="CP297" s="102"/>
      <c r="CQ297" s="102"/>
      <c r="CR297" s="102"/>
      <c r="CS297" s="102"/>
      <c r="CT297" s="102"/>
      <c r="CU297" s="102"/>
      <c r="CV297" s="102"/>
      <c r="CW297" s="102"/>
      <c r="CX297" s="102"/>
      <c r="CY297" s="102"/>
      <c r="CZ297" s="102"/>
      <c r="DA297" s="102"/>
      <c r="DB297" s="102"/>
      <c r="DC297" s="102"/>
      <c r="DD297" s="102"/>
      <c r="DE297" s="102"/>
      <c r="DF297" s="102"/>
      <c r="DG297" s="102"/>
      <c r="DH297" s="102"/>
      <c r="DI297" s="102"/>
      <c r="DJ297" s="102"/>
      <c r="DK297" s="102"/>
      <c r="DL297" s="102"/>
      <c r="DM297" s="102"/>
      <c r="DN297" s="102"/>
      <c r="DO297" s="102"/>
      <c r="DP297" s="102"/>
      <c r="DQ297" s="102"/>
      <c r="DR297" s="102"/>
      <c r="DS297" s="102"/>
      <c r="DT297" s="105"/>
      <c r="DU297" s="102"/>
      <c r="DV297" s="102"/>
      <c r="DW297" s="102"/>
      <c r="DX297" s="102"/>
      <c r="DY297" s="102"/>
      <c r="DZ297" s="102"/>
      <c r="EA297" s="102"/>
      <c r="EB297" s="102"/>
      <c r="EC297" s="102"/>
      <c r="ED297" s="102"/>
      <c r="EE297" s="102"/>
      <c r="EF297" s="102"/>
      <c r="EG297" s="102"/>
      <c r="EH297" s="102"/>
      <c r="EI297" s="102"/>
      <c r="EJ297" s="102"/>
      <c r="EK297" s="102"/>
      <c r="EL297" s="102"/>
      <c r="EM297" s="102"/>
    </row>
    <row r="298" spans="1:143" ht="15.75" customHeight="1" x14ac:dyDescent="0.55000000000000004">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c r="AZ298" s="102"/>
      <c r="BA298" s="102"/>
      <c r="BB298" s="102"/>
      <c r="BC298" s="102"/>
      <c r="BD298" s="102"/>
      <c r="BE298" s="102"/>
      <c r="BF298" s="102"/>
      <c r="BG298" s="102"/>
      <c r="BH298" s="102"/>
      <c r="BI298" s="102"/>
      <c r="BJ298" s="102"/>
      <c r="BK298" s="102"/>
      <c r="BL298" s="102"/>
      <c r="BM298" s="102"/>
      <c r="BN298" s="102"/>
      <c r="BO298" s="102"/>
      <c r="BP298" s="102"/>
      <c r="BQ298" s="102"/>
      <c r="BR298" s="102"/>
      <c r="BS298" s="102"/>
      <c r="BT298" s="102"/>
      <c r="BU298" s="102"/>
      <c r="BV298" s="102"/>
      <c r="BW298" s="102"/>
      <c r="BX298" s="102"/>
      <c r="BY298" s="102"/>
      <c r="BZ298" s="102"/>
      <c r="CA298" s="102"/>
      <c r="CB298" s="102"/>
      <c r="CC298" s="102"/>
      <c r="CD298" s="102"/>
      <c r="CE298" s="102"/>
      <c r="CF298" s="102"/>
      <c r="CG298" s="102"/>
      <c r="CH298" s="102"/>
      <c r="CI298" s="102"/>
      <c r="CJ298" s="102"/>
      <c r="CK298" s="102"/>
      <c r="CL298" s="102"/>
      <c r="CM298" s="102"/>
      <c r="CN298" s="102"/>
      <c r="CO298" s="102"/>
      <c r="CP298" s="102"/>
      <c r="CQ298" s="102"/>
      <c r="CR298" s="102"/>
      <c r="CS298" s="102"/>
      <c r="CT298" s="102"/>
      <c r="CU298" s="102"/>
      <c r="CV298" s="102"/>
      <c r="CW298" s="102"/>
      <c r="CX298" s="102"/>
      <c r="CY298" s="102"/>
      <c r="CZ298" s="102"/>
      <c r="DA298" s="102"/>
      <c r="DB298" s="102"/>
      <c r="DC298" s="102"/>
      <c r="DD298" s="102"/>
      <c r="DE298" s="102"/>
      <c r="DF298" s="102"/>
      <c r="DG298" s="102"/>
      <c r="DH298" s="102"/>
      <c r="DI298" s="102"/>
      <c r="DJ298" s="102"/>
      <c r="DK298" s="102"/>
      <c r="DL298" s="102"/>
      <c r="DM298" s="102"/>
      <c r="DN298" s="102"/>
      <c r="DO298" s="102"/>
      <c r="DP298" s="102"/>
      <c r="DQ298" s="102"/>
      <c r="DR298" s="102"/>
      <c r="DS298" s="102"/>
      <c r="DT298" s="105"/>
      <c r="DU298" s="102"/>
      <c r="DV298" s="102"/>
      <c r="DW298" s="102"/>
      <c r="DX298" s="102"/>
      <c r="DY298" s="102"/>
      <c r="DZ298" s="102"/>
      <c r="EA298" s="102"/>
      <c r="EB298" s="102"/>
      <c r="EC298" s="102"/>
      <c r="ED298" s="102"/>
      <c r="EE298" s="102"/>
      <c r="EF298" s="102"/>
      <c r="EG298" s="102"/>
      <c r="EH298" s="102"/>
      <c r="EI298" s="102"/>
      <c r="EJ298" s="102"/>
      <c r="EK298" s="102"/>
      <c r="EL298" s="102"/>
      <c r="EM298" s="102"/>
    </row>
    <row r="299" spans="1:143" ht="15.75" customHeight="1" x14ac:dyDescent="0.55000000000000004">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c r="BE299" s="102"/>
      <c r="BF299" s="102"/>
      <c r="BG299" s="102"/>
      <c r="BH299" s="102"/>
      <c r="BI299" s="102"/>
      <c r="BJ299" s="102"/>
      <c r="BK299" s="102"/>
      <c r="BL299" s="102"/>
      <c r="BM299" s="102"/>
      <c r="BN299" s="102"/>
      <c r="BO299" s="102"/>
      <c r="BP299" s="102"/>
      <c r="BQ299" s="102"/>
      <c r="BR299" s="102"/>
      <c r="BS299" s="102"/>
      <c r="BT299" s="102"/>
      <c r="BU299" s="102"/>
      <c r="BV299" s="102"/>
      <c r="BW299" s="102"/>
      <c r="BX299" s="102"/>
      <c r="BY299" s="102"/>
      <c r="BZ299" s="102"/>
      <c r="CA299" s="102"/>
      <c r="CB299" s="102"/>
      <c r="CC299" s="102"/>
      <c r="CD299" s="102"/>
      <c r="CE299" s="102"/>
      <c r="CF299" s="102"/>
      <c r="CG299" s="102"/>
      <c r="CH299" s="102"/>
      <c r="CI299" s="102"/>
      <c r="CJ299" s="102"/>
      <c r="CK299" s="102"/>
      <c r="CL299" s="102"/>
      <c r="CM299" s="102"/>
      <c r="CN299" s="102"/>
      <c r="CO299" s="102"/>
      <c r="CP299" s="102"/>
      <c r="CQ299" s="102"/>
      <c r="CR299" s="102"/>
      <c r="CS299" s="102"/>
      <c r="CT299" s="102"/>
      <c r="CU299" s="102"/>
      <c r="CV299" s="102"/>
      <c r="CW299" s="102"/>
      <c r="CX299" s="102"/>
      <c r="CY299" s="102"/>
      <c r="CZ299" s="102"/>
      <c r="DA299" s="102"/>
      <c r="DB299" s="102"/>
      <c r="DC299" s="102"/>
      <c r="DD299" s="102"/>
      <c r="DE299" s="102"/>
      <c r="DF299" s="102"/>
      <c r="DG299" s="102"/>
      <c r="DH299" s="102"/>
      <c r="DI299" s="102"/>
      <c r="DJ299" s="102"/>
      <c r="DK299" s="102"/>
      <c r="DL299" s="102"/>
      <c r="DM299" s="102"/>
      <c r="DN299" s="102"/>
      <c r="DO299" s="102"/>
      <c r="DP299" s="102"/>
      <c r="DQ299" s="102"/>
      <c r="DR299" s="102"/>
      <c r="DS299" s="102"/>
      <c r="DT299" s="105"/>
      <c r="DU299" s="102"/>
      <c r="DV299" s="102"/>
      <c r="DW299" s="102"/>
      <c r="DX299" s="102"/>
      <c r="DY299" s="102"/>
      <c r="DZ299" s="102"/>
      <c r="EA299" s="102"/>
      <c r="EB299" s="102"/>
      <c r="EC299" s="102"/>
      <c r="ED299" s="102"/>
      <c r="EE299" s="102"/>
      <c r="EF299" s="102"/>
      <c r="EG299" s="102"/>
      <c r="EH299" s="102"/>
      <c r="EI299" s="102"/>
      <c r="EJ299" s="102"/>
      <c r="EK299" s="102"/>
      <c r="EL299" s="102"/>
      <c r="EM299" s="102"/>
    </row>
    <row r="300" spans="1:143" ht="15.75" customHeight="1" x14ac:dyDescent="0.55000000000000004">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c r="AZ300" s="102"/>
      <c r="BA300" s="102"/>
      <c r="BB300" s="102"/>
      <c r="BC300" s="102"/>
      <c r="BD300" s="102"/>
      <c r="BE300" s="102"/>
      <c r="BF300" s="102"/>
      <c r="BG300" s="102"/>
      <c r="BH300" s="102"/>
      <c r="BI300" s="102"/>
      <c r="BJ300" s="102"/>
      <c r="BK300" s="102"/>
      <c r="BL300" s="102"/>
      <c r="BM300" s="102"/>
      <c r="BN300" s="102"/>
      <c r="BO300" s="102"/>
      <c r="BP300" s="102"/>
      <c r="BQ300" s="102"/>
      <c r="BR300" s="102"/>
      <c r="BS300" s="102"/>
      <c r="BT300" s="102"/>
      <c r="BU300" s="102"/>
      <c r="BV300" s="102"/>
      <c r="BW300" s="102"/>
      <c r="BX300" s="102"/>
      <c r="BY300" s="102"/>
      <c r="BZ300" s="102"/>
      <c r="CA300" s="102"/>
      <c r="CB300" s="102"/>
      <c r="CC300" s="102"/>
      <c r="CD300" s="102"/>
      <c r="CE300" s="102"/>
      <c r="CF300" s="102"/>
      <c r="CG300" s="102"/>
      <c r="CH300" s="102"/>
      <c r="CI300" s="102"/>
      <c r="CJ300" s="102"/>
      <c r="CK300" s="102"/>
      <c r="CL300" s="102"/>
      <c r="CM300" s="102"/>
      <c r="CN300" s="102"/>
      <c r="CO300" s="102"/>
      <c r="CP300" s="102"/>
      <c r="CQ300" s="102"/>
      <c r="CR300" s="102"/>
      <c r="CS300" s="102"/>
      <c r="CT300" s="102"/>
      <c r="CU300" s="102"/>
      <c r="CV300" s="102"/>
      <c r="CW300" s="102"/>
      <c r="CX300" s="102"/>
      <c r="CY300" s="102"/>
      <c r="CZ300" s="102"/>
      <c r="DA300" s="102"/>
      <c r="DB300" s="102"/>
      <c r="DC300" s="102"/>
      <c r="DD300" s="102"/>
      <c r="DE300" s="102"/>
      <c r="DF300" s="102"/>
      <c r="DG300" s="102"/>
      <c r="DH300" s="102"/>
      <c r="DI300" s="102"/>
      <c r="DJ300" s="102"/>
      <c r="DK300" s="102"/>
      <c r="DL300" s="102"/>
      <c r="DM300" s="102"/>
      <c r="DN300" s="102"/>
      <c r="DO300" s="102"/>
      <c r="DP300" s="102"/>
      <c r="DQ300" s="102"/>
      <c r="DR300" s="102"/>
      <c r="DS300" s="102"/>
      <c r="DT300" s="105"/>
      <c r="DU300" s="102"/>
      <c r="DV300" s="102"/>
      <c r="DW300" s="102"/>
      <c r="DX300" s="102"/>
      <c r="DY300" s="102"/>
      <c r="DZ300" s="102"/>
      <c r="EA300" s="102"/>
      <c r="EB300" s="102"/>
      <c r="EC300" s="102"/>
      <c r="ED300" s="102"/>
      <c r="EE300" s="102"/>
      <c r="EF300" s="102"/>
      <c r="EG300" s="102"/>
      <c r="EH300" s="102"/>
      <c r="EI300" s="102"/>
      <c r="EJ300" s="102"/>
      <c r="EK300" s="102"/>
      <c r="EL300" s="102"/>
      <c r="EM300" s="102"/>
    </row>
    <row r="301" spans="1:143" ht="15.75" customHeight="1" x14ac:dyDescent="0.55000000000000004">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c r="BE301" s="102"/>
      <c r="BF301" s="102"/>
      <c r="BG301" s="102"/>
      <c r="BH301" s="102"/>
      <c r="BI301" s="102"/>
      <c r="BJ301" s="102"/>
      <c r="BK301" s="102"/>
      <c r="BL301" s="102"/>
      <c r="BM301" s="102"/>
      <c r="BN301" s="102"/>
      <c r="BO301" s="102"/>
      <c r="BP301" s="102"/>
      <c r="BQ301" s="102"/>
      <c r="BR301" s="102"/>
      <c r="BS301" s="102"/>
      <c r="BT301" s="102"/>
      <c r="BU301" s="102"/>
      <c r="BV301" s="102"/>
      <c r="BW301" s="102"/>
      <c r="BX301" s="102"/>
      <c r="BY301" s="102"/>
      <c r="BZ301" s="102"/>
      <c r="CA301" s="102"/>
      <c r="CB301" s="102"/>
      <c r="CC301" s="102"/>
      <c r="CD301" s="102"/>
      <c r="CE301" s="102"/>
      <c r="CF301" s="102"/>
      <c r="CG301" s="102"/>
      <c r="CH301" s="102"/>
      <c r="CI301" s="102"/>
      <c r="CJ301" s="102"/>
      <c r="CK301" s="102"/>
      <c r="CL301" s="102"/>
      <c r="CM301" s="102"/>
      <c r="CN301" s="102"/>
      <c r="CO301" s="102"/>
      <c r="CP301" s="102"/>
      <c r="CQ301" s="102"/>
      <c r="CR301" s="102"/>
      <c r="CS301" s="102"/>
      <c r="CT301" s="102"/>
      <c r="CU301" s="102"/>
      <c r="CV301" s="102"/>
      <c r="CW301" s="102"/>
      <c r="CX301" s="102"/>
      <c r="CY301" s="102"/>
      <c r="CZ301" s="102"/>
      <c r="DA301" s="102"/>
      <c r="DB301" s="102"/>
      <c r="DC301" s="102"/>
      <c r="DD301" s="102"/>
      <c r="DE301" s="102"/>
      <c r="DF301" s="102"/>
      <c r="DG301" s="102"/>
      <c r="DH301" s="102"/>
      <c r="DI301" s="102"/>
      <c r="DJ301" s="102"/>
      <c r="DK301" s="102"/>
      <c r="DL301" s="102"/>
      <c r="DM301" s="102"/>
      <c r="DN301" s="102"/>
      <c r="DO301" s="102"/>
      <c r="DP301" s="102"/>
      <c r="DQ301" s="102"/>
      <c r="DR301" s="102"/>
      <c r="DS301" s="102"/>
      <c r="DT301" s="105"/>
      <c r="DU301" s="102"/>
      <c r="DV301" s="102"/>
      <c r="DW301" s="102"/>
      <c r="DX301" s="102"/>
      <c r="DY301" s="102"/>
      <c r="DZ301" s="102"/>
      <c r="EA301" s="102"/>
      <c r="EB301" s="102"/>
      <c r="EC301" s="102"/>
      <c r="ED301" s="102"/>
      <c r="EE301" s="102"/>
      <c r="EF301" s="102"/>
      <c r="EG301" s="102"/>
      <c r="EH301" s="102"/>
      <c r="EI301" s="102"/>
      <c r="EJ301" s="102"/>
      <c r="EK301" s="102"/>
      <c r="EL301" s="102"/>
      <c r="EM301" s="102"/>
    </row>
    <row r="302" spans="1:143" ht="15.75" customHeight="1" x14ac:dyDescent="0.55000000000000004">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c r="BE302" s="102"/>
      <c r="BF302" s="102"/>
      <c r="BG302" s="102"/>
      <c r="BH302" s="102"/>
      <c r="BI302" s="102"/>
      <c r="BJ302" s="102"/>
      <c r="BK302" s="102"/>
      <c r="BL302" s="102"/>
      <c r="BM302" s="102"/>
      <c r="BN302" s="102"/>
      <c r="BO302" s="102"/>
      <c r="BP302" s="102"/>
      <c r="BQ302" s="102"/>
      <c r="BR302" s="102"/>
      <c r="BS302" s="102"/>
      <c r="BT302" s="102"/>
      <c r="BU302" s="102"/>
      <c r="BV302" s="102"/>
      <c r="BW302" s="102"/>
      <c r="BX302" s="102"/>
      <c r="BY302" s="102"/>
      <c r="BZ302" s="102"/>
      <c r="CA302" s="102"/>
      <c r="CB302" s="102"/>
      <c r="CC302" s="102"/>
      <c r="CD302" s="102"/>
      <c r="CE302" s="102"/>
      <c r="CF302" s="102"/>
      <c r="CG302" s="102"/>
      <c r="CH302" s="102"/>
      <c r="CI302" s="102"/>
      <c r="CJ302" s="102"/>
      <c r="CK302" s="102"/>
      <c r="CL302" s="102"/>
      <c r="CM302" s="102"/>
      <c r="CN302" s="102"/>
      <c r="CO302" s="102"/>
      <c r="CP302" s="102"/>
      <c r="CQ302" s="102"/>
      <c r="CR302" s="102"/>
      <c r="CS302" s="102"/>
      <c r="CT302" s="102"/>
      <c r="CU302" s="102"/>
      <c r="CV302" s="102"/>
      <c r="CW302" s="102"/>
      <c r="CX302" s="102"/>
      <c r="CY302" s="102"/>
      <c r="CZ302" s="102"/>
      <c r="DA302" s="102"/>
      <c r="DB302" s="102"/>
      <c r="DC302" s="102"/>
      <c r="DD302" s="102"/>
      <c r="DE302" s="102"/>
      <c r="DF302" s="102"/>
      <c r="DG302" s="102"/>
      <c r="DH302" s="102"/>
      <c r="DI302" s="102"/>
      <c r="DJ302" s="102"/>
      <c r="DK302" s="102"/>
      <c r="DL302" s="102"/>
      <c r="DM302" s="102"/>
      <c r="DN302" s="102"/>
      <c r="DO302" s="102"/>
      <c r="DP302" s="102"/>
      <c r="DQ302" s="102"/>
      <c r="DR302" s="102"/>
      <c r="DS302" s="102"/>
      <c r="DT302" s="105"/>
      <c r="DU302" s="102"/>
      <c r="DV302" s="102"/>
      <c r="DW302" s="102"/>
      <c r="DX302" s="102"/>
      <c r="DY302" s="102"/>
      <c r="DZ302" s="102"/>
      <c r="EA302" s="102"/>
      <c r="EB302" s="102"/>
      <c r="EC302" s="102"/>
      <c r="ED302" s="102"/>
      <c r="EE302" s="102"/>
      <c r="EF302" s="102"/>
      <c r="EG302" s="102"/>
      <c r="EH302" s="102"/>
      <c r="EI302" s="102"/>
      <c r="EJ302" s="102"/>
      <c r="EK302" s="102"/>
      <c r="EL302" s="102"/>
      <c r="EM302" s="102"/>
    </row>
    <row r="303" spans="1:143" ht="15.75" customHeight="1" x14ac:dyDescent="0.55000000000000004">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c r="BE303" s="102"/>
      <c r="BF303" s="102"/>
      <c r="BG303" s="102"/>
      <c r="BH303" s="102"/>
      <c r="BI303" s="102"/>
      <c r="BJ303" s="102"/>
      <c r="BK303" s="102"/>
      <c r="BL303" s="102"/>
      <c r="BM303" s="102"/>
      <c r="BN303" s="102"/>
      <c r="BO303" s="102"/>
      <c r="BP303" s="102"/>
      <c r="BQ303" s="102"/>
      <c r="BR303" s="102"/>
      <c r="BS303" s="102"/>
      <c r="BT303" s="102"/>
      <c r="BU303" s="102"/>
      <c r="BV303" s="102"/>
      <c r="BW303" s="102"/>
      <c r="BX303" s="102"/>
      <c r="BY303" s="102"/>
      <c r="BZ303" s="102"/>
      <c r="CA303" s="102"/>
      <c r="CB303" s="102"/>
      <c r="CC303" s="102"/>
      <c r="CD303" s="102"/>
      <c r="CE303" s="102"/>
      <c r="CF303" s="102"/>
      <c r="CG303" s="102"/>
      <c r="CH303" s="102"/>
      <c r="CI303" s="102"/>
      <c r="CJ303" s="102"/>
      <c r="CK303" s="102"/>
      <c r="CL303" s="102"/>
      <c r="CM303" s="102"/>
      <c r="CN303" s="102"/>
      <c r="CO303" s="102"/>
      <c r="CP303" s="102"/>
      <c r="CQ303" s="102"/>
      <c r="CR303" s="102"/>
      <c r="CS303" s="102"/>
      <c r="CT303" s="102"/>
      <c r="CU303" s="102"/>
      <c r="CV303" s="102"/>
      <c r="CW303" s="102"/>
      <c r="CX303" s="102"/>
      <c r="CY303" s="102"/>
      <c r="CZ303" s="102"/>
      <c r="DA303" s="102"/>
      <c r="DB303" s="102"/>
      <c r="DC303" s="102"/>
      <c r="DD303" s="102"/>
      <c r="DE303" s="102"/>
      <c r="DF303" s="102"/>
      <c r="DG303" s="102"/>
      <c r="DH303" s="102"/>
      <c r="DI303" s="102"/>
      <c r="DJ303" s="102"/>
      <c r="DK303" s="102"/>
      <c r="DL303" s="102"/>
      <c r="DM303" s="102"/>
      <c r="DN303" s="102"/>
      <c r="DO303" s="102"/>
      <c r="DP303" s="102"/>
      <c r="DQ303" s="102"/>
      <c r="DR303" s="102"/>
      <c r="DS303" s="102"/>
      <c r="DT303" s="105"/>
      <c r="DU303" s="102"/>
      <c r="DV303" s="102"/>
      <c r="DW303" s="102"/>
      <c r="DX303" s="102"/>
      <c r="DY303" s="102"/>
      <c r="DZ303" s="102"/>
      <c r="EA303" s="102"/>
      <c r="EB303" s="102"/>
      <c r="EC303" s="102"/>
      <c r="ED303" s="102"/>
      <c r="EE303" s="102"/>
      <c r="EF303" s="102"/>
      <c r="EG303" s="102"/>
      <c r="EH303" s="102"/>
      <c r="EI303" s="102"/>
      <c r="EJ303" s="102"/>
      <c r="EK303" s="102"/>
      <c r="EL303" s="102"/>
      <c r="EM303" s="102"/>
    </row>
    <row r="304" spans="1:143" ht="15.75" customHeight="1" x14ac:dyDescent="0.550000000000000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c r="BF304" s="102"/>
      <c r="BG304" s="102"/>
      <c r="BH304" s="102"/>
      <c r="BI304" s="102"/>
      <c r="BJ304" s="102"/>
      <c r="BK304" s="102"/>
      <c r="BL304" s="102"/>
      <c r="BM304" s="102"/>
      <c r="BN304" s="102"/>
      <c r="BO304" s="102"/>
      <c r="BP304" s="102"/>
      <c r="BQ304" s="102"/>
      <c r="BR304" s="102"/>
      <c r="BS304" s="102"/>
      <c r="BT304" s="102"/>
      <c r="BU304" s="102"/>
      <c r="BV304" s="102"/>
      <c r="BW304" s="102"/>
      <c r="BX304" s="102"/>
      <c r="BY304" s="102"/>
      <c r="BZ304" s="102"/>
      <c r="CA304" s="102"/>
      <c r="CB304" s="102"/>
      <c r="CC304" s="102"/>
      <c r="CD304" s="102"/>
      <c r="CE304" s="102"/>
      <c r="CF304" s="102"/>
      <c r="CG304" s="102"/>
      <c r="CH304" s="102"/>
      <c r="CI304" s="102"/>
      <c r="CJ304" s="102"/>
      <c r="CK304" s="102"/>
      <c r="CL304" s="102"/>
      <c r="CM304" s="102"/>
      <c r="CN304" s="102"/>
      <c r="CO304" s="102"/>
      <c r="CP304" s="102"/>
      <c r="CQ304" s="102"/>
      <c r="CR304" s="102"/>
      <c r="CS304" s="102"/>
      <c r="CT304" s="102"/>
      <c r="CU304" s="102"/>
      <c r="CV304" s="102"/>
      <c r="CW304" s="102"/>
      <c r="CX304" s="102"/>
      <c r="CY304" s="102"/>
      <c r="CZ304" s="102"/>
      <c r="DA304" s="102"/>
      <c r="DB304" s="102"/>
      <c r="DC304" s="102"/>
      <c r="DD304" s="102"/>
      <c r="DE304" s="102"/>
      <c r="DF304" s="102"/>
      <c r="DG304" s="102"/>
      <c r="DH304" s="102"/>
      <c r="DI304" s="102"/>
      <c r="DJ304" s="102"/>
      <c r="DK304" s="102"/>
      <c r="DL304" s="102"/>
      <c r="DM304" s="102"/>
      <c r="DN304" s="102"/>
      <c r="DO304" s="102"/>
      <c r="DP304" s="102"/>
      <c r="DQ304" s="102"/>
      <c r="DR304" s="102"/>
      <c r="DS304" s="102"/>
      <c r="DT304" s="105"/>
      <c r="DU304" s="102"/>
      <c r="DV304" s="102"/>
      <c r="DW304" s="102"/>
      <c r="DX304" s="102"/>
      <c r="DY304" s="102"/>
      <c r="DZ304" s="102"/>
      <c r="EA304" s="102"/>
      <c r="EB304" s="102"/>
      <c r="EC304" s="102"/>
      <c r="ED304" s="102"/>
      <c r="EE304" s="102"/>
      <c r="EF304" s="102"/>
      <c r="EG304" s="102"/>
      <c r="EH304" s="102"/>
      <c r="EI304" s="102"/>
      <c r="EJ304" s="102"/>
      <c r="EK304" s="102"/>
      <c r="EL304" s="102"/>
      <c r="EM304" s="102"/>
    </row>
    <row r="305" spans="1:143" ht="15.75" customHeight="1" x14ac:dyDescent="0.55000000000000004">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c r="AZ305" s="102"/>
      <c r="BA305" s="102"/>
      <c r="BB305" s="102"/>
      <c r="BC305" s="102"/>
      <c r="BD305" s="102"/>
      <c r="BE305" s="102"/>
      <c r="BF305" s="102"/>
      <c r="BG305" s="102"/>
      <c r="BH305" s="102"/>
      <c r="BI305" s="102"/>
      <c r="BJ305" s="102"/>
      <c r="BK305" s="102"/>
      <c r="BL305" s="102"/>
      <c r="BM305" s="102"/>
      <c r="BN305" s="102"/>
      <c r="BO305" s="102"/>
      <c r="BP305" s="102"/>
      <c r="BQ305" s="102"/>
      <c r="BR305" s="102"/>
      <c r="BS305" s="102"/>
      <c r="BT305" s="102"/>
      <c r="BU305" s="102"/>
      <c r="BV305" s="102"/>
      <c r="BW305" s="102"/>
      <c r="BX305" s="102"/>
      <c r="BY305" s="102"/>
      <c r="BZ305" s="102"/>
      <c r="CA305" s="102"/>
      <c r="CB305" s="102"/>
      <c r="CC305" s="102"/>
      <c r="CD305" s="102"/>
      <c r="CE305" s="102"/>
      <c r="CF305" s="102"/>
      <c r="CG305" s="102"/>
      <c r="CH305" s="102"/>
      <c r="CI305" s="102"/>
      <c r="CJ305" s="102"/>
      <c r="CK305" s="102"/>
      <c r="CL305" s="102"/>
      <c r="CM305" s="102"/>
      <c r="CN305" s="102"/>
      <c r="CO305" s="102"/>
      <c r="CP305" s="102"/>
      <c r="CQ305" s="102"/>
      <c r="CR305" s="102"/>
      <c r="CS305" s="102"/>
      <c r="CT305" s="102"/>
      <c r="CU305" s="102"/>
      <c r="CV305" s="102"/>
      <c r="CW305" s="102"/>
      <c r="CX305" s="102"/>
      <c r="CY305" s="102"/>
      <c r="CZ305" s="102"/>
      <c r="DA305" s="102"/>
      <c r="DB305" s="102"/>
      <c r="DC305" s="102"/>
      <c r="DD305" s="102"/>
      <c r="DE305" s="102"/>
      <c r="DF305" s="102"/>
      <c r="DG305" s="102"/>
      <c r="DH305" s="102"/>
      <c r="DI305" s="102"/>
      <c r="DJ305" s="102"/>
      <c r="DK305" s="102"/>
      <c r="DL305" s="102"/>
      <c r="DM305" s="102"/>
      <c r="DN305" s="102"/>
      <c r="DO305" s="102"/>
      <c r="DP305" s="102"/>
      <c r="DQ305" s="102"/>
      <c r="DR305" s="102"/>
      <c r="DS305" s="102"/>
      <c r="DT305" s="105"/>
      <c r="DU305" s="102"/>
      <c r="DV305" s="102"/>
      <c r="DW305" s="102"/>
      <c r="DX305" s="102"/>
      <c r="DY305" s="102"/>
      <c r="DZ305" s="102"/>
      <c r="EA305" s="102"/>
      <c r="EB305" s="102"/>
      <c r="EC305" s="102"/>
      <c r="ED305" s="102"/>
      <c r="EE305" s="102"/>
      <c r="EF305" s="102"/>
      <c r="EG305" s="102"/>
      <c r="EH305" s="102"/>
      <c r="EI305" s="102"/>
      <c r="EJ305" s="102"/>
      <c r="EK305" s="102"/>
      <c r="EL305" s="102"/>
      <c r="EM305" s="102"/>
    </row>
    <row r="306" spans="1:143" ht="15.75" customHeight="1" x14ac:dyDescent="0.55000000000000004">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c r="AZ306" s="102"/>
      <c r="BA306" s="102"/>
      <c r="BB306" s="102"/>
      <c r="BC306" s="102"/>
      <c r="BD306" s="102"/>
      <c r="BE306" s="102"/>
      <c r="BF306" s="102"/>
      <c r="BG306" s="102"/>
      <c r="BH306" s="102"/>
      <c r="BI306" s="102"/>
      <c r="BJ306" s="102"/>
      <c r="BK306" s="102"/>
      <c r="BL306" s="102"/>
      <c r="BM306" s="102"/>
      <c r="BN306" s="102"/>
      <c r="BO306" s="102"/>
      <c r="BP306" s="102"/>
      <c r="BQ306" s="102"/>
      <c r="BR306" s="102"/>
      <c r="BS306" s="102"/>
      <c r="BT306" s="102"/>
      <c r="BU306" s="102"/>
      <c r="BV306" s="102"/>
      <c r="BW306" s="102"/>
      <c r="BX306" s="102"/>
      <c r="BY306" s="102"/>
      <c r="BZ306" s="102"/>
      <c r="CA306" s="102"/>
      <c r="CB306" s="102"/>
      <c r="CC306" s="102"/>
      <c r="CD306" s="102"/>
      <c r="CE306" s="102"/>
      <c r="CF306" s="102"/>
      <c r="CG306" s="102"/>
      <c r="CH306" s="102"/>
      <c r="CI306" s="102"/>
      <c r="CJ306" s="102"/>
      <c r="CK306" s="102"/>
      <c r="CL306" s="102"/>
      <c r="CM306" s="102"/>
      <c r="CN306" s="102"/>
      <c r="CO306" s="102"/>
      <c r="CP306" s="102"/>
      <c r="CQ306" s="102"/>
      <c r="CR306" s="102"/>
      <c r="CS306" s="102"/>
      <c r="CT306" s="102"/>
      <c r="CU306" s="102"/>
      <c r="CV306" s="102"/>
      <c r="CW306" s="102"/>
      <c r="CX306" s="102"/>
      <c r="CY306" s="102"/>
      <c r="CZ306" s="102"/>
      <c r="DA306" s="102"/>
      <c r="DB306" s="102"/>
      <c r="DC306" s="102"/>
      <c r="DD306" s="102"/>
      <c r="DE306" s="102"/>
      <c r="DF306" s="102"/>
      <c r="DG306" s="102"/>
      <c r="DH306" s="102"/>
      <c r="DI306" s="102"/>
      <c r="DJ306" s="102"/>
      <c r="DK306" s="102"/>
      <c r="DL306" s="102"/>
      <c r="DM306" s="102"/>
      <c r="DN306" s="102"/>
      <c r="DO306" s="102"/>
      <c r="DP306" s="102"/>
      <c r="DQ306" s="102"/>
      <c r="DR306" s="102"/>
      <c r="DS306" s="102"/>
      <c r="DT306" s="105"/>
      <c r="DU306" s="102"/>
      <c r="DV306" s="102"/>
      <c r="DW306" s="102"/>
      <c r="DX306" s="102"/>
      <c r="DY306" s="102"/>
      <c r="DZ306" s="102"/>
      <c r="EA306" s="102"/>
      <c r="EB306" s="102"/>
      <c r="EC306" s="102"/>
      <c r="ED306" s="102"/>
      <c r="EE306" s="102"/>
      <c r="EF306" s="102"/>
      <c r="EG306" s="102"/>
      <c r="EH306" s="102"/>
      <c r="EI306" s="102"/>
      <c r="EJ306" s="102"/>
      <c r="EK306" s="102"/>
      <c r="EL306" s="102"/>
      <c r="EM306" s="102"/>
    </row>
    <row r="307" spans="1:143" ht="15.75" customHeight="1" x14ac:dyDescent="0.55000000000000004">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c r="BE307" s="102"/>
      <c r="BF307" s="102"/>
      <c r="BG307" s="102"/>
      <c r="BH307" s="102"/>
      <c r="BI307" s="102"/>
      <c r="BJ307" s="102"/>
      <c r="BK307" s="102"/>
      <c r="BL307" s="102"/>
      <c r="BM307" s="102"/>
      <c r="BN307" s="102"/>
      <c r="BO307" s="102"/>
      <c r="BP307" s="102"/>
      <c r="BQ307" s="102"/>
      <c r="BR307" s="102"/>
      <c r="BS307" s="102"/>
      <c r="BT307" s="102"/>
      <c r="BU307" s="102"/>
      <c r="BV307" s="102"/>
      <c r="BW307" s="102"/>
      <c r="BX307" s="102"/>
      <c r="BY307" s="102"/>
      <c r="BZ307" s="102"/>
      <c r="CA307" s="102"/>
      <c r="CB307" s="102"/>
      <c r="CC307" s="102"/>
      <c r="CD307" s="102"/>
      <c r="CE307" s="102"/>
      <c r="CF307" s="102"/>
      <c r="CG307" s="102"/>
      <c r="CH307" s="102"/>
      <c r="CI307" s="102"/>
      <c r="CJ307" s="102"/>
      <c r="CK307" s="102"/>
      <c r="CL307" s="102"/>
      <c r="CM307" s="102"/>
      <c r="CN307" s="102"/>
      <c r="CO307" s="102"/>
      <c r="CP307" s="102"/>
      <c r="CQ307" s="102"/>
      <c r="CR307" s="102"/>
      <c r="CS307" s="102"/>
      <c r="CT307" s="102"/>
      <c r="CU307" s="102"/>
      <c r="CV307" s="102"/>
      <c r="CW307" s="102"/>
      <c r="CX307" s="102"/>
      <c r="CY307" s="102"/>
      <c r="CZ307" s="102"/>
      <c r="DA307" s="102"/>
      <c r="DB307" s="102"/>
      <c r="DC307" s="102"/>
      <c r="DD307" s="102"/>
      <c r="DE307" s="102"/>
      <c r="DF307" s="102"/>
      <c r="DG307" s="102"/>
      <c r="DH307" s="102"/>
      <c r="DI307" s="102"/>
      <c r="DJ307" s="102"/>
      <c r="DK307" s="102"/>
      <c r="DL307" s="102"/>
      <c r="DM307" s="102"/>
      <c r="DN307" s="102"/>
      <c r="DO307" s="102"/>
      <c r="DP307" s="102"/>
      <c r="DQ307" s="102"/>
      <c r="DR307" s="102"/>
      <c r="DS307" s="102"/>
      <c r="DT307" s="105"/>
      <c r="DU307" s="102"/>
      <c r="DV307" s="102"/>
      <c r="DW307" s="102"/>
      <c r="DX307" s="102"/>
      <c r="DY307" s="102"/>
      <c r="DZ307" s="102"/>
      <c r="EA307" s="102"/>
      <c r="EB307" s="102"/>
      <c r="EC307" s="102"/>
      <c r="ED307" s="102"/>
      <c r="EE307" s="102"/>
      <c r="EF307" s="102"/>
      <c r="EG307" s="102"/>
      <c r="EH307" s="102"/>
      <c r="EI307" s="102"/>
      <c r="EJ307" s="102"/>
      <c r="EK307" s="102"/>
      <c r="EL307" s="102"/>
      <c r="EM307" s="102"/>
    </row>
    <row r="308" spans="1:143" ht="15.75" customHeight="1" x14ac:dyDescent="0.55000000000000004">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c r="BE308" s="102"/>
      <c r="BF308" s="102"/>
      <c r="BG308" s="102"/>
      <c r="BH308" s="102"/>
      <c r="BI308" s="102"/>
      <c r="BJ308" s="102"/>
      <c r="BK308" s="102"/>
      <c r="BL308" s="102"/>
      <c r="BM308" s="102"/>
      <c r="BN308" s="102"/>
      <c r="BO308" s="102"/>
      <c r="BP308" s="102"/>
      <c r="BQ308" s="102"/>
      <c r="BR308" s="102"/>
      <c r="BS308" s="102"/>
      <c r="BT308" s="102"/>
      <c r="BU308" s="102"/>
      <c r="BV308" s="102"/>
      <c r="BW308" s="102"/>
      <c r="BX308" s="102"/>
      <c r="BY308" s="102"/>
      <c r="BZ308" s="102"/>
      <c r="CA308" s="102"/>
      <c r="CB308" s="102"/>
      <c r="CC308" s="102"/>
      <c r="CD308" s="102"/>
      <c r="CE308" s="102"/>
      <c r="CF308" s="102"/>
      <c r="CG308" s="102"/>
      <c r="CH308" s="102"/>
      <c r="CI308" s="102"/>
      <c r="CJ308" s="102"/>
      <c r="CK308" s="102"/>
      <c r="CL308" s="102"/>
      <c r="CM308" s="102"/>
      <c r="CN308" s="102"/>
      <c r="CO308" s="102"/>
      <c r="CP308" s="102"/>
      <c r="CQ308" s="102"/>
      <c r="CR308" s="102"/>
      <c r="CS308" s="102"/>
      <c r="CT308" s="102"/>
      <c r="CU308" s="102"/>
      <c r="CV308" s="102"/>
      <c r="CW308" s="102"/>
      <c r="CX308" s="102"/>
      <c r="CY308" s="102"/>
      <c r="CZ308" s="102"/>
      <c r="DA308" s="102"/>
      <c r="DB308" s="102"/>
      <c r="DC308" s="102"/>
      <c r="DD308" s="102"/>
      <c r="DE308" s="102"/>
      <c r="DF308" s="102"/>
      <c r="DG308" s="102"/>
      <c r="DH308" s="102"/>
      <c r="DI308" s="102"/>
      <c r="DJ308" s="102"/>
      <c r="DK308" s="102"/>
      <c r="DL308" s="102"/>
      <c r="DM308" s="102"/>
      <c r="DN308" s="102"/>
      <c r="DO308" s="102"/>
      <c r="DP308" s="102"/>
      <c r="DQ308" s="102"/>
      <c r="DR308" s="102"/>
      <c r="DS308" s="102"/>
      <c r="DT308" s="105"/>
      <c r="DU308" s="102"/>
      <c r="DV308" s="102"/>
      <c r="DW308" s="102"/>
      <c r="DX308" s="102"/>
      <c r="DY308" s="102"/>
      <c r="DZ308" s="102"/>
      <c r="EA308" s="102"/>
      <c r="EB308" s="102"/>
      <c r="EC308" s="102"/>
      <c r="ED308" s="102"/>
      <c r="EE308" s="102"/>
      <c r="EF308" s="102"/>
      <c r="EG308" s="102"/>
      <c r="EH308" s="102"/>
      <c r="EI308" s="102"/>
      <c r="EJ308" s="102"/>
      <c r="EK308" s="102"/>
      <c r="EL308" s="102"/>
      <c r="EM308" s="102"/>
    </row>
    <row r="309" spans="1:143" ht="15.75" customHeight="1" x14ac:dyDescent="0.55000000000000004">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c r="BE309" s="102"/>
      <c r="BF309" s="102"/>
      <c r="BG309" s="102"/>
      <c r="BH309" s="102"/>
      <c r="BI309" s="102"/>
      <c r="BJ309" s="102"/>
      <c r="BK309" s="102"/>
      <c r="BL309" s="102"/>
      <c r="BM309" s="102"/>
      <c r="BN309" s="102"/>
      <c r="BO309" s="102"/>
      <c r="BP309" s="102"/>
      <c r="BQ309" s="102"/>
      <c r="BR309" s="102"/>
      <c r="BS309" s="102"/>
      <c r="BT309" s="102"/>
      <c r="BU309" s="102"/>
      <c r="BV309" s="102"/>
      <c r="BW309" s="102"/>
      <c r="BX309" s="102"/>
      <c r="BY309" s="102"/>
      <c r="BZ309" s="102"/>
      <c r="CA309" s="102"/>
      <c r="CB309" s="102"/>
      <c r="CC309" s="102"/>
      <c r="CD309" s="102"/>
      <c r="CE309" s="102"/>
      <c r="CF309" s="102"/>
      <c r="CG309" s="102"/>
      <c r="CH309" s="102"/>
      <c r="CI309" s="102"/>
      <c r="CJ309" s="102"/>
      <c r="CK309" s="102"/>
      <c r="CL309" s="102"/>
      <c r="CM309" s="102"/>
      <c r="CN309" s="102"/>
      <c r="CO309" s="102"/>
      <c r="CP309" s="102"/>
      <c r="CQ309" s="102"/>
      <c r="CR309" s="102"/>
      <c r="CS309" s="102"/>
      <c r="CT309" s="102"/>
      <c r="CU309" s="102"/>
      <c r="CV309" s="102"/>
      <c r="CW309" s="102"/>
      <c r="CX309" s="102"/>
      <c r="CY309" s="102"/>
      <c r="CZ309" s="102"/>
      <c r="DA309" s="102"/>
      <c r="DB309" s="102"/>
      <c r="DC309" s="102"/>
      <c r="DD309" s="102"/>
      <c r="DE309" s="102"/>
      <c r="DF309" s="102"/>
      <c r="DG309" s="102"/>
      <c r="DH309" s="102"/>
      <c r="DI309" s="102"/>
      <c r="DJ309" s="102"/>
      <c r="DK309" s="102"/>
      <c r="DL309" s="102"/>
      <c r="DM309" s="102"/>
      <c r="DN309" s="102"/>
      <c r="DO309" s="102"/>
      <c r="DP309" s="102"/>
      <c r="DQ309" s="102"/>
      <c r="DR309" s="102"/>
      <c r="DS309" s="102"/>
      <c r="DT309" s="105"/>
      <c r="DU309" s="102"/>
      <c r="DV309" s="102"/>
      <c r="DW309" s="102"/>
      <c r="DX309" s="102"/>
      <c r="DY309" s="102"/>
      <c r="DZ309" s="102"/>
      <c r="EA309" s="102"/>
      <c r="EB309" s="102"/>
      <c r="EC309" s="102"/>
      <c r="ED309" s="102"/>
      <c r="EE309" s="102"/>
      <c r="EF309" s="102"/>
      <c r="EG309" s="102"/>
      <c r="EH309" s="102"/>
      <c r="EI309" s="102"/>
      <c r="EJ309" s="102"/>
      <c r="EK309" s="102"/>
      <c r="EL309" s="102"/>
      <c r="EM309" s="102"/>
    </row>
    <row r="310" spans="1:143" ht="15.75" customHeight="1" x14ac:dyDescent="0.55000000000000004">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c r="BE310" s="102"/>
      <c r="BF310" s="102"/>
      <c r="BG310" s="102"/>
      <c r="BH310" s="102"/>
      <c r="BI310" s="102"/>
      <c r="BJ310" s="102"/>
      <c r="BK310" s="102"/>
      <c r="BL310" s="102"/>
      <c r="BM310" s="102"/>
      <c r="BN310" s="102"/>
      <c r="BO310" s="102"/>
      <c r="BP310" s="102"/>
      <c r="BQ310" s="102"/>
      <c r="BR310" s="102"/>
      <c r="BS310" s="102"/>
      <c r="BT310" s="102"/>
      <c r="BU310" s="102"/>
      <c r="BV310" s="102"/>
      <c r="BW310" s="102"/>
      <c r="BX310" s="102"/>
      <c r="BY310" s="102"/>
      <c r="BZ310" s="102"/>
      <c r="CA310" s="102"/>
      <c r="CB310" s="102"/>
      <c r="CC310" s="102"/>
      <c r="CD310" s="102"/>
      <c r="CE310" s="102"/>
      <c r="CF310" s="102"/>
      <c r="CG310" s="102"/>
      <c r="CH310" s="102"/>
      <c r="CI310" s="102"/>
      <c r="CJ310" s="102"/>
      <c r="CK310" s="102"/>
      <c r="CL310" s="102"/>
      <c r="CM310" s="102"/>
      <c r="CN310" s="102"/>
      <c r="CO310" s="102"/>
      <c r="CP310" s="102"/>
      <c r="CQ310" s="102"/>
      <c r="CR310" s="102"/>
      <c r="CS310" s="102"/>
      <c r="CT310" s="102"/>
      <c r="CU310" s="102"/>
      <c r="CV310" s="102"/>
      <c r="CW310" s="102"/>
      <c r="CX310" s="102"/>
      <c r="CY310" s="102"/>
      <c r="CZ310" s="102"/>
      <c r="DA310" s="102"/>
      <c r="DB310" s="102"/>
      <c r="DC310" s="102"/>
      <c r="DD310" s="102"/>
      <c r="DE310" s="102"/>
      <c r="DF310" s="102"/>
      <c r="DG310" s="102"/>
      <c r="DH310" s="102"/>
      <c r="DI310" s="102"/>
      <c r="DJ310" s="102"/>
      <c r="DK310" s="102"/>
      <c r="DL310" s="102"/>
      <c r="DM310" s="102"/>
      <c r="DN310" s="102"/>
      <c r="DO310" s="102"/>
      <c r="DP310" s="102"/>
      <c r="DQ310" s="102"/>
      <c r="DR310" s="102"/>
      <c r="DS310" s="102"/>
      <c r="DT310" s="105"/>
      <c r="DU310" s="102"/>
      <c r="DV310" s="102"/>
      <c r="DW310" s="102"/>
      <c r="DX310" s="102"/>
      <c r="DY310" s="102"/>
      <c r="DZ310" s="102"/>
      <c r="EA310" s="102"/>
      <c r="EB310" s="102"/>
      <c r="EC310" s="102"/>
      <c r="ED310" s="102"/>
      <c r="EE310" s="102"/>
      <c r="EF310" s="102"/>
      <c r="EG310" s="102"/>
      <c r="EH310" s="102"/>
      <c r="EI310" s="102"/>
      <c r="EJ310" s="102"/>
      <c r="EK310" s="102"/>
      <c r="EL310" s="102"/>
      <c r="EM310" s="102"/>
    </row>
    <row r="311" spans="1:143" ht="15.75" customHeight="1" x14ac:dyDescent="0.55000000000000004">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c r="BE311" s="102"/>
      <c r="BF311" s="102"/>
      <c r="BG311" s="102"/>
      <c r="BH311" s="102"/>
      <c r="BI311" s="102"/>
      <c r="BJ311" s="102"/>
      <c r="BK311" s="102"/>
      <c r="BL311" s="102"/>
      <c r="BM311" s="102"/>
      <c r="BN311" s="102"/>
      <c r="BO311" s="102"/>
      <c r="BP311" s="102"/>
      <c r="BQ311" s="102"/>
      <c r="BR311" s="102"/>
      <c r="BS311" s="102"/>
      <c r="BT311" s="102"/>
      <c r="BU311" s="102"/>
      <c r="BV311" s="102"/>
      <c r="BW311" s="102"/>
      <c r="BX311" s="102"/>
      <c r="BY311" s="102"/>
      <c r="BZ311" s="102"/>
      <c r="CA311" s="102"/>
      <c r="CB311" s="102"/>
      <c r="CC311" s="102"/>
      <c r="CD311" s="102"/>
      <c r="CE311" s="102"/>
      <c r="CF311" s="102"/>
      <c r="CG311" s="102"/>
      <c r="CH311" s="102"/>
      <c r="CI311" s="102"/>
      <c r="CJ311" s="102"/>
      <c r="CK311" s="102"/>
      <c r="CL311" s="102"/>
      <c r="CM311" s="102"/>
      <c r="CN311" s="102"/>
      <c r="CO311" s="102"/>
      <c r="CP311" s="102"/>
      <c r="CQ311" s="102"/>
      <c r="CR311" s="102"/>
      <c r="CS311" s="102"/>
      <c r="CT311" s="102"/>
      <c r="CU311" s="102"/>
      <c r="CV311" s="102"/>
      <c r="CW311" s="102"/>
      <c r="CX311" s="102"/>
      <c r="CY311" s="102"/>
      <c r="CZ311" s="102"/>
      <c r="DA311" s="102"/>
      <c r="DB311" s="102"/>
      <c r="DC311" s="102"/>
      <c r="DD311" s="102"/>
      <c r="DE311" s="102"/>
      <c r="DF311" s="102"/>
      <c r="DG311" s="102"/>
      <c r="DH311" s="102"/>
      <c r="DI311" s="102"/>
      <c r="DJ311" s="102"/>
      <c r="DK311" s="102"/>
      <c r="DL311" s="102"/>
      <c r="DM311" s="102"/>
      <c r="DN311" s="102"/>
      <c r="DO311" s="102"/>
      <c r="DP311" s="102"/>
      <c r="DQ311" s="102"/>
      <c r="DR311" s="102"/>
      <c r="DS311" s="102"/>
      <c r="DT311" s="105"/>
      <c r="DU311" s="102"/>
      <c r="DV311" s="102"/>
      <c r="DW311" s="102"/>
      <c r="DX311" s="102"/>
      <c r="DY311" s="102"/>
      <c r="DZ311" s="102"/>
      <c r="EA311" s="102"/>
      <c r="EB311" s="102"/>
      <c r="EC311" s="102"/>
      <c r="ED311" s="102"/>
      <c r="EE311" s="102"/>
      <c r="EF311" s="102"/>
      <c r="EG311" s="102"/>
      <c r="EH311" s="102"/>
      <c r="EI311" s="102"/>
      <c r="EJ311" s="102"/>
      <c r="EK311" s="102"/>
      <c r="EL311" s="102"/>
      <c r="EM311" s="102"/>
    </row>
    <row r="312" spans="1:143" ht="15.75" customHeight="1" x14ac:dyDescent="0.55000000000000004">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c r="BE312" s="102"/>
      <c r="BF312" s="102"/>
      <c r="BG312" s="102"/>
      <c r="BH312" s="102"/>
      <c r="BI312" s="102"/>
      <c r="BJ312" s="102"/>
      <c r="BK312" s="102"/>
      <c r="BL312" s="102"/>
      <c r="BM312" s="102"/>
      <c r="BN312" s="102"/>
      <c r="BO312" s="102"/>
      <c r="BP312" s="102"/>
      <c r="BQ312" s="102"/>
      <c r="BR312" s="102"/>
      <c r="BS312" s="102"/>
      <c r="BT312" s="102"/>
      <c r="BU312" s="102"/>
      <c r="BV312" s="102"/>
      <c r="BW312" s="102"/>
      <c r="BX312" s="102"/>
      <c r="BY312" s="102"/>
      <c r="BZ312" s="102"/>
      <c r="CA312" s="102"/>
      <c r="CB312" s="102"/>
      <c r="CC312" s="102"/>
      <c r="CD312" s="102"/>
      <c r="CE312" s="102"/>
      <c r="CF312" s="102"/>
      <c r="CG312" s="102"/>
      <c r="CH312" s="102"/>
      <c r="CI312" s="102"/>
      <c r="CJ312" s="102"/>
      <c r="CK312" s="102"/>
      <c r="CL312" s="102"/>
      <c r="CM312" s="102"/>
      <c r="CN312" s="102"/>
      <c r="CO312" s="102"/>
      <c r="CP312" s="102"/>
      <c r="CQ312" s="102"/>
      <c r="CR312" s="102"/>
      <c r="CS312" s="102"/>
      <c r="CT312" s="102"/>
      <c r="CU312" s="102"/>
      <c r="CV312" s="102"/>
      <c r="CW312" s="102"/>
      <c r="CX312" s="102"/>
      <c r="CY312" s="102"/>
      <c r="CZ312" s="102"/>
      <c r="DA312" s="102"/>
      <c r="DB312" s="102"/>
      <c r="DC312" s="102"/>
      <c r="DD312" s="102"/>
      <c r="DE312" s="102"/>
      <c r="DF312" s="102"/>
      <c r="DG312" s="102"/>
      <c r="DH312" s="102"/>
      <c r="DI312" s="102"/>
      <c r="DJ312" s="102"/>
      <c r="DK312" s="102"/>
      <c r="DL312" s="102"/>
      <c r="DM312" s="102"/>
      <c r="DN312" s="102"/>
      <c r="DO312" s="102"/>
      <c r="DP312" s="102"/>
      <c r="DQ312" s="102"/>
      <c r="DR312" s="102"/>
      <c r="DS312" s="102"/>
      <c r="DT312" s="105"/>
      <c r="DU312" s="102"/>
      <c r="DV312" s="102"/>
      <c r="DW312" s="102"/>
      <c r="DX312" s="102"/>
      <c r="DY312" s="102"/>
      <c r="DZ312" s="102"/>
      <c r="EA312" s="102"/>
      <c r="EB312" s="102"/>
      <c r="EC312" s="102"/>
      <c r="ED312" s="102"/>
      <c r="EE312" s="102"/>
      <c r="EF312" s="102"/>
      <c r="EG312" s="102"/>
      <c r="EH312" s="102"/>
      <c r="EI312" s="102"/>
      <c r="EJ312" s="102"/>
      <c r="EK312" s="102"/>
      <c r="EL312" s="102"/>
      <c r="EM312" s="102"/>
    </row>
    <row r="313" spans="1:143" ht="15.75" customHeight="1" x14ac:dyDescent="0.55000000000000004">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c r="AZ313" s="102"/>
      <c r="BA313" s="102"/>
      <c r="BB313" s="102"/>
      <c r="BC313" s="102"/>
      <c r="BD313" s="102"/>
      <c r="BE313" s="102"/>
      <c r="BF313" s="102"/>
      <c r="BG313" s="102"/>
      <c r="BH313" s="102"/>
      <c r="BI313" s="102"/>
      <c r="BJ313" s="102"/>
      <c r="BK313" s="102"/>
      <c r="BL313" s="102"/>
      <c r="BM313" s="102"/>
      <c r="BN313" s="102"/>
      <c r="BO313" s="102"/>
      <c r="BP313" s="102"/>
      <c r="BQ313" s="102"/>
      <c r="BR313" s="102"/>
      <c r="BS313" s="102"/>
      <c r="BT313" s="102"/>
      <c r="BU313" s="102"/>
      <c r="BV313" s="102"/>
      <c r="BW313" s="102"/>
      <c r="BX313" s="102"/>
      <c r="BY313" s="102"/>
      <c r="BZ313" s="102"/>
      <c r="CA313" s="102"/>
      <c r="CB313" s="102"/>
      <c r="CC313" s="102"/>
      <c r="CD313" s="102"/>
      <c r="CE313" s="102"/>
      <c r="CF313" s="102"/>
      <c r="CG313" s="102"/>
      <c r="CH313" s="102"/>
      <c r="CI313" s="102"/>
      <c r="CJ313" s="102"/>
      <c r="CK313" s="102"/>
      <c r="CL313" s="102"/>
      <c r="CM313" s="102"/>
      <c r="CN313" s="102"/>
      <c r="CO313" s="102"/>
      <c r="CP313" s="102"/>
      <c r="CQ313" s="102"/>
      <c r="CR313" s="102"/>
      <c r="CS313" s="102"/>
      <c r="CT313" s="102"/>
      <c r="CU313" s="102"/>
      <c r="CV313" s="102"/>
      <c r="CW313" s="102"/>
      <c r="CX313" s="102"/>
      <c r="CY313" s="102"/>
      <c r="CZ313" s="102"/>
      <c r="DA313" s="102"/>
      <c r="DB313" s="102"/>
      <c r="DC313" s="102"/>
      <c r="DD313" s="102"/>
      <c r="DE313" s="102"/>
      <c r="DF313" s="102"/>
      <c r="DG313" s="102"/>
      <c r="DH313" s="102"/>
      <c r="DI313" s="102"/>
      <c r="DJ313" s="102"/>
      <c r="DK313" s="102"/>
      <c r="DL313" s="102"/>
      <c r="DM313" s="102"/>
      <c r="DN313" s="102"/>
      <c r="DO313" s="102"/>
      <c r="DP313" s="102"/>
      <c r="DQ313" s="102"/>
      <c r="DR313" s="102"/>
      <c r="DS313" s="102"/>
      <c r="DT313" s="105"/>
      <c r="DU313" s="102"/>
      <c r="DV313" s="102"/>
      <c r="DW313" s="102"/>
      <c r="DX313" s="102"/>
      <c r="DY313" s="102"/>
      <c r="DZ313" s="102"/>
      <c r="EA313" s="102"/>
      <c r="EB313" s="102"/>
      <c r="EC313" s="102"/>
      <c r="ED313" s="102"/>
      <c r="EE313" s="102"/>
      <c r="EF313" s="102"/>
      <c r="EG313" s="102"/>
      <c r="EH313" s="102"/>
      <c r="EI313" s="102"/>
      <c r="EJ313" s="102"/>
      <c r="EK313" s="102"/>
      <c r="EL313" s="102"/>
      <c r="EM313" s="102"/>
    </row>
    <row r="314" spans="1:143" ht="15.75" customHeight="1" x14ac:dyDescent="0.5500000000000000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c r="AZ314" s="102"/>
      <c r="BA314" s="102"/>
      <c r="BB314" s="102"/>
      <c r="BC314" s="102"/>
      <c r="BD314" s="102"/>
      <c r="BE314" s="102"/>
      <c r="BF314" s="102"/>
      <c r="BG314" s="102"/>
      <c r="BH314" s="102"/>
      <c r="BI314" s="102"/>
      <c r="BJ314" s="102"/>
      <c r="BK314" s="102"/>
      <c r="BL314" s="102"/>
      <c r="BM314" s="102"/>
      <c r="BN314" s="102"/>
      <c r="BO314" s="102"/>
      <c r="BP314" s="102"/>
      <c r="BQ314" s="102"/>
      <c r="BR314" s="102"/>
      <c r="BS314" s="102"/>
      <c r="BT314" s="102"/>
      <c r="BU314" s="102"/>
      <c r="BV314" s="102"/>
      <c r="BW314" s="102"/>
      <c r="BX314" s="102"/>
      <c r="BY314" s="102"/>
      <c r="BZ314" s="102"/>
      <c r="CA314" s="102"/>
      <c r="CB314" s="102"/>
      <c r="CC314" s="102"/>
      <c r="CD314" s="102"/>
      <c r="CE314" s="102"/>
      <c r="CF314" s="102"/>
      <c r="CG314" s="102"/>
      <c r="CH314" s="102"/>
      <c r="CI314" s="102"/>
      <c r="CJ314" s="102"/>
      <c r="CK314" s="102"/>
      <c r="CL314" s="102"/>
      <c r="CM314" s="102"/>
      <c r="CN314" s="102"/>
      <c r="CO314" s="102"/>
      <c r="CP314" s="102"/>
      <c r="CQ314" s="102"/>
      <c r="CR314" s="102"/>
      <c r="CS314" s="102"/>
      <c r="CT314" s="102"/>
      <c r="CU314" s="102"/>
      <c r="CV314" s="102"/>
      <c r="CW314" s="102"/>
      <c r="CX314" s="102"/>
      <c r="CY314" s="102"/>
      <c r="CZ314" s="102"/>
      <c r="DA314" s="102"/>
      <c r="DB314" s="102"/>
      <c r="DC314" s="102"/>
      <c r="DD314" s="102"/>
      <c r="DE314" s="102"/>
      <c r="DF314" s="102"/>
      <c r="DG314" s="102"/>
      <c r="DH314" s="102"/>
      <c r="DI314" s="102"/>
      <c r="DJ314" s="102"/>
      <c r="DK314" s="102"/>
      <c r="DL314" s="102"/>
      <c r="DM314" s="102"/>
      <c r="DN314" s="102"/>
      <c r="DO314" s="102"/>
      <c r="DP314" s="102"/>
      <c r="DQ314" s="102"/>
      <c r="DR314" s="102"/>
      <c r="DS314" s="102"/>
      <c r="DT314" s="105"/>
      <c r="DU314" s="102"/>
      <c r="DV314" s="102"/>
      <c r="DW314" s="102"/>
      <c r="DX314" s="102"/>
      <c r="DY314" s="102"/>
      <c r="DZ314" s="102"/>
      <c r="EA314" s="102"/>
      <c r="EB314" s="102"/>
      <c r="EC314" s="102"/>
      <c r="ED314" s="102"/>
      <c r="EE314" s="102"/>
      <c r="EF314" s="102"/>
      <c r="EG314" s="102"/>
      <c r="EH314" s="102"/>
      <c r="EI314" s="102"/>
      <c r="EJ314" s="102"/>
      <c r="EK314" s="102"/>
      <c r="EL314" s="102"/>
      <c r="EM314" s="102"/>
    </row>
    <row r="315" spans="1:143" ht="15.75" customHeight="1" x14ac:dyDescent="0.55000000000000004">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c r="AZ315" s="102"/>
      <c r="BA315" s="102"/>
      <c r="BB315" s="102"/>
      <c r="BC315" s="102"/>
      <c r="BD315" s="102"/>
      <c r="BE315" s="102"/>
      <c r="BF315" s="102"/>
      <c r="BG315" s="102"/>
      <c r="BH315" s="102"/>
      <c r="BI315" s="102"/>
      <c r="BJ315" s="102"/>
      <c r="BK315" s="102"/>
      <c r="BL315" s="102"/>
      <c r="BM315" s="102"/>
      <c r="BN315" s="102"/>
      <c r="BO315" s="102"/>
      <c r="BP315" s="102"/>
      <c r="BQ315" s="102"/>
      <c r="BR315" s="102"/>
      <c r="BS315" s="102"/>
      <c r="BT315" s="102"/>
      <c r="BU315" s="102"/>
      <c r="BV315" s="102"/>
      <c r="BW315" s="102"/>
      <c r="BX315" s="102"/>
      <c r="BY315" s="102"/>
      <c r="BZ315" s="102"/>
      <c r="CA315" s="102"/>
      <c r="CB315" s="102"/>
      <c r="CC315" s="102"/>
      <c r="CD315" s="102"/>
      <c r="CE315" s="102"/>
      <c r="CF315" s="102"/>
      <c r="CG315" s="102"/>
      <c r="CH315" s="102"/>
      <c r="CI315" s="102"/>
      <c r="CJ315" s="102"/>
      <c r="CK315" s="102"/>
      <c r="CL315" s="102"/>
      <c r="CM315" s="102"/>
      <c r="CN315" s="102"/>
      <c r="CO315" s="102"/>
      <c r="CP315" s="102"/>
      <c r="CQ315" s="102"/>
      <c r="CR315" s="102"/>
      <c r="CS315" s="102"/>
      <c r="CT315" s="102"/>
      <c r="CU315" s="102"/>
      <c r="CV315" s="102"/>
      <c r="CW315" s="102"/>
      <c r="CX315" s="102"/>
      <c r="CY315" s="102"/>
      <c r="CZ315" s="102"/>
      <c r="DA315" s="102"/>
      <c r="DB315" s="102"/>
      <c r="DC315" s="102"/>
      <c r="DD315" s="102"/>
      <c r="DE315" s="102"/>
      <c r="DF315" s="102"/>
      <c r="DG315" s="102"/>
      <c r="DH315" s="102"/>
      <c r="DI315" s="102"/>
      <c r="DJ315" s="102"/>
      <c r="DK315" s="102"/>
      <c r="DL315" s="102"/>
      <c r="DM315" s="102"/>
      <c r="DN315" s="102"/>
      <c r="DO315" s="102"/>
      <c r="DP315" s="102"/>
      <c r="DQ315" s="102"/>
      <c r="DR315" s="102"/>
      <c r="DS315" s="102"/>
      <c r="DT315" s="105"/>
      <c r="DU315" s="102"/>
      <c r="DV315" s="102"/>
      <c r="DW315" s="102"/>
      <c r="DX315" s="102"/>
      <c r="DY315" s="102"/>
      <c r="DZ315" s="102"/>
      <c r="EA315" s="102"/>
      <c r="EB315" s="102"/>
      <c r="EC315" s="102"/>
      <c r="ED315" s="102"/>
      <c r="EE315" s="102"/>
      <c r="EF315" s="102"/>
      <c r="EG315" s="102"/>
      <c r="EH315" s="102"/>
      <c r="EI315" s="102"/>
      <c r="EJ315" s="102"/>
      <c r="EK315" s="102"/>
      <c r="EL315" s="102"/>
      <c r="EM315" s="102"/>
    </row>
    <row r="316" spans="1:143" ht="15.75" customHeight="1" x14ac:dyDescent="0.55000000000000004">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c r="AZ316" s="102"/>
      <c r="BA316" s="102"/>
      <c r="BB316" s="102"/>
      <c r="BC316" s="102"/>
      <c r="BD316" s="102"/>
      <c r="BE316" s="102"/>
      <c r="BF316" s="102"/>
      <c r="BG316" s="102"/>
      <c r="BH316" s="102"/>
      <c r="BI316" s="102"/>
      <c r="BJ316" s="102"/>
      <c r="BK316" s="102"/>
      <c r="BL316" s="102"/>
      <c r="BM316" s="102"/>
      <c r="BN316" s="102"/>
      <c r="BO316" s="102"/>
      <c r="BP316" s="102"/>
      <c r="BQ316" s="102"/>
      <c r="BR316" s="102"/>
      <c r="BS316" s="102"/>
      <c r="BT316" s="102"/>
      <c r="BU316" s="102"/>
      <c r="BV316" s="102"/>
      <c r="BW316" s="102"/>
      <c r="BX316" s="102"/>
      <c r="BY316" s="102"/>
      <c r="BZ316" s="102"/>
      <c r="CA316" s="102"/>
      <c r="CB316" s="102"/>
      <c r="CC316" s="102"/>
      <c r="CD316" s="102"/>
      <c r="CE316" s="102"/>
      <c r="CF316" s="102"/>
      <c r="CG316" s="102"/>
      <c r="CH316" s="102"/>
      <c r="CI316" s="102"/>
      <c r="CJ316" s="102"/>
      <c r="CK316" s="102"/>
      <c r="CL316" s="102"/>
      <c r="CM316" s="102"/>
      <c r="CN316" s="102"/>
      <c r="CO316" s="102"/>
      <c r="CP316" s="102"/>
      <c r="CQ316" s="102"/>
      <c r="CR316" s="102"/>
      <c r="CS316" s="102"/>
      <c r="CT316" s="102"/>
      <c r="CU316" s="102"/>
      <c r="CV316" s="102"/>
      <c r="CW316" s="102"/>
      <c r="CX316" s="102"/>
      <c r="CY316" s="102"/>
      <c r="CZ316" s="102"/>
      <c r="DA316" s="102"/>
      <c r="DB316" s="102"/>
      <c r="DC316" s="102"/>
      <c r="DD316" s="102"/>
      <c r="DE316" s="102"/>
      <c r="DF316" s="102"/>
      <c r="DG316" s="102"/>
      <c r="DH316" s="102"/>
      <c r="DI316" s="102"/>
      <c r="DJ316" s="102"/>
      <c r="DK316" s="102"/>
      <c r="DL316" s="102"/>
      <c r="DM316" s="102"/>
      <c r="DN316" s="102"/>
      <c r="DO316" s="102"/>
      <c r="DP316" s="102"/>
      <c r="DQ316" s="102"/>
      <c r="DR316" s="102"/>
      <c r="DS316" s="102"/>
      <c r="DT316" s="105"/>
      <c r="DU316" s="102"/>
      <c r="DV316" s="102"/>
      <c r="DW316" s="102"/>
      <c r="DX316" s="102"/>
      <c r="DY316" s="102"/>
      <c r="DZ316" s="102"/>
      <c r="EA316" s="102"/>
      <c r="EB316" s="102"/>
      <c r="EC316" s="102"/>
      <c r="ED316" s="102"/>
      <c r="EE316" s="102"/>
      <c r="EF316" s="102"/>
      <c r="EG316" s="102"/>
      <c r="EH316" s="102"/>
      <c r="EI316" s="102"/>
      <c r="EJ316" s="102"/>
      <c r="EK316" s="102"/>
      <c r="EL316" s="102"/>
      <c r="EM316" s="102"/>
    </row>
    <row r="317" spans="1:143" ht="15.75" customHeight="1" x14ac:dyDescent="0.55000000000000004">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c r="AZ317" s="102"/>
      <c r="BA317" s="102"/>
      <c r="BB317" s="102"/>
      <c r="BC317" s="102"/>
      <c r="BD317" s="102"/>
      <c r="BE317" s="102"/>
      <c r="BF317" s="102"/>
      <c r="BG317" s="102"/>
      <c r="BH317" s="102"/>
      <c r="BI317" s="102"/>
      <c r="BJ317" s="102"/>
      <c r="BK317" s="102"/>
      <c r="BL317" s="102"/>
      <c r="BM317" s="102"/>
      <c r="BN317" s="102"/>
      <c r="BO317" s="102"/>
      <c r="BP317" s="102"/>
      <c r="BQ317" s="102"/>
      <c r="BR317" s="102"/>
      <c r="BS317" s="102"/>
      <c r="BT317" s="102"/>
      <c r="BU317" s="102"/>
      <c r="BV317" s="102"/>
      <c r="BW317" s="102"/>
      <c r="BX317" s="102"/>
      <c r="BY317" s="102"/>
      <c r="BZ317" s="102"/>
      <c r="CA317" s="102"/>
      <c r="CB317" s="102"/>
      <c r="CC317" s="102"/>
      <c r="CD317" s="102"/>
      <c r="CE317" s="102"/>
      <c r="CF317" s="102"/>
      <c r="CG317" s="102"/>
      <c r="CH317" s="102"/>
      <c r="CI317" s="102"/>
      <c r="CJ317" s="102"/>
      <c r="CK317" s="102"/>
      <c r="CL317" s="102"/>
      <c r="CM317" s="102"/>
      <c r="CN317" s="102"/>
      <c r="CO317" s="102"/>
      <c r="CP317" s="102"/>
      <c r="CQ317" s="102"/>
      <c r="CR317" s="102"/>
      <c r="CS317" s="102"/>
      <c r="CT317" s="102"/>
      <c r="CU317" s="102"/>
      <c r="CV317" s="102"/>
      <c r="CW317" s="102"/>
      <c r="CX317" s="102"/>
      <c r="CY317" s="102"/>
      <c r="CZ317" s="102"/>
      <c r="DA317" s="102"/>
      <c r="DB317" s="102"/>
      <c r="DC317" s="102"/>
      <c r="DD317" s="102"/>
      <c r="DE317" s="102"/>
      <c r="DF317" s="102"/>
      <c r="DG317" s="102"/>
      <c r="DH317" s="102"/>
      <c r="DI317" s="102"/>
      <c r="DJ317" s="102"/>
      <c r="DK317" s="102"/>
      <c r="DL317" s="102"/>
      <c r="DM317" s="102"/>
      <c r="DN317" s="102"/>
      <c r="DO317" s="102"/>
      <c r="DP317" s="102"/>
      <c r="DQ317" s="102"/>
      <c r="DR317" s="102"/>
      <c r="DS317" s="102"/>
      <c r="DT317" s="105"/>
      <c r="DU317" s="102"/>
      <c r="DV317" s="102"/>
      <c r="DW317" s="102"/>
      <c r="DX317" s="102"/>
      <c r="DY317" s="102"/>
      <c r="DZ317" s="102"/>
      <c r="EA317" s="102"/>
      <c r="EB317" s="102"/>
      <c r="EC317" s="102"/>
      <c r="ED317" s="102"/>
      <c r="EE317" s="102"/>
      <c r="EF317" s="102"/>
      <c r="EG317" s="102"/>
      <c r="EH317" s="102"/>
      <c r="EI317" s="102"/>
      <c r="EJ317" s="102"/>
      <c r="EK317" s="102"/>
      <c r="EL317" s="102"/>
      <c r="EM317" s="102"/>
    </row>
    <row r="318" spans="1:143" ht="15.75" customHeight="1" x14ac:dyDescent="0.55000000000000004">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c r="AZ318" s="102"/>
      <c r="BA318" s="102"/>
      <c r="BB318" s="102"/>
      <c r="BC318" s="102"/>
      <c r="BD318" s="102"/>
      <c r="BE318" s="102"/>
      <c r="BF318" s="102"/>
      <c r="BG318" s="102"/>
      <c r="BH318" s="102"/>
      <c r="BI318" s="102"/>
      <c r="BJ318" s="102"/>
      <c r="BK318" s="102"/>
      <c r="BL318" s="102"/>
      <c r="BM318" s="102"/>
      <c r="BN318" s="102"/>
      <c r="BO318" s="102"/>
      <c r="BP318" s="102"/>
      <c r="BQ318" s="102"/>
      <c r="BR318" s="102"/>
      <c r="BS318" s="102"/>
      <c r="BT318" s="102"/>
      <c r="BU318" s="102"/>
      <c r="BV318" s="102"/>
      <c r="BW318" s="102"/>
      <c r="BX318" s="102"/>
      <c r="BY318" s="102"/>
      <c r="BZ318" s="102"/>
      <c r="CA318" s="102"/>
      <c r="CB318" s="102"/>
      <c r="CC318" s="102"/>
      <c r="CD318" s="102"/>
      <c r="CE318" s="102"/>
      <c r="CF318" s="102"/>
      <c r="CG318" s="102"/>
      <c r="CH318" s="102"/>
      <c r="CI318" s="102"/>
      <c r="CJ318" s="102"/>
      <c r="CK318" s="102"/>
      <c r="CL318" s="102"/>
      <c r="CM318" s="102"/>
      <c r="CN318" s="102"/>
      <c r="CO318" s="102"/>
      <c r="CP318" s="102"/>
      <c r="CQ318" s="102"/>
      <c r="CR318" s="102"/>
      <c r="CS318" s="102"/>
      <c r="CT318" s="102"/>
      <c r="CU318" s="102"/>
      <c r="CV318" s="102"/>
      <c r="CW318" s="102"/>
      <c r="CX318" s="102"/>
      <c r="CY318" s="102"/>
      <c r="CZ318" s="102"/>
      <c r="DA318" s="102"/>
      <c r="DB318" s="102"/>
      <c r="DC318" s="102"/>
      <c r="DD318" s="102"/>
      <c r="DE318" s="102"/>
      <c r="DF318" s="102"/>
      <c r="DG318" s="102"/>
      <c r="DH318" s="102"/>
      <c r="DI318" s="102"/>
      <c r="DJ318" s="102"/>
      <c r="DK318" s="102"/>
      <c r="DL318" s="102"/>
      <c r="DM318" s="102"/>
      <c r="DN318" s="102"/>
      <c r="DO318" s="102"/>
      <c r="DP318" s="102"/>
      <c r="DQ318" s="102"/>
      <c r="DR318" s="102"/>
      <c r="DS318" s="102"/>
      <c r="DT318" s="105"/>
      <c r="DU318" s="102"/>
      <c r="DV318" s="102"/>
      <c r="DW318" s="102"/>
      <c r="DX318" s="102"/>
      <c r="DY318" s="102"/>
      <c r="DZ318" s="102"/>
      <c r="EA318" s="102"/>
      <c r="EB318" s="102"/>
      <c r="EC318" s="102"/>
      <c r="ED318" s="102"/>
      <c r="EE318" s="102"/>
      <c r="EF318" s="102"/>
      <c r="EG318" s="102"/>
      <c r="EH318" s="102"/>
      <c r="EI318" s="102"/>
      <c r="EJ318" s="102"/>
      <c r="EK318" s="102"/>
      <c r="EL318" s="102"/>
      <c r="EM318" s="102"/>
    </row>
    <row r="319" spans="1:143" ht="15.75" customHeight="1" x14ac:dyDescent="0.55000000000000004">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c r="AZ319" s="102"/>
      <c r="BA319" s="102"/>
      <c r="BB319" s="102"/>
      <c r="BC319" s="102"/>
      <c r="BD319" s="102"/>
      <c r="BE319" s="102"/>
      <c r="BF319" s="102"/>
      <c r="BG319" s="102"/>
      <c r="BH319" s="102"/>
      <c r="BI319" s="102"/>
      <c r="BJ319" s="102"/>
      <c r="BK319" s="102"/>
      <c r="BL319" s="102"/>
      <c r="BM319" s="102"/>
      <c r="BN319" s="102"/>
      <c r="BO319" s="102"/>
      <c r="BP319" s="102"/>
      <c r="BQ319" s="102"/>
      <c r="BR319" s="102"/>
      <c r="BS319" s="102"/>
      <c r="BT319" s="102"/>
      <c r="BU319" s="102"/>
      <c r="BV319" s="102"/>
      <c r="BW319" s="102"/>
      <c r="BX319" s="102"/>
      <c r="BY319" s="102"/>
      <c r="BZ319" s="102"/>
      <c r="CA319" s="102"/>
      <c r="CB319" s="102"/>
      <c r="CC319" s="102"/>
      <c r="CD319" s="102"/>
      <c r="CE319" s="102"/>
      <c r="CF319" s="102"/>
      <c r="CG319" s="102"/>
      <c r="CH319" s="102"/>
      <c r="CI319" s="102"/>
      <c r="CJ319" s="102"/>
      <c r="CK319" s="102"/>
      <c r="CL319" s="102"/>
      <c r="CM319" s="102"/>
      <c r="CN319" s="102"/>
      <c r="CO319" s="102"/>
      <c r="CP319" s="102"/>
      <c r="CQ319" s="102"/>
      <c r="CR319" s="102"/>
      <c r="CS319" s="102"/>
      <c r="CT319" s="102"/>
      <c r="CU319" s="102"/>
      <c r="CV319" s="102"/>
      <c r="CW319" s="102"/>
      <c r="CX319" s="102"/>
      <c r="CY319" s="102"/>
      <c r="CZ319" s="102"/>
      <c r="DA319" s="102"/>
      <c r="DB319" s="102"/>
      <c r="DC319" s="102"/>
      <c r="DD319" s="102"/>
      <c r="DE319" s="102"/>
      <c r="DF319" s="102"/>
      <c r="DG319" s="102"/>
      <c r="DH319" s="102"/>
      <c r="DI319" s="102"/>
      <c r="DJ319" s="102"/>
      <c r="DK319" s="102"/>
      <c r="DL319" s="102"/>
      <c r="DM319" s="102"/>
      <c r="DN319" s="102"/>
      <c r="DO319" s="102"/>
      <c r="DP319" s="102"/>
      <c r="DQ319" s="102"/>
      <c r="DR319" s="102"/>
      <c r="DS319" s="102"/>
      <c r="DT319" s="105"/>
      <c r="DU319" s="102"/>
      <c r="DV319" s="102"/>
      <c r="DW319" s="102"/>
      <c r="DX319" s="102"/>
      <c r="DY319" s="102"/>
      <c r="DZ319" s="102"/>
      <c r="EA319" s="102"/>
      <c r="EB319" s="102"/>
      <c r="EC319" s="102"/>
      <c r="ED319" s="102"/>
      <c r="EE319" s="102"/>
      <c r="EF319" s="102"/>
      <c r="EG319" s="102"/>
      <c r="EH319" s="102"/>
      <c r="EI319" s="102"/>
      <c r="EJ319" s="102"/>
      <c r="EK319" s="102"/>
      <c r="EL319" s="102"/>
      <c r="EM319" s="102"/>
    </row>
    <row r="320" spans="1:143" ht="15.75" customHeight="1" x14ac:dyDescent="0.55000000000000004">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c r="AZ320" s="102"/>
      <c r="BA320" s="102"/>
      <c r="BB320" s="102"/>
      <c r="BC320" s="102"/>
      <c r="BD320" s="102"/>
      <c r="BE320" s="102"/>
      <c r="BF320" s="102"/>
      <c r="BG320" s="102"/>
      <c r="BH320" s="102"/>
      <c r="BI320" s="102"/>
      <c r="BJ320" s="102"/>
      <c r="BK320" s="102"/>
      <c r="BL320" s="102"/>
      <c r="BM320" s="102"/>
      <c r="BN320" s="102"/>
      <c r="BO320" s="102"/>
      <c r="BP320" s="102"/>
      <c r="BQ320" s="102"/>
      <c r="BR320" s="102"/>
      <c r="BS320" s="102"/>
      <c r="BT320" s="102"/>
      <c r="BU320" s="102"/>
      <c r="BV320" s="102"/>
      <c r="BW320" s="102"/>
      <c r="BX320" s="102"/>
      <c r="BY320" s="102"/>
      <c r="BZ320" s="102"/>
      <c r="CA320" s="102"/>
      <c r="CB320" s="102"/>
      <c r="CC320" s="102"/>
      <c r="CD320" s="102"/>
      <c r="CE320" s="102"/>
      <c r="CF320" s="102"/>
      <c r="CG320" s="102"/>
      <c r="CH320" s="102"/>
      <c r="CI320" s="102"/>
      <c r="CJ320" s="102"/>
      <c r="CK320" s="102"/>
      <c r="CL320" s="102"/>
      <c r="CM320" s="102"/>
      <c r="CN320" s="102"/>
      <c r="CO320" s="102"/>
      <c r="CP320" s="102"/>
      <c r="CQ320" s="102"/>
      <c r="CR320" s="102"/>
      <c r="CS320" s="102"/>
      <c r="CT320" s="102"/>
      <c r="CU320" s="102"/>
      <c r="CV320" s="102"/>
      <c r="CW320" s="102"/>
      <c r="CX320" s="102"/>
      <c r="CY320" s="102"/>
      <c r="CZ320" s="102"/>
      <c r="DA320" s="102"/>
      <c r="DB320" s="102"/>
      <c r="DC320" s="102"/>
      <c r="DD320" s="102"/>
      <c r="DE320" s="102"/>
      <c r="DF320" s="102"/>
      <c r="DG320" s="102"/>
      <c r="DH320" s="102"/>
      <c r="DI320" s="102"/>
      <c r="DJ320" s="102"/>
      <c r="DK320" s="102"/>
      <c r="DL320" s="102"/>
      <c r="DM320" s="102"/>
      <c r="DN320" s="102"/>
      <c r="DO320" s="102"/>
      <c r="DP320" s="102"/>
      <c r="DQ320" s="102"/>
      <c r="DR320" s="102"/>
      <c r="DS320" s="102"/>
      <c r="DT320" s="105"/>
      <c r="DU320" s="102"/>
      <c r="DV320" s="102"/>
      <c r="DW320" s="102"/>
      <c r="DX320" s="102"/>
      <c r="DY320" s="102"/>
      <c r="DZ320" s="102"/>
      <c r="EA320" s="102"/>
      <c r="EB320" s="102"/>
      <c r="EC320" s="102"/>
      <c r="ED320" s="102"/>
      <c r="EE320" s="102"/>
      <c r="EF320" s="102"/>
      <c r="EG320" s="102"/>
      <c r="EH320" s="102"/>
      <c r="EI320" s="102"/>
      <c r="EJ320" s="102"/>
      <c r="EK320" s="102"/>
      <c r="EL320" s="102"/>
      <c r="EM320" s="102"/>
    </row>
    <row r="321" spans="1:143" ht="15.75" customHeight="1" x14ac:dyDescent="0.55000000000000004">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c r="AZ321" s="102"/>
      <c r="BA321" s="102"/>
      <c r="BB321" s="102"/>
      <c r="BC321" s="102"/>
      <c r="BD321" s="102"/>
      <c r="BE321" s="102"/>
      <c r="BF321" s="102"/>
      <c r="BG321" s="102"/>
      <c r="BH321" s="102"/>
      <c r="BI321" s="102"/>
      <c r="BJ321" s="102"/>
      <c r="BK321" s="102"/>
      <c r="BL321" s="102"/>
      <c r="BM321" s="102"/>
      <c r="BN321" s="102"/>
      <c r="BO321" s="102"/>
      <c r="BP321" s="102"/>
      <c r="BQ321" s="102"/>
      <c r="BR321" s="102"/>
      <c r="BS321" s="102"/>
      <c r="BT321" s="102"/>
      <c r="BU321" s="102"/>
      <c r="BV321" s="102"/>
      <c r="BW321" s="102"/>
      <c r="BX321" s="102"/>
      <c r="BY321" s="102"/>
      <c r="BZ321" s="102"/>
      <c r="CA321" s="102"/>
      <c r="CB321" s="102"/>
      <c r="CC321" s="102"/>
      <c r="CD321" s="102"/>
      <c r="CE321" s="102"/>
      <c r="CF321" s="102"/>
      <c r="CG321" s="102"/>
      <c r="CH321" s="102"/>
      <c r="CI321" s="102"/>
      <c r="CJ321" s="102"/>
      <c r="CK321" s="102"/>
      <c r="CL321" s="102"/>
      <c r="CM321" s="102"/>
      <c r="CN321" s="102"/>
      <c r="CO321" s="102"/>
      <c r="CP321" s="102"/>
      <c r="CQ321" s="102"/>
      <c r="CR321" s="102"/>
      <c r="CS321" s="102"/>
      <c r="CT321" s="102"/>
      <c r="CU321" s="102"/>
      <c r="CV321" s="102"/>
      <c r="CW321" s="102"/>
      <c r="CX321" s="102"/>
      <c r="CY321" s="102"/>
      <c r="CZ321" s="102"/>
      <c r="DA321" s="102"/>
      <c r="DB321" s="102"/>
      <c r="DC321" s="102"/>
      <c r="DD321" s="102"/>
      <c r="DE321" s="102"/>
      <c r="DF321" s="102"/>
      <c r="DG321" s="102"/>
      <c r="DH321" s="102"/>
      <c r="DI321" s="102"/>
      <c r="DJ321" s="102"/>
      <c r="DK321" s="102"/>
      <c r="DL321" s="102"/>
      <c r="DM321" s="102"/>
      <c r="DN321" s="102"/>
      <c r="DO321" s="102"/>
      <c r="DP321" s="102"/>
      <c r="DQ321" s="102"/>
      <c r="DR321" s="102"/>
      <c r="DS321" s="102"/>
      <c r="DT321" s="105"/>
      <c r="DU321" s="102"/>
      <c r="DV321" s="102"/>
      <c r="DW321" s="102"/>
      <c r="DX321" s="102"/>
      <c r="DY321" s="102"/>
      <c r="DZ321" s="102"/>
      <c r="EA321" s="102"/>
      <c r="EB321" s="102"/>
      <c r="EC321" s="102"/>
      <c r="ED321" s="102"/>
      <c r="EE321" s="102"/>
      <c r="EF321" s="102"/>
      <c r="EG321" s="102"/>
      <c r="EH321" s="102"/>
      <c r="EI321" s="102"/>
      <c r="EJ321" s="102"/>
      <c r="EK321" s="102"/>
      <c r="EL321" s="102"/>
      <c r="EM321" s="102"/>
    </row>
    <row r="322" spans="1:143" ht="15.75" customHeight="1" x14ac:dyDescent="0.55000000000000004">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c r="AZ322" s="102"/>
      <c r="BA322" s="102"/>
      <c r="BB322" s="102"/>
      <c r="BC322" s="102"/>
      <c r="BD322" s="102"/>
      <c r="BE322" s="102"/>
      <c r="BF322" s="102"/>
      <c r="BG322" s="102"/>
      <c r="BH322" s="102"/>
      <c r="BI322" s="102"/>
      <c r="BJ322" s="102"/>
      <c r="BK322" s="102"/>
      <c r="BL322" s="102"/>
      <c r="BM322" s="102"/>
      <c r="BN322" s="102"/>
      <c r="BO322" s="102"/>
      <c r="BP322" s="102"/>
      <c r="BQ322" s="102"/>
      <c r="BR322" s="102"/>
      <c r="BS322" s="102"/>
      <c r="BT322" s="102"/>
      <c r="BU322" s="102"/>
      <c r="BV322" s="102"/>
      <c r="BW322" s="102"/>
      <c r="BX322" s="102"/>
      <c r="BY322" s="102"/>
      <c r="BZ322" s="102"/>
      <c r="CA322" s="102"/>
      <c r="CB322" s="102"/>
      <c r="CC322" s="102"/>
      <c r="CD322" s="102"/>
      <c r="CE322" s="102"/>
      <c r="CF322" s="102"/>
      <c r="CG322" s="102"/>
      <c r="CH322" s="102"/>
      <c r="CI322" s="102"/>
      <c r="CJ322" s="102"/>
      <c r="CK322" s="102"/>
      <c r="CL322" s="102"/>
      <c r="CM322" s="102"/>
      <c r="CN322" s="102"/>
      <c r="CO322" s="102"/>
      <c r="CP322" s="102"/>
      <c r="CQ322" s="102"/>
      <c r="CR322" s="102"/>
      <c r="CS322" s="102"/>
      <c r="CT322" s="102"/>
      <c r="CU322" s="102"/>
      <c r="CV322" s="102"/>
      <c r="CW322" s="102"/>
      <c r="CX322" s="102"/>
      <c r="CY322" s="102"/>
      <c r="CZ322" s="102"/>
      <c r="DA322" s="102"/>
      <c r="DB322" s="102"/>
      <c r="DC322" s="102"/>
      <c r="DD322" s="102"/>
      <c r="DE322" s="102"/>
      <c r="DF322" s="102"/>
      <c r="DG322" s="102"/>
      <c r="DH322" s="102"/>
      <c r="DI322" s="102"/>
      <c r="DJ322" s="102"/>
      <c r="DK322" s="102"/>
      <c r="DL322" s="102"/>
      <c r="DM322" s="102"/>
      <c r="DN322" s="102"/>
      <c r="DO322" s="102"/>
      <c r="DP322" s="102"/>
      <c r="DQ322" s="102"/>
      <c r="DR322" s="102"/>
      <c r="DS322" s="102"/>
      <c r="DT322" s="105"/>
      <c r="DU322" s="102"/>
      <c r="DV322" s="102"/>
      <c r="DW322" s="102"/>
      <c r="DX322" s="102"/>
      <c r="DY322" s="102"/>
      <c r="DZ322" s="102"/>
      <c r="EA322" s="102"/>
      <c r="EB322" s="102"/>
      <c r="EC322" s="102"/>
      <c r="ED322" s="102"/>
      <c r="EE322" s="102"/>
      <c r="EF322" s="102"/>
      <c r="EG322" s="102"/>
      <c r="EH322" s="102"/>
      <c r="EI322" s="102"/>
      <c r="EJ322" s="102"/>
      <c r="EK322" s="102"/>
      <c r="EL322" s="102"/>
      <c r="EM322" s="102"/>
    </row>
    <row r="323" spans="1:143" ht="15.75" customHeight="1" x14ac:dyDescent="0.55000000000000004">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c r="AZ323" s="102"/>
      <c r="BA323" s="102"/>
      <c r="BB323" s="102"/>
      <c r="BC323" s="102"/>
      <c r="BD323" s="102"/>
      <c r="BE323" s="102"/>
      <c r="BF323" s="102"/>
      <c r="BG323" s="102"/>
      <c r="BH323" s="102"/>
      <c r="BI323" s="102"/>
      <c r="BJ323" s="102"/>
      <c r="BK323" s="102"/>
      <c r="BL323" s="102"/>
      <c r="BM323" s="102"/>
      <c r="BN323" s="102"/>
      <c r="BO323" s="102"/>
      <c r="BP323" s="102"/>
      <c r="BQ323" s="102"/>
      <c r="BR323" s="102"/>
      <c r="BS323" s="102"/>
      <c r="BT323" s="102"/>
      <c r="BU323" s="102"/>
      <c r="BV323" s="102"/>
      <c r="BW323" s="102"/>
      <c r="BX323" s="102"/>
      <c r="BY323" s="102"/>
      <c r="BZ323" s="102"/>
      <c r="CA323" s="102"/>
      <c r="CB323" s="102"/>
      <c r="CC323" s="102"/>
      <c r="CD323" s="102"/>
      <c r="CE323" s="102"/>
      <c r="CF323" s="102"/>
      <c r="CG323" s="102"/>
      <c r="CH323" s="102"/>
      <c r="CI323" s="102"/>
      <c r="CJ323" s="102"/>
      <c r="CK323" s="102"/>
      <c r="CL323" s="102"/>
      <c r="CM323" s="102"/>
      <c r="CN323" s="102"/>
      <c r="CO323" s="102"/>
      <c r="CP323" s="102"/>
      <c r="CQ323" s="102"/>
      <c r="CR323" s="102"/>
      <c r="CS323" s="102"/>
      <c r="CT323" s="102"/>
      <c r="CU323" s="102"/>
      <c r="CV323" s="102"/>
      <c r="CW323" s="102"/>
      <c r="CX323" s="102"/>
      <c r="CY323" s="102"/>
      <c r="CZ323" s="102"/>
      <c r="DA323" s="102"/>
      <c r="DB323" s="102"/>
      <c r="DC323" s="102"/>
      <c r="DD323" s="102"/>
      <c r="DE323" s="102"/>
      <c r="DF323" s="102"/>
      <c r="DG323" s="102"/>
      <c r="DH323" s="102"/>
      <c r="DI323" s="102"/>
      <c r="DJ323" s="102"/>
      <c r="DK323" s="102"/>
      <c r="DL323" s="102"/>
      <c r="DM323" s="102"/>
      <c r="DN323" s="102"/>
      <c r="DO323" s="102"/>
      <c r="DP323" s="102"/>
      <c r="DQ323" s="102"/>
      <c r="DR323" s="102"/>
      <c r="DS323" s="102"/>
      <c r="DT323" s="105"/>
      <c r="DU323" s="102"/>
      <c r="DV323" s="102"/>
      <c r="DW323" s="102"/>
      <c r="DX323" s="102"/>
      <c r="DY323" s="102"/>
      <c r="DZ323" s="102"/>
      <c r="EA323" s="102"/>
      <c r="EB323" s="102"/>
      <c r="EC323" s="102"/>
      <c r="ED323" s="102"/>
      <c r="EE323" s="102"/>
      <c r="EF323" s="102"/>
      <c r="EG323" s="102"/>
      <c r="EH323" s="102"/>
      <c r="EI323" s="102"/>
      <c r="EJ323" s="102"/>
      <c r="EK323" s="102"/>
      <c r="EL323" s="102"/>
      <c r="EM323" s="102"/>
    </row>
    <row r="324" spans="1:143" ht="15.75" customHeight="1" x14ac:dyDescent="0.5500000000000000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c r="AZ324" s="102"/>
      <c r="BA324" s="102"/>
      <c r="BB324" s="102"/>
      <c r="BC324" s="102"/>
      <c r="BD324" s="102"/>
      <c r="BE324" s="102"/>
      <c r="BF324" s="102"/>
      <c r="BG324" s="102"/>
      <c r="BH324" s="102"/>
      <c r="BI324" s="102"/>
      <c r="BJ324" s="102"/>
      <c r="BK324" s="102"/>
      <c r="BL324" s="102"/>
      <c r="BM324" s="102"/>
      <c r="BN324" s="102"/>
      <c r="BO324" s="102"/>
      <c r="BP324" s="102"/>
      <c r="BQ324" s="102"/>
      <c r="BR324" s="102"/>
      <c r="BS324" s="102"/>
      <c r="BT324" s="102"/>
      <c r="BU324" s="102"/>
      <c r="BV324" s="102"/>
      <c r="BW324" s="102"/>
      <c r="BX324" s="102"/>
      <c r="BY324" s="102"/>
      <c r="BZ324" s="102"/>
      <c r="CA324" s="102"/>
      <c r="CB324" s="102"/>
      <c r="CC324" s="102"/>
      <c r="CD324" s="102"/>
      <c r="CE324" s="102"/>
      <c r="CF324" s="102"/>
      <c r="CG324" s="102"/>
      <c r="CH324" s="102"/>
      <c r="CI324" s="102"/>
      <c r="CJ324" s="102"/>
      <c r="CK324" s="102"/>
      <c r="CL324" s="102"/>
      <c r="CM324" s="102"/>
      <c r="CN324" s="102"/>
      <c r="CO324" s="102"/>
      <c r="CP324" s="102"/>
      <c r="CQ324" s="102"/>
      <c r="CR324" s="102"/>
      <c r="CS324" s="102"/>
      <c r="CT324" s="102"/>
      <c r="CU324" s="102"/>
      <c r="CV324" s="102"/>
      <c r="CW324" s="102"/>
      <c r="CX324" s="102"/>
      <c r="CY324" s="102"/>
      <c r="CZ324" s="102"/>
      <c r="DA324" s="102"/>
      <c r="DB324" s="102"/>
      <c r="DC324" s="102"/>
      <c r="DD324" s="102"/>
      <c r="DE324" s="102"/>
      <c r="DF324" s="102"/>
      <c r="DG324" s="102"/>
      <c r="DH324" s="102"/>
      <c r="DI324" s="102"/>
      <c r="DJ324" s="102"/>
      <c r="DK324" s="102"/>
      <c r="DL324" s="102"/>
      <c r="DM324" s="102"/>
      <c r="DN324" s="102"/>
      <c r="DO324" s="102"/>
      <c r="DP324" s="102"/>
      <c r="DQ324" s="102"/>
      <c r="DR324" s="102"/>
      <c r="DS324" s="102"/>
      <c r="DT324" s="105"/>
      <c r="DU324" s="102"/>
      <c r="DV324" s="102"/>
      <c r="DW324" s="102"/>
      <c r="DX324" s="102"/>
      <c r="DY324" s="102"/>
      <c r="DZ324" s="102"/>
      <c r="EA324" s="102"/>
      <c r="EB324" s="102"/>
      <c r="EC324" s="102"/>
      <c r="ED324" s="102"/>
      <c r="EE324" s="102"/>
      <c r="EF324" s="102"/>
      <c r="EG324" s="102"/>
      <c r="EH324" s="102"/>
      <c r="EI324" s="102"/>
      <c r="EJ324" s="102"/>
      <c r="EK324" s="102"/>
      <c r="EL324" s="102"/>
      <c r="EM324" s="102"/>
    </row>
    <row r="325" spans="1:143" ht="15.75" customHeight="1" x14ac:dyDescent="0.55000000000000004">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c r="AZ325" s="102"/>
      <c r="BA325" s="102"/>
      <c r="BB325" s="102"/>
      <c r="BC325" s="102"/>
      <c r="BD325" s="102"/>
      <c r="BE325" s="102"/>
      <c r="BF325" s="102"/>
      <c r="BG325" s="102"/>
      <c r="BH325" s="102"/>
      <c r="BI325" s="102"/>
      <c r="BJ325" s="102"/>
      <c r="BK325" s="102"/>
      <c r="BL325" s="102"/>
      <c r="BM325" s="102"/>
      <c r="BN325" s="102"/>
      <c r="BO325" s="102"/>
      <c r="BP325" s="102"/>
      <c r="BQ325" s="102"/>
      <c r="BR325" s="102"/>
      <c r="BS325" s="102"/>
      <c r="BT325" s="102"/>
      <c r="BU325" s="102"/>
      <c r="BV325" s="102"/>
      <c r="BW325" s="102"/>
      <c r="BX325" s="102"/>
      <c r="BY325" s="102"/>
      <c r="BZ325" s="102"/>
      <c r="CA325" s="102"/>
      <c r="CB325" s="102"/>
      <c r="CC325" s="102"/>
      <c r="CD325" s="102"/>
      <c r="CE325" s="102"/>
      <c r="CF325" s="102"/>
      <c r="CG325" s="102"/>
      <c r="CH325" s="102"/>
      <c r="CI325" s="102"/>
      <c r="CJ325" s="102"/>
      <c r="CK325" s="102"/>
      <c r="CL325" s="102"/>
      <c r="CM325" s="102"/>
      <c r="CN325" s="102"/>
      <c r="CO325" s="102"/>
      <c r="CP325" s="102"/>
      <c r="CQ325" s="102"/>
      <c r="CR325" s="102"/>
      <c r="CS325" s="102"/>
      <c r="CT325" s="102"/>
      <c r="CU325" s="102"/>
      <c r="CV325" s="102"/>
      <c r="CW325" s="102"/>
      <c r="CX325" s="102"/>
      <c r="CY325" s="102"/>
      <c r="CZ325" s="102"/>
      <c r="DA325" s="102"/>
      <c r="DB325" s="102"/>
      <c r="DC325" s="102"/>
      <c r="DD325" s="102"/>
      <c r="DE325" s="102"/>
      <c r="DF325" s="102"/>
      <c r="DG325" s="102"/>
      <c r="DH325" s="102"/>
      <c r="DI325" s="102"/>
      <c r="DJ325" s="102"/>
      <c r="DK325" s="102"/>
      <c r="DL325" s="102"/>
      <c r="DM325" s="102"/>
      <c r="DN325" s="102"/>
      <c r="DO325" s="102"/>
      <c r="DP325" s="102"/>
      <c r="DQ325" s="102"/>
      <c r="DR325" s="102"/>
      <c r="DS325" s="102"/>
      <c r="DT325" s="105"/>
      <c r="DU325" s="102"/>
      <c r="DV325" s="102"/>
      <c r="DW325" s="102"/>
      <c r="DX325" s="102"/>
      <c r="DY325" s="102"/>
      <c r="DZ325" s="102"/>
      <c r="EA325" s="102"/>
      <c r="EB325" s="102"/>
      <c r="EC325" s="102"/>
      <c r="ED325" s="102"/>
      <c r="EE325" s="102"/>
      <c r="EF325" s="102"/>
      <c r="EG325" s="102"/>
      <c r="EH325" s="102"/>
      <c r="EI325" s="102"/>
      <c r="EJ325" s="102"/>
      <c r="EK325" s="102"/>
      <c r="EL325" s="102"/>
      <c r="EM325" s="102"/>
    </row>
    <row r="326" spans="1:143" ht="15.75" customHeight="1" x14ac:dyDescent="0.55000000000000004">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c r="AZ326" s="102"/>
      <c r="BA326" s="102"/>
      <c r="BB326" s="102"/>
      <c r="BC326" s="102"/>
      <c r="BD326" s="102"/>
      <c r="BE326" s="102"/>
      <c r="BF326" s="102"/>
      <c r="BG326" s="102"/>
      <c r="BH326" s="102"/>
      <c r="BI326" s="102"/>
      <c r="BJ326" s="102"/>
      <c r="BK326" s="102"/>
      <c r="BL326" s="102"/>
      <c r="BM326" s="102"/>
      <c r="BN326" s="102"/>
      <c r="BO326" s="102"/>
      <c r="BP326" s="102"/>
      <c r="BQ326" s="102"/>
      <c r="BR326" s="102"/>
      <c r="BS326" s="102"/>
      <c r="BT326" s="102"/>
      <c r="BU326" s="102"/>
      <c r="BV326" s="102"/>
      <c r="BW326" s="102"/>
      <c r="BX326" s="102"/>
      <c r="BY326" s="102"/>
      <c r="BZ326" s="102"/>
      <c r="CA326" s="102"/>
      <c r="CB326" s="102"/>
      <c r="CC326" s="102"/>
      <c r="CD326" s="102"/>
      <c r="CE326" s="102"/>
      <c r="CF326" s="102"/>
      <c r="CG326" s="102"/>
      <c r="CH326" s="102"/>
      <c r="CI326" s="102"/>
      <c r="CJ326" s="102"/>
      <c r="CK326" s="102"/>
      <c r="CL326" s="102"/>
      <c r="CM326" s="102"/>
      <c r="CN326" s="102"/>
      <c r="CO326" s="102"/>
      <c r="CP326" s="102"/>
      <c r="CQ326" s="102"/>
      <c r="CR326" s="102"/>
      <c r="CS326" s="102"/>
      <c r="CT326" s="102"/>
      <c r="CU326" s="102"/>
      <c r="CV326" s="102"/>
      <c r="CW326" s="102"/>
      <c r="CX326" s="102"/>
      <c r="CY326" s="102"/>
      <c r="CZ326" s="102"/>
      <c r="DA326" s="102"/>
      <c r="DB326" s="102"/>
      <c r="DC326" s="102"/>
      <c r="DD326" s="102"/>
      <c r="DE326" s="102"/>
      <c r="DF326" s="102"/>
      <c r="DG326" s="102"/>
      <c r="DH326" s="102"/>
      <c r="DI326" s="102"/>
      <c r="DJ326" s="102"/>
      <c r="DK326" s="102"/>
      <c r="DL326" s="102"/>
      <c r="DM326" s="102"/>
      <c r="DN326" s="102"/>
      <c r="DO326" s="102"/>
      <c r="DP326" s="102"/>
      <c r="DQ326" s="102"/>
      <c r="DR326" s="102"/>
      <c r="DS326" s="102"/>
      <c r="DT326" s="105"/>
      <c r="DU326" s="102"/>
      <c r="DV326" s="102"/>
      <c r="DW326" s="102"/>
      <c r="DX326" s="102"/>
      <c r="DY326" s="102"/>
      <c r="DZ326" s="102"/>
      <c r="EA326" s="102"/>
      <c r="EB326" s="102"/>
      <c r="EC326" s="102"/>
      <c r="ED326" s="102"/>
      <c r="EE326" s="102"/>
      <c r="EF326" s="102"/>
      <c r="EG326" s="102"/>
      <c r="EH326" s="102"/>
      <c r="EI326" s="102"/>
      <c r="EJ326" s="102"/>
      <c r="EK326" s="102"/>
      <c r="EL326" s="102"/>
      <c r="EM326" s="102"/>
    </row>
    <row r="327" spans="1:143" ht="15.75" customHeight="1" x14ac:dyDescent="0.55000000000000004">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c r="AZ327" s="102"/>
      <c r="BA327" s="102"/>
      <c r="BB327" s="102"/>
      <c r="BC327" s="102"/>
      <c r="BD327" s="102"/>
      <c r="BE327" s="102"/>
      <c r="BF327" s="102"/>
      <c r="BG327" s="102"/>
      <c r="BH327" s="102"/>
      <c r="BI327" s="102"/>
      <c r="BJ327" s="102"/>
      <c r="BK327" s="102"/>
      <c r="BL327" s="102"/>
      <c r="BM327" s="102"/>
      <c r="BN327" s="102"/>
      <c r="BO327" s="102"/>
      <c r="BP327" s="102"/>
      <c r="BQ327" s="102"/>
      <c r="BR327" s="102"/>
      <c r="BS327" s="102"/>
      <c r="BT327" s="102"/>
      <c r="BU327" s="102"/>
      <c r="BV327" s="102"/>
      <c r="BW327" s="102"/>
      <c r="BX327" s="102"/>
      <c r="BY327" s="102"/>
      <c r="BZ327" s="102"/>
      <c r="CA327" s="102"/>
      <c r="CB327" s="102"/>
      <c r="CC327" s="102"/>
      <c r="CD327" s="102"/>
      <c r="CE327" s="102"/>
      <c r="CF327" s="102"/>
      <c r="CG327" s="102"/>
      <c r="CH327" s="102"/>
      <c r="CI327" s="102"/>
      <c r="CJ327" s="102"/>
      <c r="CK327" s="102"/>
      <c r="CL327" s="102"/>
      <c r="CM327" s="102"/>
      <c r="CN327" s="102"/>
      <c r="CO327" s="102"/>
      <c r="CP327" s="102"/>
      <c r="CQ327" s="102"/>
      <c r="CR327" s="102"/>
      <c r="CS327" s="102"/>
      <c r="CT327" s="102"/>
      <c r="CU327" s="102"/>
      <c r="CV327" s="102"/>
      <c r="CW327" s="102"/>
      <c r="CX327" s="102"/>
      <c r="CY327" s="102"/>
      <c r="CZ327" s="102"/>
      <c r="DA327" s="102"/>
      <c r="DB327" s="102"/>
      <c r="DC327" s="102"/>
      <c r="DD327" s="102"/>
      <c r="DE327" s="102"/>
      <c r="DF327" s="102"/>
      <c r="DG327" s="102"/>
      <c r="DH327" s="102"/>
      <c r="DI327" s="102"/>
      <c r="DJ327" s="102"/>
      <c r="DK327" s="102"/>
      <c r="DL327" s="102"/>
      <c r="DM327" s="102"/>
      <c r="DN327" s="102"/>
      <c r="DO327" s="102"/>
      <c r="DP327" s="102"/>
      <c r="DQ327" s="102"/>
      <c r="DR327" s="102"/>
      <c r="DS327" s="102"/>
      <c r="DT327" s="105"/>
      <c r="DU327" s="102"/>
      <c r="DV327" s="102"/>
      <c r="DW327" s="102"/>
      <c r="DX327" s="102"/>
      <c r="DY327" s="102"/>
      <c r="DZ327" s="102"/>
      <c r="EA327" s="102"/>
      <c r="EB327" s="102"/>
      <c r="EC327" s="102"/>
      <c r="ED327" s="102"/>
      <c r="EE327" s="102"/>
      <c r="EF327" s="102"/>
      <c r="EG327" s="102"/>
      <c r="EH327" s="102"/>
      <c r="EI327" s="102"/>
      <c r="EJ327" s="102"/>
      <c r="EK327" s="102"/>
      <c r="EL327" s="102"/>
      <c r="EM327" s="102"/>
    </row>
    <row r="328" spans="1:143" ht="15.75" customHeight="1" x14ac:dyDescent="0.55000000000000004">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c r="AZ328" s="102"/>
      <c r="BA328" s="102"/>
      <c r="BB328" s="102"/>
      <c r="BC328" s="102"/>
      <c r="BD328" s="102"/>
      <c r="BE328" s="102"/>
      <c r="BF328" s="102"/>
      <c r="BG328" s="102"/>
      <c r="BH328" s="102"/>
      <c r="BI328" s="102"/>
      <c r="BJ328" s="102"/>
      <c r="BK328" s="102"/>
      <c r="BL328" s="102"/>
      <c r="BM328" s="102"/>
      <c r="BN328" s="102"/>
      <c r="BO328" s="102"/>
      <c r="BP328" s="102"/>
      <c r="BQ328" s="102"/>
      <c r="BR328" s="102"/>
      <c r="BS328" s="102"/>
      <c r="BT328" s="102"/>
      <c r="BU328" s="102"/>
      <c r="BV328" s="102"/>
      <c r="BW328" s="102"/>
      <c r="BX328" s="102"/>
      <c r="BY328" s="102"/>
      <c r="BZ328" s="102"/>
      <c r="CA328" s="102"/>
      <c r="CB328" s="102"/>
      <c r="CC328" s="102"/>
      <c r="CD328" s="102"/>
      <c r="CE328" s="102"/>
      <c r="CF328" s="102"/>
      <c r="CG328" s="102"/>
      <c r="CH328" s="102"/>
      <c r="CI328" s="102"/>
      <c r="CJ328" s="102"/>
      <c r="CK328" s="102"/>
      <c r="CL328" s="102"/>
      <c r="CM328" s="102"/>
      <c r="CN328" s="102"/>
      <c r="CO328" s="102"/>
      <c r="CP328" s="102"/>
      <c r="CQ328" s="102"/>
      <c r="CR328" s="102"/>
      <c r="CS328" s="102"/>
      <c r="CT328" s="102"/>
      <c r="CU328" s="102"/>
      <c r="CV328" s="102"/>
      <c r="CW328" s="102"/>
      <c r="CX328" s="102"/>
      <c r="CY328" s="102"/>
      <c r="CZ328" s="102"/>
      <c r="DA328" s="102"/>
      <c r="DB328" s="102"/>
      <c r="DC328" s="102"/>
      <c r="DD328" s="102"/>
      <c r="DE328" s="102"/>
      <c r="DF328" s="102"/>
      <c r="DG328" s="102"/>
      <c r="DH328" s="102"/>
      <c r="DI328" s="102"/>
      <c r="DJ328" s="102"/>
      <c r="DK328" s="102"/>
      <c r="DL328" s="102"/>
      <c r="DM328" s="102"/>
      <c r="DN328" s="102"/>
      <c r="DO328" s="102"/>
      <c r="DP328" s="102"/>
      <c r="DQ328" s="102"/>
      <c r="DR328" s="102"/>
      <c r="DS328" s="102"/>
      <c r="DT328" s="105"/>
      <c r="DU328" s="102"/>
      <c r="DV328" s="102"/>
      <c r="DW328" s="102"/>
      <c r="DX328" s="102"/>
      <c r="DY328" s="102"/>
      <c r="DZ328" s="102"/>
      <c r="EA328" s="102"/>
      <c r="EB328" s="102"/>
      <c r="EC328" s="102"/>
      <c r="ED328" s="102"/>
      <c r="EE328" s="102"/>
      <c r="EF328" s="102"/>
      <c r="EG328" s="102"/>
      <c r="EH328" s="102"/>
      <c r="EI328" s="102"/>
      <c r="EJ328" s="102"/>
      <c r="EK328" s="102"/>
      <c r="EL328" s="102"/>
      <c r="EM328" s="102"/>
    </row>
    <row r="329" spans="1:143" ht="15.75" customHeight="1" x14ac:dyDescent="0.55000000000000004">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c r="AZ329" s="102"/>
      <c r="BA329" s="102"/>
      <c r="BB329" s="102"/>
      <c r="BC329" s="102"/>
      <c r="BD329" s="102"/>
      <c r="BE329" s="102"/>
      <c r="BF329" s="102"/>
      <c r="BG329" s="102"/>
      <c r="BH329" s="102"/>
      <c r="BI329" s="102"/>
      <c r="BJ329" s="102"/>
      <c r="BK329" s="102"/>
      <c r="BL329" s="102"/>
      <c r="BM329" s="102"/>
      <c r="BN329" s="102"/>
      <c r="BO329" s="102"/>
      <c r="BP329" s="102"/>
      <c r="BQ329" s="102"/>
      <c r="BR329" s="102"/>
      <c r="BS329" s="102"/>
      <c r="BT329" s="102"/>
      <c r="BU329" s="102"/>
      <c r="BV329" s="102"/>
      <c r="BW329" s="102"/>
      <c r="BX329" s="102"/>
      <c r="BY329" s="102"/>
      <c r="BZ329" s="102"/>
      <c r="CA329" s="102"/>
      <c r="CB329" s="102"/>
      <c r="CC329" s="102"/>
      <c r="CD329" s="102"/>
      <c r="CE329" s="102"/>
      <c r="CF329" s="102"/>
      <c r="CG329" s="102"/>
      <c r="CH329" s="102"/>
      <c r="CI329" s="102"/>
      <c r="CJ329" s="102"/>
      <c r="CK329" s="102"/>
      <c r="CL329" s="102"/>
      <c r="CM329" s="102"/>
      <c r="CN329" s="102"/>
      <c r="CO329" s="102"/>
      <c r="CP329" s="102"/>
      <c r="CQ329" s="102"/>
      <c r="CR329" s="102"/>
      <c r="CS329" s="102"/>
      <c r="CT329" s="102"/>
      <c r="CU329" s="102"/>
      <c r="CV329" s="102"/>
      <c r="CW329" s="102"/>
      <c r="CX329" s="102"/>
      <c r="CY329" s="102"/>
      <c r="CZ329" s="102"/>
      <c r="DA329" s="102"/>
      <c r="DB329" s="102"/>
      <c r="DC329" s="102"/>
      <c r="DD329" s="102"/>
      <c r="DE329" s="102"/>
      <c r="DF329" s="102"/>
      <c r="DG329" s="102"/>
      <c r="DH329" s="102"/>
      <c r="DI329" s="102"/>
      <c r="DJ329" s="102"/>
      <c r="DK329" s="102"/>
      <c r="DL329" s="102"/>
      <c r="DM329" s="102"/>
      <c r="DN329" s="102"/>
      <c r="DO329" s="102"/>
      <c r="DP329" s="102"/>
      <c r="DQ329" s="102"/>
      <c r="DR329" s="102"/>
      <c r="DS329" s="102"/>
      <c r="DT329" s="105"/>
      <c r="DU329" s="102"/>
      <c r="DV329" s="102"/>
      <c r="DW329" s="102"/>
      <c r="DX329" s="102"/>
      <c r="DY329" s="102"/>
      <c r="DZ329" s="102"/>
      <c r="EA329" s="102"/>
      <c r="EB329" s="102"/>
      <c r="EC329" s="102"/>
      <c r="ED329" s="102"/>
      <c r="EE329" s="102"/>
      <c r="EF329" s="102"/>
      <c r="EG329" s="102"/>
      <c r="EH329" s="102"/>
      <c r="EI329" s="102"/>
      <c r="EJ329" s="102"/>
      <c r="EK329" s="102"/>
      <c r="EL329" s="102"/>
      <c r="EM329" s="102"/>
    </row>
    <row r="330" spans="1:143" ht="15.75" customHeight="1" x14ac:dyDescent="0.55000000000000004">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c r="AZ330" s="102"/>
      <c r="BA330" s="102"/>
      <c r="BB330" s="102"/>
      <c r="BC330" s="102"/>
      <c r="BD330" s="102"/>
      <c r="BE330" s="102"/>
      <c r="BF330" s="102"/>
      <c r="BG330" s="102"/>
      <c r="BH330" s="102"/>
      <c r="BI330" s="102"/>
      <c r="BJ330" s="102"/>
      <c r="BK330" s="102"/>
      <c r="BL330" s="102"/>
      <c r="BM330" s="102"/>
      <c r="BN330" s="102"/>
      <c r="BO330" s="102"/>
      <c r="BP330" s="102"/>
      <c r="BQ330" s="102"/>
      <c r="BR330" s="102"/>
      <c r="BS330" s="102"/>
      <c r="BT330" s="102"/>
      <c r="BU330" s="102"/>
      <c r="BV330" s="102"/>
      <c r="BW330" s="102"/>
      <c r="BX330" s="102"/>
      <c r="BY330" s="102"/>
      <c r="BZ330" s="102"/>
      <c r="CA330" s="102"/>
      <c r="CB330" s="102"/>
      <c r="CC330" s="102"/>
      <c r="CD330" s="102"/>
      <c r="CE330" s="102"/>
      <c r="CF330" s="102"/>
      <c r="CG330" s="102"/>
      <c r="CH330" s="102"/>
      <c r="CI330" s="102"/>
      <c r="CJ330" s="102"/>
      <c r="CK330" s="102"/>
      <c r="CL330" s="102"/>
      <c r="CM330" s="102"/>
      <c r="CN330" s="102"/>
      <c r="CO330" s="102"/>
      <c r="CP330" s="102"/>
      <c r="CQ330" s="102"/>
      <c r="CR330" s="102"/>
      <c r="CS330" s="102"/>
      <c r="CT330" s="102"/>
      <c r="CU330" s="102"/>
      <c r="CV330" s="102"/>
      <c r="CW330" s="102"/>
      <c r="CX330" s="102"/>
      <c r="CY330" s="102"/>
      <c r="CZ330" s="102"/>
      <c r="DA330" s="102"/>
      <c r="DB330" s="102"/>
      <c r="DC330" s="102"/>
      <c r="DD330" s="102"/>
      <c r="DE330" s="102"/>
      <c r="DF330" s="102"/>
      <c r="DG330" s="102"/>
      <c r="DH330" s="102"/>
      <c r="DI330" s="102"/>
      <c r="DJ330" s="102"/>
      <c r="DK330" s="102"/>
      <c r="DL330" s="102"/>
      <c r="DM330" s="102"/>
      <c r="DN330" s="102"/>
      <c r="DO330" s="102"/>
      <c r="DP330" s="102"/>
      <c r="DQ330" s="102"/>
      <c r="DR330" s="102"/>
      <c r="DS330" s="102"/>
      <c r="DT330" s="105"/>
      <c r="DU330" s="102"/>
      <c r="DV330" s="102"/>
      <c r="DW330" s="102"/>
      <c r="DX330" s="102"/>
      <c r="DY330" s="102"/>
      <c r="DZ330" s="102"/>
      <c r="EA330" s="102"/>
      <c r="EB330" s="102"/>
      <c r="EC330" s="102"/>
      <c r="ED330" s="102"/>
      <c r="EE330" s="102"/>
      <c r="EF330" s="102"/>
      <c r="EG330" s="102"/>
      <c r="EH330" s="102"/>
      <c r="EI330" s="102"/>
      <c r="EJ330" s="102"/>
      <c r="EK330" s="102"/>
      <c r="EL330" s="102"/>
      <c r="EM330" s="102"/>
    </row>
    <row r="331" spans="1:143" ht="15.75" customHeight="1" x14ac:dyDescent="0.55000000000000004">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c r="AZ331" s="102"/>
      <c r="BA331" s="102"/>
      <c r="BB331" s="102"/>
      <c r="BC331" s="102"/>
      <c r="BD331" s="102"/>
      <c r="BE331" s="102"/>
      <c r="BF331" s="102"/>
      <c r="BG331" s="102"/>
      <c r="BH331" s="102"/>
      <c r="BI331" s="102"/>
      <c r="BJ331" s="102"/>
      <c r="BK331" s="102"/>
      <c r="BL331" s="102"/>
      <c r="BM331" s="102"/>
      <c r="BN331" s="102"/>
      <c r="BO331" s="102"/>
      <c r="BP331" s="102"/>
      <c r="BQ331" s="102"/>
      <c r="BR331" s="102"/>
      <c r="BS331" s="102"/>
      <c r="BT331" s="102"/>
      <c r="BU331" s="102"/>
      <c r="BV331" s="102"/>
      <c r="BW331" s="102"/>
      <c r="BX331" s="102"/>
      <c r="BY331" s="102"/>
      <c r="BZ331" s="102"/>
      <c r="CA331" s="102"/>
      <c r="CB331" s="102"/>
      <c r="CC331" s="102"/>
      <c r="CD331" s="102"/>
      <c r="CE331" s="102"/>
      <c r="CF331" s="102"/>
      <c r="CG331" s="102"/>
      <c r="CH331" s="102"/>
      <c r="CI331" s="102"/>
      <c r="CJ331" s="102"/>
      <c r="CK331" s="102"/>
      <c r="CL331" s="102"/>
      <c r="CM331" s="102"/>
      <c r="CN331" s="102"/>
      <c r="CO331" s="102"/>
      <c r="CP331" s="102"/>
      <c r="CQ331" s="102"/>
      <c r="CR331" s="102"/>
      <c r="CS331" s="102"/>
      <c r="CT331" s="102"/>
      <c r="CU331" s="102"/>
      <c r="CV331" s="102"/>
      <c r="CW331" s="102"/>
      <c r="CX331" s="102"/>
      <c r="CY331" s="102"/>
      <c r="CZ331" s="102"/>
      <c r="DA331" s="102"/>
      <c r="DB331" s="102"/>
      <c r="DC331" s="102"/>
      <c r="DD331" s="102"/>
      <c r="DE331" s="102"/>
      <c r="DF331" s="102"/>
      <c r="DG331" s="102"/>
      <c r="DH331" s="102"/>
      <c r="DI331" s="102"/>
      <c r="DJ331" s="102"/>
      <c r="DK331" s="102"/>
      <c r="DL331" s="102"/>
      <c r="DM331" s="102"/>
      <c r="DN331" s="102"/>
      <c r="DO331" s="102"/>
      <c r="DP331" s="102"/>
      <c r="DQ331" s="102"/>
      <c r="DR331" s="102"/>
      <c r="DS331" s="102"/>
      <c r="DT331" s="105"/>
      <c r="DU331" s="102"/>
      <c r="DV331" s="102"/>
      <c r="DW331" s="102"/>
      <c r="DX331" s="102"/>
      <c r="DY331" s="102"/>
      <c r="DZ331" s="102"/>
      <c r="EA331" s="102"/>
      <c r="EB331" s="102"/>
      <c r="EC331" s="102"/>
      <c r="ED331" s="102"/>
      <c r="EE331" s="102"/>
      <c r="EF331" s="102"/>
      <c r="EG331" s="102"/>
      <c r="EH331" s="102"/>
      <c r="EI331" s="102"/>
      <c r="EJ331" s="102"/>
      <c r="EK331" s="102"/>
      <c r="EL331" s="102"/>
      <c r="EM331" s="102"/>
    </row>
    <row r="332" spans="1:143" ht="15.75" customHeight="1" x14ac:dyDescent="0.55000000000000004">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c r="AZ332" s="102"/>
      <c r="BA332" s="102"/>
      <c r="BB332" s="102"/>
      <c r="BC332" s="102"/>
      <c r="BD332" s="102"/>
      <c r="BE332" s="102"/>
      <c r="BF332" s="102"/>
      <c r="BG332" s="102"/>
      <c r="BH332" s="102"/>
      <c r="BI332" s="102"/>
      <c r="BJ332" s="102"/>
      <c r="BK332" s="102"/>
      <c r="BL332" s="102"/>
      <c r="BM332" s="102"/>
      <c r="BN332" s="102"/>
      <c r="BO332" s="102"/>
      <c r="BP332" s="102"/>
      <c r="BQ332" s="102"/>
      <c r="BR332" s="102"/>
      <c r="BS332" s="102"/>
      <c r="BT332" s="102"/>
      <c r="BU332" s="102"/>
      <c r="BV332" s="102"/>
      <c r="BW332" s="102"/>
      <c r="BX332" s="102"/>
      <c r="BY332" s="102"/>
      <c r="BZ332" s="102"/>
      <c r="CA332" s="102"/>
      <c r="CB332" s="102"/>
      <c r="CC332" s="102"/>
      <c r="CD332" s="102"/>
      <c r="CE332" s="102"/>
      <c r="CF332" s="102"/>
      <c r="CG332" s="102"/>
      <c r="CH332" s="102"/>
      <c r="CI332" s="102"/>
      <c r="CJ332" s="102"/>
      <c r="CK332" s="102"/>
      <c r="CL332" s="102"/>
      <c r="CM332" s="102"/>
      <c r="CN332" s="102"/>
      <c r="CO332" s="102"/>
      <c r="CP332" s="102"/>
      <c r="CQ332" s="102"/>
      <c r="CR332" s="102"/>
      <c r="CS332" s="102"/>
      <c r="CT332" s="102"/>
      <c r="CU332" s="102"/>
      <c r="CV332" s="102"/>
      <c r="CW332" s="102"/>
      <c r="CX332" s="102"/>
      <c r="CY332" s="102"/>
      <c r="CZ332" s="102"/>
      <c r="DA332" s="102"/>
      <c r="DB332" s="102"/>
      <c r="DC332" s="102"/>
      <c r="DD332" s="102"/>
      <c r="DE332" s="102"/>
      <c r="DF332" s="102"/>
      <c r="DG332" s="102"/>
      <c r="DH332" s="102"/>
      <c r="DI332" s="102"/>
      <c r="DJ332" s="102"/>
      <c r="DK332" s="102"/>
      <c r="DL332" s="102"/>
      <c r="DM332" s="102"/>
      <c r="DN332" s="102"/>
      <c r="DO332" s="102"/>
      <c r="DP332" s="102"/>
      <c r="DQ332" s="102"/>
      <c r="DR332" s="102"/>
      <c r="DS332" s="102"/>
      <c r="DT332" s="105"/>
      <c r="DU332" s="102"/>
      <c r="DV332" s="102"/>
      <c r="DW332" s="102"/>
      <c r="DX332" s="102"/>
      <c r="DY332" s="102"/>
      <c r="DZ332" s="102"/>
      <c r="EA332" s="102"/>
      <c r="EB332" s="102"/>
      <c r="EC332" s="102"/>
      <c r="ED332" s="102"/>
      <c r="EE332" s="102"/>
      <c r="EF332" s="102"/>
      <c r="EG332" s="102"/>
      <c r="EH332" s="102"/>
      <c r="EI332" s="102"/>
      <c r="EJ332" s="102"/>
      <c r="EK332" s="102"/>
      <c r="EL332" s="102"/>
      <c r="EM332" s="102"/>
    </row>
    <row r="333" spans="1:143" ht="15.75" customHeight="1" x14ac:dyDescent="0.55000000000000004">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c r="AZ333" s="102"/>
      <c r="BA333" s="102"/>
      <c r="BB333" s="102"/>
      <c r="BC333" s="102"/>
      <c r="BD333" s="102"/>
      <c r="BE333" s="102"/>
      <c r="BF333" s="102"/>
      <c r="BG333" s="102"/>
      <c r="BH333" s="102"/>
      <c r="BI333" s="102"/>
      <c r="BJ333" s="102"/>
      <c r="BK333" s="102"/>
      <c r="BL333" s="102"/>
      <c r="BM333" s="102"/>
      <c r="BN333" s="102"/>
      <c r="BO333" s="102"/>
      <c r="BP333" s="102"/>
      <c r="BQ333" s="102"/>
      <c r="BR333" s="102"/>
      <c r="BS333" s="102"/>
      <c r="BT333" s="102"/>
      <c r="BU333" s="102"/>
      <c r="BV333" s="102"/>
      <c r="BW333" s="102"/>
      <c r="BX333" s="102"/>
      <c r="BY333" s="102"/>
      <c r="BZ333" s="102"/>
      <c r="CA333" s="102"/>
      <c r="CB333" s="102"/>
      <c r="CC333" s="102"/>
      <c r="CD333" s="102"/>
      <c r="CE333" s="102"/>
      <c r="CF333" s="102"/>
      <c r="CG333" s="102"/>
      <c r="CH333" s="102"/>
      <c r="CI333" s="102"/>
      <c r="CJ333" s="102"/>
      <c r="CK333" s="102"/>
      <c r="CL333" s="102"/>
      <c r="CM333" s="102"/>
      <c r="CN333" s="102"/>
      <c r="CO333" s="102"/>
      <c r="CP333" s="102"/>
      <c r="CQ333" s="102"/>
      <c r="CR333" s="102"/>
      <c r="CS333" s="102"/>
      <c r="CT333" s="102"/>
      <c r="CU333" s="102"/>
      <c r="CV333" s="102"/>
      <c r="CW333" s="102"/>
      <c r="CX333" s="102"/>
      <c r="CY333" s="102"/>
      <c r="CZ333" s="102"/>
      <c r="DA333" s="102"/>
      <c r="DB333" s="102"/>
      <c r="DC333" s="102"/>
      <c r="DD333" s="102"/>
      <c r="DE333" s="102"/>
      <c r="DF333" s="102"/>
      <c r="DG333" s="102"/>
      <c r="DH333" s="102"/>
      <c r="DI333" s="102"/>
      <c r="DJ333" s="102"/>
      <c r="DK333" s="102"/>
      <c r="DL333" s="102"/>
      <c r="DM333" s="102"/>
      <c r="DN333" s="102"/>
      <c r="DO333" s="102"/>
      <c r="DP333" s="102"/>
      <c r="DQ333" s="102"/>
      <c r="DR333" s="102"/>
      <c r="DS333" s="102"/>
      <c r="DT333" s="105"/>
      <c r="DU333" s="102"/>
      <c r="DV333" s="102"/>
      <c r="DW333" s="102"/>
      <c r="DX333" s="102"/>
      <c r="DY333" s="102"/>
      <c r="DZ333" s="102"/>
      <c r="EA333" s="102"/>
      <c r="EB333" s="102"/>
      <c r="EC333" s="102"/>
      <c r="ED333" s="102"/>
      <c r="EE333" s="102"/>
      <c r="EF333" s="102"/>
      <c r="EG333" s="102"/>
      <c r="EH333" s="102"/>
      <c r="EI333" s="102"/>
      <c r="EJ333" s="102"/>
      <c r="EK333" s="102"/>
      <c r="EL333" s="102"/>
      <c r="EM333" s="102"/>
    </row>
    <row r="334" spans="1:143" ht="15.75" customHeight="1" x14ac:dyDescent="0.5500000000000000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c r="AZ334" s="102"/>
      <c r="BA334" s="102"/>
      <c r="BB334" s="102"/>
      <c r="BC334" s="102"/>
      <c r="BD334" s="102"/>
      <c r="BE334" s="102"/>
      <c r="BF334" s="102"/>
      <c r="BG334" s="102"/>
      <c r="BH334" s="102"/>
      <c r="BI334" s="102"/>
      <c r="BJ334" s="102"/>
      <c r="BK334" s="102"/>
      <c r="BL334" s="102"/>
      <c r="BM334" s="102"/>
      <c r="BN334" s="102"/>
      <c r="BO334" s="102"/>
      <c r="BP334" s="102"/>
      <c r="BQ334" s="102"/>
      <c r="BR334" s="102"/>
      <c r="BS334" s="102"/>
      <c r="BT334" s="102"/>
      <c r="BU334" s="102"/>
      <c r="BV334" s="102"/>
      <c r="BW334" s="102"/>
      <c r="BX334" s="102"/>
      <c r="BY334" s="102"/>
      <c r="BZ334" s="102"/>
      <c r="CA334" s="102"/>
      <c r="CB334" s="102"/>
      <c r="CC334" s="102"/>
      <c r="CD334" s="102"/>
      <c r="CE334" s="102"/>
      <c r="CF334" s="102"/>
      <c r="CG334" s="102"/>
      <c r="CH334" s="102"/>
      <c r="CI334" s="102"/>
      <c r="CJ334" s="102"/>
      <c r="CK334" s="102"/>
      <c r="CL334" s="102"/>
      <c r="CM334" s="102"/>
      <c r="CN334" s="102"/>
      <c r="CO334" s="102"/>
      <c r="CP334" s="102"/>
      <c r="CQ334" s="102"/>
      <c r="CR334" s="102"/>
      <c r="CS334" s="102"/>
      <c r="CT334" s="102"/>
      <c r="CU334" s="102"/>
      <c r="CV334" s="102"/>
      <c r="CW334" s="102"/>
      <c r="CX334" s="102"/>
      <c r="CY334" s="102"/>
      <c r="CZ334" s="102"/>
      <c r="DA334" s="102"/>
      <c r="DB334" s="102"/>
      <c r="DC334" s="102"/>
      <c r="DD334" s="102"/>
      <c r="DE334" s="102"/>
      <c r="DF334" s="102"/>
      <c r="DG334" s="102"/>
      <c r="DH334" s="102"/>
      <c r="DI334" s="102"/>
      <c r="DJ334" s="102"/>
      <c r="DK334" s="102"/>
      <c r="DL334" s="102"/>
      <c r="DM334" s="102"/>
      <c r="DN334" s="102"/>
      <c r="DO334" s="102"/>
      <c r="DP334" s="102"/>
      <c r="DQ334" s="102"/>
      <c r="DR334" s="102"/>
      <c r="DS334" s="102"/>
      <c r="DT334" s="105"/>
      <c r="DU334" s="102"/>
      <c r="DV334" s="102"/>
      <c r="DW334" s="102"/>
      <c r="DX334" s="102"/>
      <c r="DY334" s="102"/>
      <c r="DZ334" s="102"/>
      <c r="EA334" s="102"/>
      <c r="EB334" s="102"/>
      <c r="EC334" s="102"/>
      <c r="ED334" s="102"/>
      <c r="EE334" s="102"/>
      <c r="EF334" s="102"/>
      <c r="EG334" s="102"/>
      <c r="EH334" s="102"/>
      <c r="EI334" s="102"/>
      <c r="EJ334" s="102"/>
      <c r="EK334" s="102"/>
      <c r="EL334" s="102"/>
      <c r="EM334" s="102"/>
    </row>
    <row r="335" spans="1:143" ht="15.75" customHeight="1" x14ac:dyDescent="0.55000000000000004">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c r="AZ335" s="102"/>
      <c r="BA335" s="102"/>
      <c r="BB335" s="102"/>
      <c r="BC335" s="102"/>
      <c r="BD335" s="102"/>
      <c r="BE335" s="102"/>
      <c r="BF335" s="102"/>
      <c r="BG335" s="102"/>
      <c r="BH335" s="102"/>
      <c r="BI335" s="102"/>
      <c r="BJ335" s="102"/>
      <c r="BK335" s="102"/>
      <c r="BL335" s="102"/>
      <c r="BM335" s="102"/>
      <c r="BN335" s="102"/>
      <c r="BO335" s="102"/>
      <c r="BP335" s="102"/>
      <c r="BQ335" s="102"/>
      <c r="BR335" s="102"/>
      <c r="BS335" s="102"/>
      <c r="BT335" s="102"/>
      <c r="BU335" s="102"/>
      <c r="BV335" s="102"/>
      <c r="BW335" s="102"/>
      <c r="BX335" s="102"/>
      <c r="BY335" s="102"/>
      <c r="BZ335" s="102"/>
      <c r="CA335" s="102"/>
      <c r="CB335" s="102"/>
      <c r="CC335" s="102"/>
      <c r="CD335" s="102"/>
      <c r="CE335" s="102"/>
      <c r="CF335" s="102"/>
      <c r="CG335" s="102"/>
      <c r="CH335" s="102"/>
      <c r="CI335" s="102"/>
      <c r="CJ335" s="102"/>
      <c r="CK335" s="102"/>
      <c r="CL335" s="102"/>
      <c r="CM335" s="102"/>
      <c r="CN335" s="102"/>
      <c r="CO335" s="102"/>
      <c r="CP335" s="102"/>
      <c r="CQ335" s="102"/>
      <c r="CR335" s="102"/>
      <c r="CS335" s="102"/>
      <c r="CT335" s="102"/>
      <c r="CU335" s="102"/>
      <c r="CV335" s="102"/>
      <c r="CW335" s="102"/>
      <c r="CX335" s="102"/>
      <c r="CY335" s="102"/>
      <c r="CZ335" s="102"/>
      <c r="DA335" s="102"/>
      <c r="DB335" s="102"/>
      <c r="DC335" s="102"/>
      <c r="DD335" s="102"/>
      <c r="DE335" s="102"/>
      <c r="DF335" s="102"/>
      <c r="DG335" s="102"/>
      <c r="DH335" s="102"/>
      <c r="DI335" s="102"/>
      <c r="DJ335" s="102"/>
      <c r="DK335" s="102"/>
      <c r="DL335" s="102"/>
      <c r="DM335" s="102"/>
      <c r="DN335" s="102"/>
      <c r="DO335" s="102"/>
      <c r="DP335" s="102"/>
      <c r="DQ335" s="102"/>
      <c r="DR335" s="102"/>
      <c r="DS335" s="102"/>
      <c r="DT335" s="105"/>
      <c r="DU335" s="102"/>
      <c r="DV335" s="102"/>
      <c r="DW335" s="102"/>
      <c r="DX335" s="102"/>
      <c r="DY335" s="102"/>
      <c r="DZ335" s="102"/>
      <c r="EA335" s="102"/>
      <c r="EB335" s="102"/>
      <c r="EC335" s="102"/>
      <c r="ED335" s="102"/>
      <c r="EE335" s="102"/>
      <c r="EF335" s="102"/>
      <c r="EG335" s="102"/>
      <c r="EH335" s="102"/>
      <c r="EI335" s="102"/>
      <c r="EJ335" s="102"/>
      <c r="EK335" s="102"/>
      <c r="EL335" s="102"/>
      <c r="EM335" s="102"/>
    </row>
    <row r="336" spans="1:143" ht="15.75" customHeight="1" x14ac:dyDescent="0.55000000000000004">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c r="AZ336" s="102"/>
      <c r="BA336" s="102"/>
      <c r="BB336" s="102"/>
      <c r="BC336" s="102"/>
      <c r="BD336" s="102"/>
      <c r="BE336" s="102"/>
      <c r="BF336" s="102"/>
      <c r="BG336" s="102"/>
      <c r="BH336" s="102"/>
      <c r="BI336" s="102"/>
      <c r="BJ336" s="102"/>
      <c r="BK336" s="102"/>
      <c r="BL336" s="102"/>
      <c r="BM336" s="102"/>
      <c r="BN336" s="102"/>
      <c r="BO336" s="102"/>
      <c r="BP336" s="102"/>
      <c r="BQ336" s="102"/>
      <c r="BR336" s="102"/>
      <c r="BS336" s="102"/>
      <c r="BT336" s="102"/>
      <c r="BU336" s="102"/>
      <c r="BV336" s="102"/>
      <c r="BW336" s="102"/>
      <c r="BX336" s="102"/>
      <c r="BY336" s="102"/>
      <c r="BZ336" s="102"/>
      <c r="CA336" s="102"/>
      <c r="CB336" s="102"/>
      <c r="CC336" s="102"/>
      <c r="CD336" s="102"/>
      <c r="CE336" s="102"/>
      <c r="CF336" s="102"/>
      <c r="CG336" s="102"/>
      <c r="CH336" s="102"/>
      <c r="CI336" s="102"/>
      <c r="CJ336" s="102"/>
      <c r="CK336" s="102"/>
      <c r="CL336" s="102"/>
      <c r="CM336" s="102"/>
      <c r="CN336" s="102"/>
      <c r="CO336" s="102"/>
      <c r="CP336" s="102"/>
      <c r="CQ336" s="102"/>
      <c r="CR336" s="102"/>
      <c r="CS336" s="102"/>
      <c r="CT336" s="102"/>
      <c r="CU336" s="102"/>
      <c r="CV336" s="102"/>
      <c r="CW336" s="102"/>
      <c r="CX336" s="102"/>
      <c r="CY336" s="102"/>
      <c r="CZ336" s="102"/>
      <c r="DA336" s="102"/>
      <c r="DB336" s="102"/>
      <c r="DC336" s="102"/>
      <c r="DD336" s="102"/>
      <c r="DE336" s="102"/>
      <c r="DF336" s="102"/>
      <c r="DG336" s="102"/>
      <c r="DH336" s="102"/>
      <c r="DI336" s="102"/>
      <c r="DJ336" s="102"/>
      <c r="DK336" s="102"/>
      <c r="DL336" s="102"/>
      <c r="DM336" s="102"/>
      <c r="DN336" s="102"/>
      <c r="DO336" s="102"/>
      <c r="DP336" s="102"/>
      <c r="DQ336" s="102"/>
      <c r="DR336" s="102"/>
      <c r="DS336" s="102"/>
      <c r="DT336" s="105"/>
      <c r="DU336" s="102"/>
      <c r="DV336" s="102"/>
      <c r="DW336" s="102"/>
      <c r="DX336" s="102"/>
      <c r="DY336" s="102"/>
      <c r="DZ336" s="102"/>
      <c r="EA336" s="102"/>
      <c r="EB336" s="102"/>
      <c r="EC336" s="102"/>
      <c r="ED336" s="102"/>
      <c r="EE336" s="102"/>
      <c r="EF336" s="102"/>
      <c r="EG336" s="102"/>
      <c r="EH336" s="102"/>
      <c r="EI336" s="102"/>
      <c r="EJ336" s="102"/>
      <c r="EK336" s="102"/>
      <c r="EL336" s="102"/>
      <c r="EM336" s="102"/>
    </row>
    <row r="337" spans="1:143" ht="15.75" customHeight="1" x14ac:dyDescent="0.55000000000000004">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c r="BE337" s="102"/>
      <c r="BF337" s="102"/>
      <c r="BG337" s="102"/>
      <c r="BH337" s="102"/>
      <c r="BI337" s="102"/>
      <c r="BJ337" s="102"/>
      <c r="BK337" s="102"/>
      <c r="BL337" s="102"/>
      <c r="BM337" s="102"/>
      <c r="BN337" s="102"/>
      <c r="BO337" s="102"/>
      <c r="BP337" s="102"/>
      <c r="BQ337" s="102"/>
      <c r="BR337" s="102"/>
      <c r="BS337" s="102"/>
      <c r="BT337" s="102"/>
      <c r="BU337" s="102"/>
      <c r="BV337" s="102"/>
      <c r="BW337" s="102"/>
      <c r="BX337" s="102"/>
      <c r="BY337" s="102"/>
      <c r="BZ337" s="102"/>
      <c r="CA337" s="102"/>
      <c r="CB337" s="102"/>
      <c r="CC337" s="102"/>
      <c r="CD337" s="102"/>
      <c r="CE337" s="102"/>
      <c r="CF337" s="102"/>
      <c r="CG337" s="102"/>
      <c r="CH337" s="102"/>
      <c r="CI337" s="102"/>
      <c r="CJ337" s="102"/>
      <c r="CK337" s="102"/>
      <c r="CL337" s="102"/>
      <c r="CM337" s="102"/>
      <c r="CN337" s="102"/>
      <c r="CO337" s="102"/>
      <c r="CP337" s="102"/>
      <c r="CQ337" s="102"/>
      <c r="CR337" s="102"/>
      <c r="CS337" s="102"/>
      <c r="CT337" s="102"/>
      <c r="CU337" s="102"/>
      <c r="CV337" s="102"/>
      <c r="CW337" s="102"/>
      <c r="CX337" s="102"/>
      <c r="CY337" s="102"/>
      <c r="CZ337" s="102"/>
      <c r="DA337" s="102"/>
      <c r="DB337" s="102"/>
      <c r="DC337" s="102"/>
      <c r="DD337" s="102"/>
      <c r="DE337" s="102"/>
      <c r="DF337" s="102"/>
      <c r="DG337" s="102"/>
      <c r="DH337" s="102"/>
      <c r="DI337" s="102"/>
      <c r="DJ337" s="102"/>
      <c r="DK337" s="102"/>
      <c r="DL337" s="102"/>
      <c r="DM337" s="102"/>
      <c r="DN337" s="102"/>
      <c r="DO337" s="102"/>
      <c r="DP337" s="102"/>
      <c r="DQ337" s="102"/>
      <c r="DR337" s="102"/>
      <c r="DS337" s="102"/>
      <c r="DT337" s="105"/>
      <c r="DU337" s="102"/>
      <c r="DV337" s="102"/>
      <c r="DW337" s="102"/>
      <c r="DX337" s="102"/>
      <c r="DY337" s="102"/>
      <c r="DZ337" s="102"/>
      <c r="EA337" s="102"/>
      <c r="EB337" s="102"/>
      <c r="EC337" s="102"/>
      <c r="ED337" s="102"/>
      <c r="EE337" s="102"/>
      <c r="EF337" s="102"/>
      <c r="EG337" s="102"/>
      <c r="EH337" s="102"/>
      <c r="EI337" s="102"/>
      <c r="EJ337" s="102"/>
      <c r="EK337" s="102"/>
      <c r="EL337" s="102"/>
      <c r="EM337" s="102"/>
    </row>
    <row r="338" spans="1:143" ht="15.75" customHeight="1" x14ac:dyDescent="0.55000000000000004">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c r="AZ338" s="102"/>
      <c r="BA338" s="102"/>
      <c r="BB338" s="102"/>
      <c r="BC338" s="102"/>
      <c r="BD338" s="102"/>
      <c r="BE338" s="102"/>
      <c r="BF338" s="102"/>
      <c r="BG338" s="102"/>
      <c r="BH338" s="102"/>
      <c r="BI338" s="102"/>
      <c r="BJ338" s="102"/>
      <c r="BK338" s="102"/>
      <c r="BL338" s="102"/>
      <c r="BM338" s="102"/>
      <c r="BN338" s="102"/>
      <c r="BO338" s="102"/>
      <c r="BP338" s="102"/>
      <c r="BQ338" s="102"/>
      <c r="BR338" s="102"/>
      <c r="BS338" s="102"/>
      <c r="BT338" s="102"/>
      <c r="BU338" s="102"/>
      <c r="BV338" s="102"/>
      <c r="BW338" s="102"/>
      <c r="BX338" s="102"/>
      <c r="BY338" s="102"/>
      <c r="BZ338" s="102"/>
      <c r="CA338" s="102"/>
      <c r="CB338" s="102"/>
      <c r="CC338" s="102"/>
      <c r="CD338" s="102"/>
      <c r="CE338" s="102"/>
      <c r="CF338" s="102"/>
      <c r="CG338" s="102"/>
      <c r="CH338" s="102"/>
      <c r="CI338" s="102"/>
      <c r="CJ338" s="102"/>
      <c r="CK338" s="102"/>
      <c r="CL338" s="102"/>
      <c r="CM338" s="102"/>
      <c r="CN338" s="102"/>
      <c r="CO338" s="102"/>
      <c r="CP338" s="102"/>
      <c r="CQ338" s="102"/>
      <c r="CR338" s="102"/>
      <c r="CS338" s="102"/>
      <c r="CT338" s="102"/>
      <c r="CU338" s="102"/>
      <c r="CV338" s="102"/>
      <c r="CW338" s="102"/>
      <c r="CX338" s="102"/>
      <c r="CY338" s="102"/>
      <c r="CZ338" s="102"/>
      <c r="DA338" s="102"/>
      <c r="DB338" s="102"/>
      <c r="DC338" s="102"/>
      <c r="DD338" s="102"/>
      <c r="DE338" s="102"/>
      <c r="DF338" s="102"/>
      <c r="DG338" s="102"/>
      <c r="DH338" s="102"/>
      <c r="DI338" s="102"/>
      <c r="DJ338" s="102"/>
      <c r="DK338" s="102"/>
      <c r="DL338" s="102"/>
      <c r="DM338" s="102"/>
      <c r="DN338" s="102"/>
      <c r="DO338" s="102"/>
      <c r="DP338" s="102"/>
      <c r="DQ338" s="102"/>
      <c r="DR338" s="102"/>
      <c r="DS338" s="102"/>
      <c r="DT338" s="105"/>
      <c r="DU338" s="102"/>
      <c r="DV338" s="102"/>
      <c r="DW338" s="102"/>
      <c r="DX338" s="102"/>
      <c r="DY338" s="102"/>
      <c r="DZ338" s="102"/>
      <c r="EA338" s="102"/>
      <c r="EB338" s="102"/>
      <c r="EC338" s="102"/>
      <c r="ED338" s="102"/>
      <c r="EE338" s="102"/>
      <c r="EF338" s="102"/>
      <c r="EG338" s="102"/>
      <c r="EH338" s="102"/>
      <c r="EI338" s="102"/>
      <c r="EJ338" s="102"/>
      <c r="EK338" s="102"/>
      <c r="EL338" s="102"/>
      <c r="EM338" s="102"/>
    </row>
    <row r="339" spans="1:143" ht="15.75" customHeight="1" x14ac:dyDescent="0.55000000000000004">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c r="AZ339" s="102"/>
      <c r="BA339" s="102"/>
      <c r="BB339" s="102"/>
      <c r="BC339" s="102"/>
      <c r="BD339" s="102"/>
      <c r="BE339" s="102"/>
      <c r="BF339" s="102"/>
      <c r="BG339" s="102"/>
      <c r="BH339" s="102"/>
      <c r="BI339" s="102"/>
      <c r="BJ339" s="102"/>
      <c r="BK339" s="102"/>
      <c r="BL339" s="102"/>
      <c r="BM339" s="102"/>
      <c r="BN339" s="102"/>
      <c r="BO339" s="102"/>
      <c r="BP339" s="102"/>
      <c r="BQ339" s="102"/>
      <c r="BR339" s="102"/>
      <c r="BS339" s="102"/>
      <c r="BT339" s="102"/>
      <c r="BU339" s="102"/>
      <c r="BV339" s="102"/>
      <c r="BW339" s="102"/>
      <c r="BX339" s="102"/>
      <c r="BY339" s="102"/>
      <c r="BZ339" s="102"/>
      <c r="CA339" s="102"/>
      <c r="CB339" s="102"/>
      <c r="CC339" s="102"/>
      <c r="CD339" s="102"/>
      <c r="CE339" s="102"/>
      <c r="CF339" s="102"/>
      <c r="CG339" s="102"/>
      <c r="CH339" s="102"/>
      <c r="CI339" s="102"/>
      <c r="CJ339" s="102"/>
      <c r="CK339" s="102"/>
      <c r="CL339" s="102"/>
      <c r="CM339" s="102"/>
      <c r="CN339" s="102"/>
      <c r="CO339" s="102"/>
      <c r="CP339" s="102"/>
      <c r="CQ339" s="102"/>
      <c r="CR339" s="102"/>
      <c r="CS339" s="102"/>
      <c r="CT339" s="102"/>
      <c r="CU339" s="102"/>
      <c r="CV339" s="102"/>
      <c r="CW339" s="102"/>
      <c r="CX339" s="102"/>
      <c r="CY339" s="102"/>
      <c r="CZ339" s="102"/>
      <c r="DA339" s="102"/>
      <c r="DB339" s="102"/>
      <c r="DC339" s="102"/>
      <c r="DD339" s="102"/>
      <c r="DE339" s="102"/>
      <c r="DF339" s="102"/>
      <c r="DG339" s="102"/>
      <c r="DH339" s="102"/>
      <c r="DI339" s="102"/>
      <c r="DJ339" s="102"/>
      <c r="DK339" s="102"/>
      <c r="DL339" s="102"/>
      <c r="DM339" s="102"/>
      <c r="DN339" s="102"/>
      <c r="DO339" s="102"/>
      <c r="DP339" s="102"/>
      <c r="DQ339" s="102"/>
      <c r="DR339" s="102"/>
      <c r="DS339" s="102"/>
      <c r="DT339" s="105"/>
      <c r="DU339" s="102"/>
      <c r="DV339" s="102"/>
      <c r="DW339" s="102"/>
      <c r="DX339" s="102"/>
      <c r="DY339" s="102"/>
      <c r="DZ339" s="102"/>
      <c r="EA339" s="102"/>
      <c r="EB339" s="102"/>
      <c r="EC339" s="102"/>
      <c r="ED339" s="102"/>
      <c r="EE339" s="102"/>
      <c r="EF339" s="102"/>
      <c r="EG339" s="102"/>
      <c r="EH339" s="102"/>
      <c r="EI339" s="102"/>
      <c r="EJ339" s="102"/>
      <c r="EK339" s="102"/>
      <c r="EL339" s="102"/>
      <c r="EM339" s="102"/>
    </row>
    <row r="340" spans="1:143" ht="15.75" customHeight="1" x14ac:dyDescent="0.55000000000000004">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c r="AZ340" s="102"/>
      <c r="BA340" s="102"/>
      <c r="BB340" s="102"/>
      <c r="BC340" s="102"/>
      <c r="BD340" s="102"/>
      <c r="BE340" s="102"/>
      <c r="BF340" s="102"/>
      <c r="BG340" s="102"/>
      <c r="BH340" s="102"/>
      <c r="BI340" s="102"/>
      <c r="BJ340" s="102"/>
      <c r="BK340" s="102"/>
      <c r="BL340" s="102"/>
      <c r="BM340" s="102"/>
      <c r="BN340" s="102"/>
      <c r="BO340" s="102"/>
      <c r="BP340" s="102"/>
      <c r="BQ340" s="102"/>
      <c r="BR340" s="102"/>
      <c r="BS340" s="102"/>
      <c r="BT340" s="102"/>
      <c r="BU340" s="102"/>
      <c r="BV340" s="102"/>
      <c r="BW340" s="102"/>
      <c r="BX340" s="102"/>
      <c r="BY340" s="102"/>
      <c r="BZ340" s="102"/>
      <c r="CA340" s="102"/>
      <c r="CB340" s="102"/>
      <c r="CC340" s="102"/>
      <c r="CD340" s="102"/>
      <c r="CE340" s="102"/>
      <c r="CF340" s="102"/>
      <c r="CG340" s="102"/>
      <c r="CH340" s="102"/>
      <c r="CI340" s="102"/>
      <c r="CJ340" s="102"/>
      <c r="CK340" s="102"/>
      <c r="CL340" s="102"/>
      <c r="CM340" s="102"/>
      <c r="CN340" s="102"/>
      <c r="CO340" s="102"/>
      <c r="CP340" s="102"/>
      <c r="CQ340" s="102"/>
      <c r="CR340" s="102"/>
      <c r="CS340" s="102"/>
      <c r="CT340" s="102"/>
      <c r="CU340" s="102"/>
      <c r="CV340" s="102"/>
      <c r="CW340" s="102"/>
      <c r="CX340" s="102"/>
      <c r="CY340" s="102"/>
      <c r="CZ340" s="102"/>
      <c r="DA340" s="102"/>
      <c r="DB340" s="102"/>
      <c r="DC340" s="102"/>
      <c r="DD340" s="102"/>
      <c r="DE340" s="102"/>
      <c r="DF340" s="102"/>
      <c r="DG340" s="102"/>
      <c r="DH340" s="102"/>
      <c r="DI340" s="102"/>
      <c r="DJ340" s="102"/>
      <c r="DK340" s="102"/>
      <c r="DL340" s="102"/>
      <c r="DM340" s="102"/>
      <c r="DN340" s="102"/>
      <c r="DO340" s="102"/>
      <c r="DP340" s="102"/>
      <c r="DQ340" s="102"/>
      <c r="DR340" s="102"/>
      <c r="DS340" s="102"/>
      <c r="DT340" s="105"/>
      <c r="DU340" s="102"/>
      <c r="DV340" s="102"/>
      <c r="DW340" s="102"/>
      <c r="DX340" s="102"/>
      <c r="DY340" s="102"/>
      <c r="DZ340" s="102"/>
      <c r="EA340" s="102"/>
      <c r="EB340" s="102"/>
      <c r="EC340" s="102"/>
      <c r="ED340" s="102"/>
      <c r="EE340" s="102"/>
      <c r="EF340" s="102"/>
      <c r="EG340" s="102"/>
      <c r="EH340" s="102"/>
      <c r="EI340" s="102"/>
      <c r="EJ340" s="102"/>
      <c r="EK340" s="102"/>
      <c r="EL340" s="102"/>
      <c r="EM340" s="102"/>
    </row>
    <row r="341" spans="1:143" ht="15.75" customHeight="1" x14ac:dyDescent="0.55000000000000004">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c r="AZ341" s="102"/>
      <c r="BA341" s="102"/>
      <c r="BB341" s="102"/>
      <c r="BC341" s="102"/>
      <c r="BD341" s="102"/>
      <c r="BE341" s="102"/>
      <c r="BF341" s="102"/>
      <c r="BG341" s="102"/>
      <c r="BH341" s="102"/>
      <c r="BI341" s="102"/>
      <c r="BJ341" s="102"/>
      <c r="BK341" s="102"/>
      <c r="BL341" s="102"/>
      <c r="BM341" s="102"/>
      <c r="BN341" s="102"/>
      <c r="BO341" s="102"/>
      <c r="BP341" s="102"/>
      <c r="BQ341" s="102"/>
      <c r="BR341" s="102"/>
      <c r="BS341" s="102"/>
      <c r="BT341" s="102"/>
      <c r="BU341" s="102"/>
      <c r="BV341" s="102"/>
      <c r="BW341" s="102"/>
      <c r="BX341" s="102"/>
      <c r="BY341" s="102"/>
      <c r="BZ341" s="102"/>
      <c r="CA341" s="102"/>
      <c r="CB341" s="102"/>
      <c r="CC341" s="102"/>
      <c r="CD341" s="102"/>
      <c r="CE341" s="102"/>
      <c r="CF341" s="102"/>
      <c r="CG341" s="102"/>
      <c r="CH341" s="102"/>
      <c r="CI341" s="102"/>
      <c r="CJ341" s="102"/>
      <c r="CK341" s="102"/>
      <c r="CL341" s="102"/>
      <c r="CM341" s="102"/>
      <c r="CN341" s="102"/>
      <c r="CO341" s="102"/>
      <c r="CP341" s="102"/>
      <c r="CQ341" s="102"/>
      <c r="CR341" s="102"/>
      <c r="CS341" s="102"/>
      <c r="CT341" s="102"/>
      <c r="CU341" s="102"/>
      <c r="CV341" s="102"/>
      <c r="CW341" s="102"/>
      <c r="CX341" s="102"/>
      <c r="CY341" s="102"/>
      <c r="CZ341" s="102"/>
      <c r="DA341" s="102"/>
      <c r="DB341" s="102"/>
      <c r="DC341" s="102"/>
      <c r="DD341" s="102"/>
      <c r="DE341" s="102"/>
      <c r="DF341" s="102"/>
      <c r="DG341" s="102"/>
      <c r="DH341" s="102"/>
      <c r="DI341" s="102"/>
      <c r="DJ341" s="102"/>
      <c r="DK341" s="102"/>
      <c r="DL341" s="102"/>
      <c r="DM341" s="102"/>
      <c r="DN341" s="102"/>
      <c r="DO341" s="102"/>
      <c r="DP341" s="102"/>
      <c r="DQ341" s="102"/>
      <c r="DR341" s="102"/>
      <c r="DS341" s="102"/>
      <c r="DT341" s="105"/>
      <c r="DU341" s="102"/>
      <c r="DV341" s="102"/>
      <c r="DW341" s="102"/>
      <c r="DX341" s="102"/>
      <c r="DY341" s="102"/>
      <c r="DZ341" s="102"/>
      <c r="EA341" s="102"/>
      <c r="EB341" s="102"/>
      <c r="EC341" s="102"/>
      <c r="ED341" s="102"/>
      <c r="EE341" s="102"/>
      <c r="EF341" s="102"/>
      <c r="EG341" s="102"/>
      <c r="EH341" s="102"/>
      <c r="EI341" s="102"/>
      <c r="EJ341" s="102"/>
      <c r="EK341" s="102"/>
      <c r="EL341" s="102"/>
      <c r="EM341" s="102"/>
    </row>
    <row r="342" spans="1:143" ht="15.75" customHeight="1" x14ac:dyDescent="0.55000000000000004">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c r="AZ342" s="102"/>
      <c r="BA342" s="102"/>
      <c r="BB342" s="102"/>
      <c r="BC342" s="102"/>
      <c r="BD342" s="102"/>
      <c r="BE342" s="102"/>
      <c r="BF342" s="102"/>
      <c r="BG342" s="102"/>
      <c r="BH342" s="102"/>
      <c r="BI342" s="102"/>
      <c r="BJ342" s="102"/>
      <c r="BK342" s="102"/>
      <c r="BL342" s="102"/>
      <c r="BM342" s="102"/>
      <c r="BN342" s="102"/>
      <c r="BO342" s="102"/>
      <c r="BP342" s="102"/>
      <c r="BQ342" s="102"/>
      <c r="BR342" s="102"/>
      <c r="BS342" s="102"/>
      <c r="BT342" s="102"/>
      <c r="BU342" s="102"/>
      <c r="BV342" s="102"/>
      <c r="BW342" s="102"/>
      <c r="BX342" s="102"/>
      <c r="BY342" s="102"/>
      <c r="BZ342" s="102"/>
      <c r="CA342" s="102"/>
      <c r="CB342" s="102"/>
      <c r="CC342" s="102"/>
      <c r="CD342" s="102"/>
      <c r="CE342" s="102"/>
      <c r="CF342" s="102"/>
      <c r="CG342" s="102"/>
      <c r="CH342" s="102"/>
      <c r="CI342" s="102"/>
      <c r="CJ342" s="102"/>
      <c r="CK342" s="102"/>
      <c r="CL342" s="102"/>
      <c r="CM342" s="102"/>
      <c r="CN342" s="102"/>
      <c r="CO342" s="102"/>
      <c r="CP342" s="102"/>
      <c r="CQ342" s="102"/>
      <c r="CR342" s="102"/>
      <c r="CS342" s="102"/>
      <c r="CT342" s="102"/>
      <c r="CU342" s="102"/>
      <c r="CV342" s="102"/>
      <c r="CW342" s="102"/>
      <c r="CX342" s="102"/>
      <c r="CY342" s="102"/>
      <c r="CZ342" s="102"/>
      <c r="DA342" s="102"/>
      <c r="DB342" s="102"/>
      <c r="DC342" s="102"/>
      <c r="DD342" s="102"/>
      <c r="DE342" s="102"/>
      <c r="DF342" s="102"/>
      <c r="DG342" s="102"/>
      <c r="DH342" s="102"/>
      <c r="DI342" s="102"/>
      <c r="DJ342" s="102"/>
      <c r="DK342" s="102"/>
      <c r="DL342" s="102"/>
      <c r="DM342" s="102"/>
      <c r="DN342" s="102"/>
      <c r="DO342" s="102"/>
      <c r="DP342" s="102"/>
      <c r="DQ342" s="102"/>
      <c r="DR342" s="102"/>
      <c r="DS342" s="102"/>
      <c r="DT342" s="105"/>
      <c r="DU342" s="102"/>
      <c r="DV342" s="102"/>
      <c r="DW342" s="102"/>
      <c r="DX342" s="102"/>
      <c r="DY342" s="102"/>
      <c r="DZ342" s="102"/>
      <c r="EA342" s="102"/>
      <c r="EB342" s="102"/>
      <c r="EC342" s="102"/>
      <c r="ED342" s="102"/>
      <c r="EE342" s="102"/>
      <c r="EF342" s="102"/>
      <c r="EG342" s="102"/>
      <c r="EH342" s="102"/>
      <c r="EI342" s="102"/>
      <c r="EJ342" s="102"/>
      <c r="EK342" s="102"/>
      <c r="EL342" s="102"/>
      <c r="EM342" s="102"/>
    </row>
    <row r="343" spans="1:143" ht="15.75" customHeight="1" x14ac:dyDescent="0.55000000000000004">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c r="AZ343" s="102"/>
      <c r="BA343" s="102"/>
      <c r="BB343" s="102"/>
      <c r="BC343" s="102"/>
      <c r="BD343" s="102"/>
      <c r="BE343" s="102"/>
      <c r="BF343" s="102"/>
      <c r="BG343" s="102"/>
      <c r="BH343" s="102"/>
      <c r="BI343" s="102"/>
      <c r="BJ343" s="102"/>
      <c r="BK343" s="102"/>
      <c r="BL343" s="102"/>
      <c r="BM343" s="102"/>
      <c r="BN343" s="102"/>
      <c r="BO343" s="102"/>
      <c r="BP343" s="102"/>
      <c r="BQ343" s="102"/>
      <c r="BR343" s="102"/>
      <c r="BS343" s="102"/>
      <c r="BT343" s="102"/>
      <c r="BU343" s="102"/>
      <c r="BV343" s="102"/>
      <c r="BW343" s="102"/>
      <c r="BX343" s="102"/>
      <c r="BY343" s="102"/>
      <c r="BZ343" s="102"/>
      <c r="CA343" s="102"/>
      <c r="CB343" s="102"/>
      <c r="CC343" s="102"/>
      <c r="CD343" s="102"/>
      <c r="CE343" s="102"/>
      <c r="CF343" s="102"/>
      <c r="CG343" s="102"/>
      <c r="CH343" s="102"/>
      <c r="CI343" s="102"/>
      <c r="CJ343" s="102"/>
      <c r="CK343" s="102"/>
      <c r="CL343" s="102"/>
      <c r="CM343" s="102"/>
      <c r="CN343" s="102"/>
      <c r="CO343" s="102"/>
      <c r="CP343" s="102"/>
      <c r="CQ343" s="102"/>
      <c r="CR343" s="102"/>
      <c r="CS343" s="102"/>
      <c r="CT343" s="102"/>
      <c r="CU343" s="102"/>
      <c r="CV343" s="102"/>
      <c r="CW343" s="102"/>
      <c r="CX343" s="102"/>
      <c r="CY343" s="102"/>
      <c r="CZ343" s="102"/>
      <c r="DA343" s="102"/>
      <c r="DB343" s="102"/>
      <c r="DC343" s="102"/>
      <c r="DD343" s="102"/>
      <c r="DE343" s="102"/>
      <c r="DF343" s="102"/>
      <c r="DG343" s="102"/>
      <c r="DH343" s="102"/>
      <c r="DI343" s="102"/>
      <c r="DJ343" s="102"/>
      <c r="DK343" s="102"/>
      <c r="DL343" s="102"/>
      <c r="DM343" s="102"/>
      <c r="DN343" s="102"/>
      <c r="DO343" s="102"/>
      <c r="DP343" s="102"/>
      <c r="DQ343" s="102"/>
      <c r="DR343" s="102"/>
      <c r="DS343" s="102"/>
      <c r="DT343" s="105"/>
      <c r="DU343" s="102"/>
      <c r="DV343" s="102"/>
      <c r="DW343" s="102"/>
      <c r="DX343" s="102"/>
      <c r="DY343" s="102"/>
      <c r="DZ343" s="102"/>
      <c r="EA343" s="102"/>
      <c r="EB343" s="102"/>
      <c r="EC343" s="102"/>
      <c r="ED343" s="102"/>
      <c r="EE343" s="102"/>
      <c r="EF343" s="102"/>
      <c r="EG343" s="102"/>
      <c r="EH343" s="102"/>
      <c r="EI343" s="102"/>
      <c r="EJ343" s="102"/>
      <c r="EK343" s="102"/>
      <c r="EL343" s="102"/>
      <c r="EM343" s="102"/>
    </row>
    <row r="344" spans="1:143" ht="15.75" customHeight="1" x14ac:dyDescent="0.5500000000000000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c r="AZ344" s="102"/>
      <c r="BA344" s="102"/>
      <c r="BB344" s="102"/>
      <c r="BC344" s="102"/>
      <c r="BD344" s="102"/>
      <c r="BE344" s="102"/>
      <c r="BF344" s="102"/>
      <c r="BG344" s="102"/>
      <c r="BH344" s="102"/>
      <c r="BI344" s="102"/>
      <c r="BJ344" s="102"/>
      <c r="BK344" s="102"/>
      <c r="BL344" s="102"/>
      <c r="BM344" s="102"/>
      <c r="BN344" s="102"/>
      <c r="BO344" s="102"/>
      <c r="BP344" s="102"/>
      <c r="BQ344" s="102"/>
      <c r="BR344" s="102"/>
      <c r="BS344" s="102"/>
      <c r="BT344" s="102"/>
      <c r="BU344" s="102"/>
      <c r="BV344" s="102"/>
      <c r="BW344" s="102"/>
      <c r="BX344" s="102"/>
      <c r="BY344" s="102"/>
      <c r="BZ344" s="102"/>
      <c r="CA344" s="102"/>
      <c r="CB344" s="102"/>
      <c r="CC344" s="102"/>
      <c r="CD344" s="102"/>
      <c r="CE344" s="102"/>
      <c r="CF344" s="102"/>
      <c r="CG344" s="102"/>
      <c r="CH344" s="102"/>
      <c r="CI344" s="102"/>
      <c r="CJ344" s="102"/>
      <c r="CK344" s="102"/>
      <c r="CL344" s="102"/>
      <c r="CM344" s="102"/>
      <c r="CN344" s="102"/>
      <c r="CO344" s="102"/>
      <c r="CP344" s="102"/>
      <c r="CQ344" s="102"/>
      <c r="CR344" s="102"/>
      <c r="CS344" s="102"/>
      <c r="CT344" s="102"/>
      <c r="CU344" s="102"/>
      <c r="CV344" s="102"/>
      <c r="CW344" s="102"/>
      <c r="CX344" s="102"/>
      <c r="CY344" s="102"/>
      <c r="CZ344" s="102"/>
      <c r="DA344" s="102"/>
      <c r="DB344" s="102"/>
      <c r="DC344" s="102"/>
      <c r="DD344" s="102"/>
      <c r="DE344" s="102"/>
      <c r="DF344" s="102"/>
      <c r="DG344" s="102"/>
      <c r="DH344" s="102"/>
      <c r="DI344" s="102"/>
      <c r="DJ344" s="102"/>
      <c r="DK344" s="102"/>
      <c r="DL344" s="102"/>
      <c r="DM344" s="102"/>
      <c r="DN344" s="102"/>
      <c r="DO344" s="102"/>
      <c r="DP344" s="102"/>
      <c r="DQ344" s="102"/>
      <c r="DR344" s="102"/>
      <c r="DS344" s="102"/>
      <c r="DT344" s="105"/>
      <c r="DU344" s="102"/>
      <c r="DV344" s="102"/>
      <c r="DW344" s="102"/>
      <c r="DX344" s="102"/>
      <c r="DY344" s="102"/>
      <c r="DZ344" s="102"/>
      <c r="EA344" s="102"/>
      <c r="EB344" s="102"/>
      <c r="EC344" s="102"/>
      <c r="ED344" s="102"/>
      <c r="EE344" s="102"/>
      <c r="EF344" s="102"/>
      <c r="EG344" s="102"/>
      <c r="EH344" s="102"/>
      <c r="EI344" s="102"/>
      <c r="EJ344" s="102"/>
      <c r="EK344" s="102"/>
      <c r="EL344" s="102"/>
      <c r="EM344" s="102"/>
    </row>
    <row r="345" spans="1:143" ht="15.75" customHeight="1" x14ac:dyDescent="0.55000000000000004">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c r="AZ345" s="102"/>
      <c r="BA345" s="102"/>
      <c r="BB345" s="102"/>
      <c r="BC345" s="102"/>
      <c r="BD345" s="102"/>
      <c r="BE345" s="102"/>
      <c r="BF345" s="102"/>
      <c r="BG345" s="102"/>
      <c r="BH345" s="102"/>
      <c r="BI345" s="102"/>
      <c r="BJ345" s="102"/>
      <c r="BK345" s="102"/>
      <c r="BL345" s="102"/>
      <c r="BM345" s="102"/>
      <c r="BN345" s="102"/>
      <c r="BO345" s="102"/>
      <c r="BP345" s="102"/>
      <c r="BQ345" s="102"/>
      <c r="BR345" s="102"/>
      <c r="BS345" s="102"/>
      <c r="BT345" s="102"/>
      <c r="BU345" s="102"/>
      <c r="BV345" s="102"/>
      <c r="BW345" s="102"/>
      <c r="BX345" s="102"/>
      <c r="BY345" s="102"/>
      <c r="BZ345" s="102"/>
      <c r="CA345" s="102"/>
      <c r="CB345" s="102"/>
      <c r="CC345" s="102"/>
      <c r="CD345" s="102"/>
      <c r="CE345" s="102"/>
      <c r="CF345" s="102"/>
      <c r="CG345" s="102"/>
      <c r="CH345" s="102"/>
      <c r="CI345" s="102"/>
      <c r="CJ345" s="102"/>
      <c r="CK345" s="102"/>
      <c r="CL345" s="102"/>
      <c r="CM345" s="102"/>
      <c r="CN345" s="102"/>
      <c r="CO345" s="102"/>
      <c r="CP345" s="102"/>
      <c r="CQ345" s="102"/>
      <c r="CR345" s="102"/>
      <c r="CS345" s="102"/>
      <c r="CT345" s="102"/>
      <c r="CU345" s="102"/>
      <c r="CV345" s="102"/>
      <c r="CW345" s="102"/>
      <c r="CX345" s="102"/>
      <c r="CY345" s="102"/>
      <c r="CZ345" s="102"/>
      <c r="DA345" s="102"/>
      <c r="DB345" s="102"/>
      <c r="DC345" s="102"/>
      <c r="DD345" s="102"/>
      <c r="DE345" s="102"/>
      <c r="DF345" s="102"/>
      <c r="DG345" s="102"/>
      <c r="DH345" s="102"/>
      <c r="DI345" s="102"/>
      <c r="DJ345" s="102"/>
      <c r="DK345" s="102"/>
      <c r="DL345" s="102"/>
      <c r="DM345" s="102"/>
      <c r="DN345" s="102"/>
      <c r="DO345" s="102"/>
      <c r="DP345" s="102"/>
      <c r="DQ345" s="102"/>
      <c r="DR345" s="102"/>
      <c r="DS345" s="102"/>
      <c r="DT345" s="105"/>
      <c r="DU345" s="102"/>
      <c r="DV345" s="102"/>
      <c r="DW345" s="102"/>
      <c r="DX345" s="102"/>
      <c r="DY345" s="102"/>
      <c r="DZ345" s="102"/>
      <c r="EA345" s="102"/>
      <c r="EB345" s="102"/>
      <c r="EC345" s="102"/>
      <c r="ED345" s="102"/>
      <c r="EE345" s="102"/>
      <c r="EF345" s="102"/>
      <c r="EG345" s="102"/>
      <c r="EH345" s="102"/>
      <c r="EI345" s="102"/>
      <c r="EJ345" s="102"/>
      <c r="EK345" s="102"/>
      <c r="EL345" s="102"/>
      <c r="EM345" s="102"/>
    </row>
    <row r="346" spans="1:143" ht="15.75" customHeight="1" x14ac:dyDescent="0.55000000000000004">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c r="AZ346" s="102"/>
      <c r="BA346" s="102"/>
      <c r="BB346" s="102"/>
      <c r="BC346" s="102"/>
      <c r="BD346" s="102"/>
      <c r="BE346" s="102"/>
      <c r="BF346" s="102"/>
      <c r="BG346" s="102"/>
      <c r="BH346" s="102"/>
      <c r="BI346" s="102"/>
      <c r="BJ346" s="102"/>
      <c r="BK346" s="102"/>
      <c r="BL346" s="102"/>
      <c r="BM346" s="102"/>
      <c r="BN346" s="102"/>
      <c r="BO346" s="102"/>
      <c r="BP346" s="102"/>
      <c r="BQ346" s="102"/>
      <c r="BR346" s="102"/>
      <c r="BS346" s="102"/>
      <c r="BT346" s="102"/>
      <c r="BU346" s="102"/>
      <c r="BV346" s="102"/>
      <c r="BW346" s="102"/>
      <c r="BX346" s="102"/>
      <c r="BY346" s="102"/>
      <c r="BZ346" s="102"/>
      <c r="CA346" s="102"/>
      <c r="CB346" s="102"/>
      <c r="CC346" s="102"/>
      <c r="CD346" s="102"/>
      <c r="CE346" s="102"/>
      <c r="CF346" s="102"/>
      <c r="CG346" s="102"/>
      <c r="CH346" s="102"/>
      <c r="CI346" s="102"/>
      <c r="CJ346" s="102"/>
      <c r="CK346" s="102"/>
      <c r="CL346" s="102"/>
      <c r="CM346" s="102"/>
      <c r="CN346" s="102"/>
      <c r="CO346" s="102"/>
      <c r="CP346" s="102"/>
      <c r="CQ346" s="102"/>
      <c r="CR346" s="102"/>
      <c r="CS346" s="102"/>
      <c r="CT346" s="102"/>
      <c r="CU346" s="102"/>
      <c r="CV346" s="102"/>
      <c r="CW346" s="102"/>
      <c r="CX346" s="102"/>
      <c r="CY346" s="102"/>
      <c r="CZ346" s="102"/>
      <c r="DA346" s="102"/>
      <c r="DB346" s="102"/>
      <c r="DC346" s="102"/>
      <c r="DD346" s="102"/>
      <c r="DE346" s="102"/>
      <c r="DF346" s="102"/>
      <c r="DG346" s="102"/>
      <c r="DH346" s="102"/>
      <c r="DI346" s="102"/>
      <c r="DJ346" s="102"/>
      <c r="DK346" s="102"/>
      <c r="DL346" s="102"/>
      <c r="DM346" s="102"/>
      <c r="DN346" s="102"/>
      <c r="DO346" s="102"/>
      <c r="DP346" s="102"/>
      <c r="DQ346" s="102"/>
      <c r="DR346" s="102"/>
      <c r="DS346" s="102"/>
      <c r="DT346" s="105"/>
      <c r="DU346" s="102"/>
      <c r="DV346" s="102"/>
      <c r="DW346" s="102"/>
      <c r="DX346" s="102"/>
      <c r="DY346" s="102"/>
      <c r="DZ346" s="102"/>
      <c r="EA346" s="102"/>
      <c r="EB346" s="102"/>
      <c r="EC346" s="102"/>
      <c r="ED346" s="102"/>
      <c r="EE346" s="102"/>
      <c r="EF346" s="102"/>
      <c r="EG346" s="102"/>
      <c r="EH346" s="102"/>
      <c r="EI346" s="102"/>
      <c r="EJ346" s="102"/>
      <c r="EK346" s="102"/>
      <c r="EL346" s="102"/>
      <c r="EM346" s="102"/>
    </row>
    <row r="347" spans="1:143" ht="15.75" customHeight="1" x14ac:dyDescent="0.55000000000000004">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2"/>
      <c r="BF347" s="102"/>
      <c r="BG347" s="102"/>
      <c r="BH347" s="102"/>
      <c r="BI347" s="102"/>
      <c r="BJ347" s="102"/>
      <c r="BK347" s="102"/>
      <c r="BL347" s="102"/>
      <c r="BM347" s="102"/>
      <c r="BN347" s="102"/>
      <c r="BO347" s="102"/>
      <c r="BP347" s="102"/>
      <c r="BQ347" s="102"/>
      <c r="BR347" s="102"/>
      <c r="BS347" s="102"/>
      <c r="BT347" s="102"/>
      <c r="BU347" s="102"/>
      <c r="BV347" s="102"/>
      <c r="BW347" s="102"/>
      <c r="BX347" s="102"/>
      <c r="BY347" s="102"/>
      <c r="BZ347" s="102"/>
      <c r="CA347" s="102"/>
      <c r="CB347" s="102"/>
      <c r="CC347" s="102"/>
      <c r="CD347" s="102"/>
      <c r="CE347" s="102"/>
      <c r="CF347" s="102"/>
      <c r="CG347" s="102"/>
      <c r="CH347" s="102"/>
      <c r="CI347" s="102"/>
      <c r="CJ347" s="102"/>
      <c r="CK347" s="102"/>
      <c r="CL347" s="102"/>
      <c r="CM347" s="102"/>
      <c r="CN347" s="102"/>
      <c r="CO347" s="102"/>
      <c r="CP347" s="102"/>
      <c r="CQ347" s="102"/>
      <c r="CR347" s="102"/>
      <c r="CS347" s="102"/>
      <c r="CT347" s="102"/>
      <c r="CU347" s="102"/>
      <c r="CV347" s="102"/>
      <c r="CW347" s="102"/>
      <c r="CX347" s="102"/>
      <c r="CY347" s="102"/>
      <c r="CZ347" s="102"/>
      <c r="DA347" s="102"/>
      <c r="DB347" s="102"/>
      <c r="DC347" s="102"/>
      <c r="DD347" s="102"/>
      <c r="DE347" s="102"/>
      <c r="DF347" s="102"/>
      <c r="DG347" s="102"/>
      <c r="DH347" s="102"/>
      <c r="DI347" s="102"/>
      <c r="DJ347" s="102"/>
      <c r="DK347" s="102"/>
      <c r="DL347" s="102"/>
      <c r="DM347" s="102"/>
      <c r="DN347" s="102"/>
      <c r="DO347" s="102"/>
      <c r="DP347" s="102"/>
      <c r="DQ347" s="102"/>
      <c r="DR347" s="102"/>
      <c r="DS347" s="102"/>
      <c r="DT347" s="105"/>
      <c r="DU347" s="102"/>
      <c r="DV347" s="102"/>
      <c r="DW347" s="102"/>
      <c r="DX347" s="102"/>
      <c r="DY347" s="102"/>
      <c r="DZ347" s="102"/>
      <c r="EA347" s="102"/>
      <c r="EB347" s="102"/>
      <c r="EC347" s="102"/>
      <c r="ED347" s="102"/>
      <c r="EE347" s="102"/>
      <c r="EF347" s="102"/>
      <c r="EG347" s="102"/>
      <c r="EH347" s="102"/>
      <c r="EI347" s="102"/>
      <c r="EJ347" s="102"/>
      <c r="EK347" s="102"/>
      <c r="EL347" s="102"/>
      <c r="EM347" s="102"/>
    </row>
    <row r="348" spans="1:143" ht="15.75" customHeight="1" x14ac:dyDescent="0.55000000000000004">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c r="AZ348" s="102"/>
      <c r="BA348" s="102"/>
      <c r="BB348" s="102"/>
      <c r="BC348" s="102"/>
      <c r="BD348" s="102"/>
      <c r="BE348" s="102"/>
      <c r="BF348" s="102"/>
      <c r="BG348" s="102"/>
      <c r="BH348" s="102"/>
      <c r="BI348" s="102"/>
      <c r="BJ348" s="102"/>
      <c r="BK348" s="102"/>
      <c r="BL348" s="102"/>
      <c r="BM348" s="102"/>
      <c r="BN348" s="102"/>
      <c r="BO348" s="102"/>
      <c r="BP348" s="102"/>
      <c r="BQ348" s="102"/>
      <c r="BR348" s="102"/>
      <c r="BS348" s="102"/>
      <c r="BT348" s="102"/>
      <c r="BU348" s="102"/>
      <c r="BV348" s="102"/>
      <c r="BW348" s="102"/>
      <c r="BX348" s="102"/>
      <c r="BY348" s="102"/>
      <c r="BZ348" s="102"/>
      <c r="CA348" s="102"/>
      <c r="CB348" s="102"/>
      <c r="CC348" s="102"/>
      <c r="CD348" s="102"/>
      <c r="CE348" s="102"/>
      <c r="CF348" s="102"/>
      <c r="CG348" s="102"/>
      <c r="CH348" s="102"/>
      <c r="CI348" s="102"/>
      <c r="CJ348" s="102"/>
      <c r="CK348" s="102"/>
      <c r="CL348" s="102"/>
      <c r="CM348" s="102"/>
      <c r="CN348" s="102"/>
      <c r="CO348" s="102"/>
      <c r="CP348" s="102"/>
      <c r="CQ348" s="102"/>
      <c r="CR348" s="102"/>
      <c r="CS348" s="102"/>
      <c r="CT348" s="102"/>
      <c r="CU348" s="102"/>
      <c r="CV348" s="102"/>
      <c r="CW348" s="102"/>
      <c r="CX348" s="102"/>
      <c r="CY348" s="102"/>
      <c r="CZ348" s="102"/>
      <c r="DA348" s="102"/>
      <c r="DB348" s="102"/>
      <c r="DC348" s="102"/>
      <c r="DD348" s="102"/>
      <c r="DE348" s="102"/>
      <c r="DF348" s="102"/>
      <c r="DG348" s="102"/>
      <c r="DH348" s="102"/>
      <c r="DI348" s="102"/>
      <c r="DJ348" s="102"/>
      <c r="DK348" s="102"/>
      <c r="DL348" s="102"/>
      <c r="DM348" s="102"/>
      <c r="DN348" s="102"/>
      <c r="DO348" s="102"/>
      <c r="DP348" s="102"/>
      <c r="DQ348" s="102"/>
      <c r="DR348" s="102"/>
      <c r="DS348" s="102"/>
      <c r="DT348" s="105"/>
      <c r="DU348" s="102"/>
      <c r="DV348" s="102"/>
      <c r="DW348" s="102"/>
      <c r="DX348" s="102"/>
      <c r="DY348" s="102"/>
      <c r="DZ348" s="102"/>
      <c r="EA348" s="102"/>
      <c r="EB348" s="102"/>
      <c r="EC348" s="102"/>
      <c r="ED348" s="102"/>
      <c r="EE348" s="102"/>
      <c r="EF348" s="102"/>
      <c r="EG348" s="102"/>
      <c r="EH348" s="102"/>
      <c r="EI348" s="102"/>
      <c r="EJ348" s="102"/>
      <c r="EK348" s="102"/>
      <c r="EL348" s="102"/>
      <c r="EM348" s="102"/>
    </row>
    <row r="349" spans="1:143" ht="15.75" customHeight="1" x14ac:dyDescent="0.55000000000000004">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2"/>
      <c r="BF349" s="102"/>
      <c r="BG349" s="102"/>
      <c r="BH349" s="102"/>
      <c r="BI349" s="102"/>
      <c r="BJ349" s="102"/>
      <c r="BK349" s="102"/>
      <c r="BL349" s="102"/>
      <c r="BM349" s="102"/>
      <c r="BN349" s="102"/>
      <c r="BO349" s="102"/>
      <c r="BP349" s="102"/>
      <c r="BQ349" s="102"/>
      <c r="BR349" s="102"/>
      <c r="BS349" s="102"/>
      <c r="BT349" s="102"/>
      <c r="BU349" s="102"/>
      <c r="BV349" s="102"/>
      <c r="BW349" s="102"/>
      <c r="BX349" s="102"/>
      <c r="BY349" s="102"/>
      <c r="BZ349" s="102"/>
      <c r="CA349" s="102"/>
      <c r="CB349" s="102"/>
      <c r="CC349" s="102"/>
      <c r="CD349" s="102"/>
      <c r="CE349" s="102"/>
      <c r="CF349" s="102"/>
      <c r="CG349" s="102"/>
      <c r="CH349" s="102"/>
      <c r="CI349" s="102"/>
      <c r="CJ349" s="102"/>
      <c r="CK349" s="102"/>
      <c r="CL349" s="102"/>
      <c r="CM349" s="102"/>
      <c r="CN349" s="102"/>
      <c r="CO349" s="102"/>
      <c r="CP349" s="102"/>
      <c r="CQ349" s="102"/>
      <c r="CR349" s="102"/>
      <c r="CS349" s="102"/>
      <c r="CT349" s="102"/>
      <c r="CU349" s="102"/>
      <c r="CV349" s="102"/>
      <c r="CW349" s="102"/>
      <c r="CX349" s="102"/>
      <c r="CY349" s="102"/>
      <c r="CZ349" s="102"/>
      <c r="DA349" s="102"/>
      <c r="DB349" s="102"/>
      <c r="DC349" s="102"/>
      <c r="DD349" s="102"/>
      <c r="DE349" s="102"/>
      <c r="DF349" s="102"/>
      <c r="DG349" s="102"/>
      <c r="DH349" s="102"/>
      <c r="DI349" s="102"/>
      <c r="DJ349" s="102"/>
      <c r="DK349" s="102"/>
      <c r="DL349" s="102"/>
      <c r="DM349" s="102"/>
      <c r="DN349" s="102"/>
      <c r="DO349" s="102"/>
      <c r="DP349" s="102"/>
      <c r="DQ349" s="102"/>
      <c r="DR349" s="102"/>
      <c r="DS349" s="102"/>
      <c r="DT349" s="105"/>
      <c r="DU349" s="102"/>
      <c r="DV349" s="102"/>
      <c r="DW349" s="102"/>
      <c r="DX349" s="102"/>
      <c r="DY349" s="102"/>
      <c r="DZ349" s="102"/>
      <c r="EA349" s="102"/>
      <c r="EB349" s="102"/>
      <c r="EC349" s="102"/>
      <c r="ED349" s="102"/>
      <c r="EE349" s="102"/>
      <c r="EF349" s="102"/>
      <c r="EG349" s="102"/>
      <c r="EH349" s="102"/>
      <c r="EI349" s="102"/>
      <c r="EJ349" s="102"/>
      <c r="EK349" s="102"/>
      <c r="EL349" s="102"/>
      <c r="EM349" s="102"/>
    </row>
    <row r="350" spans="1:143" ht="15.75" customHeight="1" x14ac:dyDescent="0.55000000000000004">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c r="AD350" s="102"/>
      <c r="AE350" s="102"/>
      <c r="AF350" s="102"/>
      <c r="AG350" s="102"/>
      <c r="AH350" s="102"/>
      <c r="AI350" s="102"/>
      <c r="AJ350" s="102"/>
      <c r="AK350" s="102"/>
      <c r="AL350" s="102"/>
      <c r="AM350" s="102"/>
      <c r="AN350" s="102"/>
      <c r="AO350" s="102"/>
      <c r="AP350" s="102"/>
      <c r="AQ350" s="102"/>
      <c r="AR350" s="102"/>
      <c r="AS350" s="102"/>
      <c r="AT350" s="102"/>
      <c r="AU350" s="102"/>
      <c r="AV350" s="102"/>
      <c r="AW350" s="102"/>
      <c r="AX350" s="102"/>
      <c r="AY350" s="102"/>
      <c r="AZ350" s="102"/>
      <c r="BA350" s="102"/>
      <c r="BB350" s="102"/>
      <c r="BC350" s="102"/>
      <c r="BD350" s="102"/>
      <c r="BE350" s="102"/>
      <c r="BF350" s="102"/>
      <c r="BG350" s="102"/>
      <c r="BH350" s="102"/>
      <c r="BI350" s="102"/>
      <c r="BJ350" s="102"/>
      <c r="BK350" s="102"/>
      <c r="BL350" s="102"/>
      <c r="BM350" s="102"/>
      <c r="BN350" s="102"/>
      <c r="BO350" s="102"/>
      <c r="BP350" s="102"/>
      <c r="BQ350" s="102"/>
      <c r="BR350" s="102"/>
      <c r="BS350" s="102"/>
      <c r="BT350" s="102"/>
      <c r="BU350" s="102"/>
      <c r="BV350" s="102"/>
      <c r="BW350" s="102"/>
      <c r="BX350" s="102"/>
      <c r="BY350" s="102"/>
      <c r="BZ350" s="102"/>
      <c r="CA350" s="102"/>
      <c r="CB350" s="102"/>
      <c r="CC350" s="102"/>
      <c r="CD350" s="102"/>
      <c r="CE350" s="102"/>
      <c r="CF350" s="102"/>
      <c r="CG350" s="102"/>
      <c r="CH350" s="102"/>
      <c r="CI350" s="102"/>
      <c r="CJ350" s="102"/>
      <c r="CK350" s="102"/>
      <c r="CL350" s="102"/>
      <c r="CM350" s="102"/>
      <c r="CN350" s="102"/>
      <c r="CO350" s="102"/>
      <c r="CP350" s="102"/>
      <c r="CQ350" s="102"/>
      <c r="CR350" s="102"/>
      <c r="CS350" s="102"/>
      <c r="CT350" s="102"/>
      <c r="CU350" s="102"/>
      <c r="CV350" s="102"/>
      <c r="CW350" s="102"/>
      <c r="CX350" s="102"/>
      <c r="CY350" s="102"/>
      <c r="CZ350" s="102"/>
      <c r="DA350" s="102"/>
      <c r="DB350" s="102"/>
      <c r="DC350" s="102"/>
      <c r="DD350" s="102"/>
      <c r="DE350" s="102"/>
      <c r="DF350" s="102"/>
      <c r="DG350" s="102"/>
      <c r="DH350" s="102"/>
      <c r="DI350" s="102"/>
      <c r="DJ350" s="102"/>
      <c r="DK350" s="102"/>
      <c r="DL350" s="102"/>
      <c r="DM350" s="102"/>
      <c r="DN350" s="102"/>
      <c r="DO350" s="102"/>
      <c r="DP350" s="102"/>
      <c r="DQ350" s="102"/>
      <c r="DR350" s="102"/>
      <c r="DS350" s="102"/>
      <c r="DT350" s="105"/>
      <c r="DU350" s="102"/>
      <c r="DV350" s="102"/>
      <c r="DW350" s="102"/>
      <c r="DX350" s="102"/>
      <c r="DY350" s="102"/>
      <c r="DZ350" s="102"/>
      <c r="EA350" s="102"/>
      <c r="EB350" s="102"/>
      <c r="EC350" s="102"/>
      <c r="ED350" s="102"/>
      <c r="EE350" s="102"/>
      <c r="EF350" s="102"/>
      <c r="EG350" s="102"/>
      <c r="EH350" s="102"/>
      <c r="EI350" s="102"/>
      <c r="EJ350" s="102"/>
      <c r="EK350" s="102"/>
      <c r="EL350" s="102"/>
      <c r="EM350" s="102"/>
    </row>
    <row r="351" spans="1:143" ht="15.75" customHeight="1" x14ac:dyDescent="0.55000000000000004">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c r="AD351" s="102"/>
      <c r="AE351" s="102"/>
      <c r="AF351" s="102"/>
      <c r="AG351" s="102"/>
      <c r="AH351" s="102"/>
      <c r="AI351" s="102"/>
      <c r="AJ351" s="102"/>
      <c r="AK351" s="102"/>
      <c r="AL351" s="102"/>
      <c r="AM351" s="102"/>
      <c r="AN351" s="102"/>
      <c r="AO351" s="102"/>
      <c r="AP351" s="102"/>
      <c r="AQ351" s="102"/>
      <c r="AR351" s="102"/>
      <c r="AS351" s="102"/>
      <c r="AT351" s="102"/>
      <c r="AU351" s="102"/>
      <c r="AV351" s="102"/>
      <c r="AW351" s="102"/>
      <c r="AX351" s="102"/>
      <c r="AY351" s="102"/>
      <c r="AZ351" s="102"/>
      <c r="BA351" s="102"/>
      <c r="BB351" s="102"/>
      <c r="BC351" s="102"/>
      <c r="BD351" s="102"/>
      <c r="BE351" s="102"/>
      <c r="BF351" s="102"/>
      <c r="BG351" s="102"/>
      <c r="BH351" s="102"/>
      <c r="BI351" s="102"/>
      <c r="BJ351" s="102"/>
      <c r="BK351" s="102"/>
      <c r="BL351" s="102"/>
      <c r="BM351" s="102"/>
      <c r="BN351" s="102"/>
      <c r="BO351" s="102"/>
      <c r="BP351" s="102"/>
      <c r="BQ351" s="102"/>
      <c r="BR351" s="102"/>
      <c r="BS351" s="102"/>
      <c r="BT351" s="102"/>
      <c r="BU351" s="102"/>
      <c r="BV351" s="102"/>
      <c r="BW351" s="102"/>
      <c r="BX351" s="102"/>
      <c r="BY351" s="102"/>
      <c r="BZ351" s="102"/>
      <c r="CA351" s="102"/>
      <c r="CB351" s="102"/>
      <c r="CC351" s="102"/>
      <c r="CD351" s="102"/>
      <c r="CE351" s="102"/>
      <c r="CF351" s="102"/>
      <c r="CG351" s="102"/>
      <c r="CH351" s="102"/>
      <c r="CI351" s="102"/>
      <c r="CJ351" s="102"/>
      <c r="CK351" s="102"/>
      <c r="CL351" s="102"/>
      <c r="CM351" s="102"/>
      <c r="CN351" s="102"/>
      <c r="CO351" s="102"/>
      <c r="CP351" s="102"/>
      <c r="CQ351" s="102"/>
      <c r="CR351" s="102"/>
      <c r="CS351" s="102"/>
      <c r="CT351" s="102"/>
      <c r="CU351" s="102"/>
      <c r="CV351" s="102"/>
      <c r="CW351" s="102"/>
      <c r="CX351" s="102"/>
      <c r="CY351" s="102"/>
      <c r="CZ351" s="102"/>
      <c r="DA351" s="102"/>
      <c r="DB351" s="102"/>
      <c r="DC351" s="102"/>
      <c r="DD351" s="102"/>
      <c r="DE351" s="102"/>
      <c r="DF351" s="102"/>
      <c r="DG351" s="102"/>
      <c r="DH351" s="102"/>
      <c r="DI351" s="102"/>
      <c r="DJ351" s="102"/>
      <c r="DK351" s="102"/>
      <c r="DL351" s="102"/>
      <c r="DM351" s="102"/>
      <c r="DN351" s="102"/>
      <c r="DO351" s="102"/>
      <c r="DP351" s="102"/>
      <c r="DQ351" s="102"/>
      <c r="DR351" s="102"/>
      <c r="DS351" s="102"/>
      <c r="DT351" s="105"/>
      <c r="DU351" s="102"/>
      <c r="DV351" s="102"/>
      <c r="DW351" s="102"/>
      <c r="DX351" s="102"/>
      <c r="DY351" s="102"/>
      <c r="DZ351" s="102"/>
      <c r="EA351" s="102"/>
      <c r="EB351" s="102"/>
      <c r="EC351" s="102"/>
      <c r="ED351" s="102"/>
      <c r="EE351" s="102"/>
      <c r="EF351" s="102"/>
      <c r="EG351" s="102"/>
      <c r="EH351" s="102"/>
      <c r="EI351" s="102"/>
      <c r="EJ351" s="102"/>
      <c r="EK351" s="102"/>
      <c r="EL351" s="102"/>
      <c r="EM351" s="102"/>
    </row>
    <row r="352" spans="1:143" ht="15.75" customHeight="1" x14ac:dyDescent="0.55000000000000004">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c r="AD352" s="102"/>
      <c r="AE352" s="102"/>
      <c r="AF352" s="102"/>
      <c r="AG352" s="102"/>
      <c r="AH352" s="102"/>
      <c r="AI352" s="102"/>
      <c r="AJ352" s="102"/>
      <c r="AK352" s="102"/>
      <c r="AL352" s="102"/>
      <c r="AM352" s="102"/>
      <c r="AN352" s="102"/>
      <c r="AO352" s="102"/>
      <c r="AP352" s="102"/>
      <c r="AQ352" s="102"/>
      <c r="AR352" s="102"/>
      <c r="AS352" s="102"/>
      <c r="AT352" s="102"/>
      <c r="AU352" s="102"/>
      <c r="AV352" s="102"/>
      <c r="AW352" s="102"/>
      <c r="AX352" s="102"/>
      <c r="AY352" s="102"/>
      <c r="AZ352" s="102"/>
      <c r="BA352" s="102"/>
      <c r="BB352" s="102"/>
      <c r="BC352" s="102"/>
      <c r="BD352" s="102"/>
      <c r="BE352" s="102"/>
      <c r="BF352" s="102"/>
      <c r="BG352" s="102"/>
      <c r="BH352" s="102"/>
      <c r="BI352" s="102"/>
      <c r="BJ352" s="102"/>
      <c r="BK352" s="102"/>
      <c r="BL352" s="102"/>
      <c r="BM352" s="102"/>
      <c r="BN352" s="102"/>
      <c r="BO352" s="102"/>
      <c r="BP352" s="102"/>
      <c r="BQ352" s="102"/>
      <c r="BR352" s="102"/>
      <c r="BS352" s="102"/>
      <c r="BT352" s="102"/>
      <c r="BU352" s="102"/>
      <c r="BV352" s="102"/>
      <c r="BW352" s="102"/>
      <c r="BX352" s="102"/>
      <c r="BY352" s="102"/>
      <c r="BZ352" s="102"/>
      <c r="CA352" s="102"/>
      <c r="CB352" s="102"/>
      <c r="CC352" s="102"/>
      <c r="CD352" s="102"/>
      <c r="CE352" s="102"/>
      <c r="CF352" s="102"/>
      <c r="CG352" s="102"/>
      <c r="CH352" s="102"/>
      <c r="CI352" s="102"/>
      <c r="CJ352" s="102"/>
      <c r="CK352" s="102"/>
      <c r="CL352" s="102"/>
      <c r="CM352" s="102"/>
      <c r="CN352" s="102"/>
      <c r="CO352" s="102"/>
      <c r="CP352" s="102"/>
      <c r="CQ352" s="102"/>
      <c r="CR352" s="102"/>
      <c r="CS352" s="102"/>
      <c r="CT352" s="102"/>
      <c r="CU352" s="102"/>
      <c r="CV352" s="102"/>
      <c r="CW352" s="102"/>
      <c r="CX352" s="102"/>
      <c r="CY352" s="102"/>
      <c r="CZ352" s="102"/>
      <c r="DA352" s="102"/>
      <c r="DB352" s="102"/>
      <c r="DC352" s="102"/>
      <c r="DD352" s="102"/>
      <c r="DE352" s="102"/>
      <c r="DF352" s="102"/>
      <c r="DG352" s="102"/>
      <c r="DH352" s="102"/>
      <c r="DI352" s="102"/>
      <c r="DJ352" s="102"/>
      <c r="DK352" s="102"/>
      <c r="DL352" s="102"/>
      <c r="DM352" s="102"/>
      <c r="DN352" s="102"/>
      <c r="DO352" s="102"/>
      <c r="DP352" s="102"/>
      <c r="DQ352" s="102"/>
      <c r="DR352" s="102"/>
      <c r="DS352" s="102"/>
      <c r="DT352" s="105"/>
      <c r="DU352" s="102"/>
      <c r="DV352" s="102"/>
      <c r="DW352" s="102"/>
      <c r="DX352" s="102"/>
      <c r="DY352" s="102"/>
      <c r="DZ352" s="102"/>
      <c r="EA352" s="102"/>
      <c r="EB352" s="102"/>
      <c r="EC352" s="102"/>
      <c r="ED352" s="102"/>
      <c r="EE352" s="102"/>
      <c r="EF352" s="102"/>
      <c r="EG352" s="102"/>
      <c r="EH352" s="102"/>
      <c r="EI352" s="102"/>
      <c r="EJ352" s="102"/>
      <c r="EK352" s="102"/>
      <c r="EL352" s="102"/>
      <c r="EM352" s="102"/>
    </row>
    <row r="353" spans="1:143" ht="15.75" customHeight="1" x14ac:dyDescent="0.55000000000000004">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c r="AD353" s="102"/>
      <c r="AE353" s="102"/>
      <c r="AF353" s="102"/>
      <c r="AG353" s="102"/>
      <c r="AH353" s="102"/>
      <c r="AI353" s="102"/>
      <c r="AJ353" s="102"/>
      <c r="AK353" s="102"/>
      <c r="AL353" s="102"/>
      <c r="AM353" s="102"/>
      <c r="AN353" s="102"/>
      <c r="AO353" s="102"/>
      <c r="AP353" s="102"/>
      <c r="AQ353" s="102"/>
      <c r="AR353" s="102"/>
      <c r="AS353" s="102"/>
      <c r="AT353" s="102"/>
      <c r="AU353" s="102"/>
      <c r="AV353" s="102"/>
      <c r="AW353" s="102"/>
      <c r="AX353" s="102"/>
      <c r="AY353" s="102"/>
      <c r="AZ353" s="102"/>
      <c r="BA353" s="102"/>
      <c r="BB353" s="102"/>
      <c r="BC353" s="102"/>
      <c r="BD353" s="102"/>
      <c r="BE353" s="102"/>
      <c r="BF353" s="102"/>
      <c r="BG353" s="102"/>
      <c r="BH353" s="102"/>
      <c r="BI353" s="102"/>
      <c r="BJ353" s="102"/>
      <c r="BK353" s="102"/>
      <c r="BL353" s="102"/>
      <c r="BM353" s="102"/>
      <c r="BN353" s="102"/>
      <c r="BO353" s="102"/>
      <c r="BP353" s="102"/>
      <c r="BQ353" s="102"/>
      <c r="BR353" s="102"/>
      <c r="BS353" s="102"/>
      <c r="BT353" s="102"/>
      <c r="BU353" s="102"/>
      <c r="BV353" s="102"/>
      <c r="BW353" s="102"/>
      <c r="BX353" s="102"/>
      <c r="BY353" s="102"/>
      <c r="BZ353" s="102"/>
      <c r="CA353" s="102"/>
      <c r="CB353" s="102"/>
      <c r="CC353" s="102"/>
      <c r="CD353" s="102"/>
      <c r="CE353" s="102"/>
      <c r="CF353" s="102"/>
      <c r="CG353" s="102"/>
      <c r="CH353" s="102"/>
      <c r="CI353" s="102"/>
      <c r="CJ353" s="102"/>
      <c r="CK353" s="102"/>
      <c r="CL353" s="102"/>
      <c r="CM353" s="102"/>
      <c r="CN353" s="102"/>
      <c r="CO353" s="102"/>
      <c r="CP353" s="102"/>
      <c r="CQ353" s="102"/>
      <c r="CR353" s="102"/>
      <c r="CS353" s="102"/>
      <c r="CT353" s="102"/>
      <c r="CU353" s="102"/>
      <c r="CV353" s="102"/>
      <c r="CW353" s="102"/>
      <c r="CX353" s="102"/>
      <c r="CY353" s="102"/>
      <c r="CZ353" s="102"/>
      <c r="DA353" s="102"/>
      <c r="DB353" s="102"/>
      <c r="DC353" s="102"/>
      <c r="DD353" s="102"/>
      <c r="DE353" s="102"/>
      <c r="DF353" s="102"/>
      <c r="DG353" s="102"/>
      <c r="DH353" s="102"/>
      <c r="DI353" s="102"/>
      <c r="DJ353" s="102"/>
      <c r="DK353" s="102"/>
      <c r="DL353" s="102"/>
      <c r="DM353" s="102"/>
      <c r="DN353" s="102"/>
      <c r="DO353" s="102"/>
      <c r="DP353" s="102"/>
      <c r="DQ353" s="102"/>
      <c r="DR353" s="102"/>
      <c r="DS353" s="102"/>
      <c r="DT353" s="105"/>
      <c r="DU353" s="102"/>
      <c r="DV353" s="102"/>
      <c r="DW353" s="102"/>
      <c r="DX353" s="102"/>
      <c r="DY353" s="102"/>
      <c r="DZ353" s="102"/>
      <c r="EA353" s="102"/>
      <c r="EB353" s="102"/>
      <c r="EC353" s="102"/>
      <c r="ED353" s="102"/>
      <c r="EE353" s="102"/>
      <c r="EF353" s="102"/>
      <c r="EG353" s="102"/>
      <c r="EH353" s="102"/>
      <c r="EI353" s="102"/>
      <c r="EJ353" s="102"/>
      <c r="EK353" s="102"/>
      <c r="EL353" s="102"/>
      <c r="EM353" s="10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B1000"/>
  <sheetViews>
    <sheetView workbookViewId="0">
      <pane ySplit="1" topLeftCell="A2" activePane="bottomLeft" state="frozen"/>
      <selection pane="bottomLeft"/>
    </sheetView>
  </sheetViews>
  <sheetFormatPr defaultColWidth="14.47265625" defaultRowHeight="15" customHeight="1" x14ac:dyDescent="0.55000000000000004"/>
  <cols>
    <col min="1" max="1" width="9.15625" customWidth="1"/>
    <col min="2" max="2" width="18.47265625" customWidth="1"/>
    <col min="3" max="3" width="23" customWidth="1"/>
    <col min="4" max="4" width="9.47265625" customWidth="1"/>
    <col min="5" max="5" width="89.15625" customWidth="1"/>
    <col min="6" max="6" width="14.15625" customWidth="1"/>
    <col min="7" max="7" width="8" customWidth="1"/>
    <col min="8" max="8" width="10.68359375" customWidth="1"/>
    <col min="9" max="9" width="9.15625" customWidth="1"/>
    <col min="10" max="10" width="10.15625" customWidth="1"/>
    <col min="11" max="11" width="9.68359375" customWidth="1"/>
    <col min="12" max="13" width="10.3125" customWidth="1"/>
    <col min="14" max="14" width="12" customWidth="1"/>
    <col min="15" max="15" width="6.83984375" customWidth="1"/>
    <col min="16" max="16" width="6" customWidth="1"/>
    <col min="17" max="17" width="10" customWidth="1"/>
  </cols>
  <sheetData>
    <row r="1" spans="1:28" ht="45" x14ac:dyDescent="0.55000000000000004">
      <c r="A1" s="115" t="s">
        <v>211</v>
      </c>
      <c r="B1" s="115" t="s">
        <v>212</v>
      </c>
      <c r="C1" s="115" t="s">
        <v>213</v>
      </c>
      <c r="D1" s="115" t="s">
        <v>734</v>
      </c>
      <c r="E1" s="115" t="s">
        <v>2045</v>
      </c>
      <c r="F1" s="115" t="s">
        <v>643</v>
      </c>
      <c r="G1" s="116" t="s">
        <v>174</v>
      </c>
      <c r="H1" s="115" t="s">
        <v>2046</v>
      </c>
      <c r="I1" s="115" t="s">
        <v>654</v>
      </c>
      <c r="J1" s="115" t="s">
        <v>2047</v>
      </c>
      <c r="K1" s="115" t="s">
        <v>2048</v>
      </c>
      <c r="L1" s="115" t="s">
        <v>2049</v>
      </c>
      <c r="M1" s="115" t="s">
        <v>2050</v>
      </c>
      <c r="N1" s="115" t="s">
        <v>2051</v>
      </c>
      <c r="O1" s="115" t="s">
        <v>2052</v>
      </c>
      <c r="P1" s="115" t="s">
        <v>2053</v>
      </c>
      <c r="Q1" s="115" t="s">
        <v>680</v>
      </c>
      <c r="R1" s="117"/>
      <c r="S1" s="117"/>
      <c r="T1" s="117"/>
      <c r="U1" s="117"/>
      <c r="V1" s="117"/>
      <c r="W1" s="117"/>
      <c r="X1" s="117"/>
      <c r="Y1" s="117"/>
      <c r="Z1" s="117"/>
      <c r="AA1" s="117"/>
      <c r="AB1" s="117"/>
    </row>
    <row r="2" spans="1:28" x14ac:dyDescent="0.55000000000000004">
      <c r="A2" s="118">
        <v>1</v>
      </c>
      <c r="B2" s="118" t="s">
        <v>844</v>
      </c>
      <c r="C2" s="118" t="s">
        <v>845</v>
      </c>
      <c r="D2" s="119">
        <v>24320</v>
      </c>
      <c r="E2" s="102" t="s">
        <v>2054</v>
      </c>
      <c r="F2" s="102">
        <v>2</v>
      </c>
      <c r="G2" s="102">
        <v>0</v>
      </c>
      <c r="H2" s="102">
        <v>1</v>
      </c>
      <c r="I2" s="102">
        <v>0</v>
      </c>
      <c r="J2" s="102">
        <v>0</v>
      </c>
      <c r="K2" s="102">
        <v>1</v>
      </c>
      <c r="L2" s="102"/>
      <c r="M2" s="102"/>
      <c r="N2" s="102"/>
      <c r="O2" s="102"/>
      <c r="P2" s="102"/>
      <c r="Q2" s="102">
        <v>1</v>
      </c>
      <c r="R2" s="120"/>
      <c r="S2" s="120"/>
      <c r="T2" s="120"/>
      <c r="U2" s="120"/>
      <c r="V2" s="120"/>
      <c r="W2" s="120"/>
      <c r="X2" s="120"/>
      <c r="Y2" s="120"/>
      <c r="Z2" s="120"/>
      <c r="AA2" s="120"/>
      <c r="AB2" s="120"/>
    </row>
    <row r="3" spans="1:28" x14ac:dyDescent="0.55000000000000004">
      <c r="A3" s="118">
        <v>1</v>
      </c>
      <c r="B3" s="118" t="s">
        <v>844</v>
      </c>
      <c r="C3" s="118" t="s">
        <v>845</v>
      </c>
      <c r="D3" s="119">
        <v>24320</v>
      </c>
      <c r="E3" s="102" t="s">
        <v>2055</v>
      </c>
      <c r="F3" s="102">
        <v>2</v>
      </c>
      <c r="G3" s="102">
        <v>2</v>
      </c>
      <c r="H3" s="102">
        <v>0</v>
      </c>
      <c r="I3" s="102">
        <v>0</v>
      </c>
      <c r="J3" s="102">
        <v>0</v>
      </c>
      <c r="K3" s="102">
        <v>0</v>
      </c>
      <c r="L3" s="102">
        <v>1</v>
      </c>
      <c r="M3" s="102">
        <v>0</v>
      </c>
      <c r="N3" s="102">
        <v>0</v>
      </c>
      <c r="O3" s="102">
        <v>0</v>
      </c>
      <c r="P3" s="102">
        <v>0</v>
      </c>
      <c r="Q3" s="102">
        <v>0</v>
      </c>
      <c r="R3" s="120"/>
      <c r="S3" s="120"/>
      <c r="T3" s="120"/>
      <c r="U3" s="120"/>
      <c r="V3" s="120"/>
      <c r="W3" s="120"/>
      <c r="X3" s="120"/>
      <c r="Y3" s="120"/>
      <c r="Z3" s="120"/>
      <c r="AA3" s="120"/>
      <c r="AB3" s="120"/>
    </row>
    <row r="4" spans="1:28" x14ac:dyDescent="0.55000000000000004">
      <c r="A4" s="118">
        <v>1</v>
      </c>
      <c r="B4" s="118" t="s">
        <v>844</v>
      </c>
      <c r="C4" s="118" t="s">
        <v>845</v>
      </c>
      <c r="D4" s="119">
        <v>24320</v>
      </c>
      <c r="E4" s="102" t="s">
        <v>2056</v>
      </c>
      <c r="F4" s="102">
        <v>2</v>
      </c>
      <c r="G4" s="102">
        <v>2</v>
      </c>
      <c r="H4" s="102">
        <v>1</v>
      </c>
      <c r="I4" s="102">
        <v>0</v>
      </c>
      <c r="J4" s="102">
        <v>0</v>
      </c>
      <c r="K4" s="102">
        <v>0</v>
      </c>
      <c r="L4" s="102">
        <v>1</v>
      </c>
      <c r="M4" s="102">
        <v>0</v>
      </c>
      <c r="N4" s="102">
        <v>0</v>
      </c>
      <c r="O4" s="102">
        <v>0</v>
      </c>
      <c r="P4" s="102">
        <v>0</v>
      </c>
      <c r="Q4" s="102">
        <v>0</v>
      </c>
      <c r="R4" s="120"/>
      <c r="S4" s="120"/>
      <c r="T4" s="120"/>
      <c r="U4" s="120"/>
      <c r="V4" s="120"/>
      <c r="W4" s="120"/>
      <c r="X4" s="120"/>
      <c r="Y4" s="120"/>
      <c r="Z4" s="120"/>
      <c r="AA4" s="120"/>
      <c r="AB4" s="120"/>
    </row>
    <row r="5" spans="1:28" x14ac:dyDescent="0.55000000000000004">
      <c r="A5" s="118">
        <v>1</v>
      </c>
      <c r="B5" s="118" t="s">
        <v>844</v>
      </c>
      <c r="C5" s="118" t="s">
        <v>845</v>
      </c>
      <c r="D5" s="119">
        <v>24320</v>
      </c>
      <c r="E5" s="102" t="s">
        <v>2057</v>
      </c>
      <c r="F5" s="102">
        <v>0</v>
      </c>
      <c r="G5" s="102">
        <v>0</v>
      </c>
      <c r="H5" s="102">
        <v>0</v>
      </c>
      <c r="I5" s="102">
        <v>0</v>
      </c>
      <c r="J5" s="102">
        <v>0</v>
      </c>
      <c r="K5" s="102">
        <v>0</v>
      </c>
      <c r="L5" s="102">
        <v>1</v>
      </c>
      <c r="M5" s="102">
        <v>0</v>
      </c>
      <c r="N5" s="102">
        <v>0</v>
      </c>
      <c r="O5" s="102">
        <v>0</v>
      </c>
      <c r="P5" s="102">
        <v>0</v>
      </c>
      <c r="Q5" s="102">
        <v>0</v>
      </c>
      <c r="R5" s="120"/>
      <c r="S5" s="120"/>
      <c r="T5" s="120"/>
      <c r="U5" s="120"/>
      <c r="V5" s="120"/>
      <c r="W5" s="120"/>
      <c r="X5" s="120"/>
      <c r="Y5" s="120"/>
      <c r="Z5" s="120"/>
      <c r="AA5" s="120"/>
      <c r="AB5" s="120"/>
    </row>
    <row r="6" spans="1:28" x14ac:dyDescent="0.55000000000000004">
      <c r="A6" s="118">
        <v>1</v>
      </c>
      <c r="B6" s="118" t="s">
        <v>844</v>
      </c>
      <c r="C6" s="118" t="s">
        <v>845</v>
      </c>
      <c r="D6" s="119">
        <v>24320</v>
      </c>
      <c r="E6" s="102" t="s">
        <v>2058</v>
      </c>
      <c r="F6" s="102">
        <v>0</v>
      </c>
      <c r="G6" s="102">
        <v>1</v>
      </c>
      <c r="H6" s="102">
        <v>0</v>
      </c>
      <c r="I6" s="102">
        <v>0</v>
      </c>
      <c r="J6" s="102">
        <v>0</v>
      </c>
      <c r="K6" s="102">
        <v>0</v>
      </c>
      <c r="L6" s="102">
        <v>1</v>
      </c>
      <c r="M6" s="102">
        <v>0</v>
      </c>
      <c r="N6" s="102">
        <v>0</v>
      </c>
      <c r="O6" s="102">
        <v>0</v>
      </c>
      <c r="P6" s="102">
        <v>0</v>
      </c>
      <c r="Q6" s="102">
        <v>0</v>
      </c>
      <c r="R6" s="120"/>
      <c r="S6" s="120"/>
      <c r="T6" s="120"/>
      <c r="U6" s="120"/>
      <c r="V6" s="120"/>
      <c r="W6" s="120"/>
      <c r="X6" s="120"/>
      <c r="Y6" s="120"/>
      <c r="Z6" s="120"/>
      <c r="AA6" s="120"/>
      <c r="AB6" s="120"/>
    </row>
    <row r="7" spans="1:28" x14ac:dyDescent="0.55000000000000004">
      <c r="A7" s="118">
        <v>1</v>
      </c>
      <c r="B7" s="118" t="s">
        <v>844</v>
      </c>
      <c r="C7" s="118" t="s">
        <v>845</v>
      </c>
      <c r="D7" s="119">
        <v>24320</v>
      </c>
      <c r="E7" s="102" t="s">
        <v>2059</v>
      </c>
      <c r="F7" s="102">
        <v>0</v>
      </c>
      <c r="G7" s="102">
        <v>1</v>
      </c>
      <c r="H7" s="102">
        <v>0</v>
      </c>
      <c r="I7" s="102">
        <v>0</v>
      </c>
      <c r="J7" s="102" t="s">
        <v>853</v>
      </c>
      <c r="K7" s="102">
        <v>0</v>
      </c>
      <c r="L7" s="102">
        <v>1</v>
      </c>
      <c r="M7" s="102">
        <v>0</v>
      </c>
      <c r="N7" s="102">
        <v>0</v>
      </c>
      <c r="O7" s="102">
        <v>0</v>
      </c>
      <c r="P7" s="102">
        <v>0</v>
      </c>
      <c r="Q7" s="102">
        <v>0</v>
      </c>
      <c r="R7" s="120"/>
      <c r="S7" s="120"/>
      <c r="T7" s="120"/>
      <c r="U7" s="120"/>
      <c r="V7" s="120"/>
      <c r="W7" s="120"/>
      <c r="X7" s="120"/>
      <c r="Y7" s="120"/>
      <c r="Z7" s="120"/>
      <c r="AA7" s="120"/>
      <c r="AB7" s="120"/>
    </row>
    <row r="8" spans="1:28" x14ac:dyDescent="0.55000000000000004">
      <c r="A8" s="118">
        <v>1</v>
      </c>
      <c r="B8" s="118" t="s">
        <v>844</v>
      </c>
      <c r="C8" s="118" t="s">
        <v>845</v>
      </c>
      <c r="D8" s="119">
        <v>24320</v>
      </c>
      <c r="E8" s="102" t="s">
        <v>2060</v>
      </c>
      <c r="F8" s="102">
        <v>1</v>
      </c>
      <c r="G8" s="102">
        <v>2</v>
      </c>
      <c r="H8" s="102">
        <v>0</v>
      </c>
      <c r="I8" s="102">
        <v>1</v>
      </c>
      <c r="J8" s="102" t="s">
        <v>853</v>
      </c>
      <c r="K8" s="102">
        <v>0</v>
      </c>
      <c r="L8" s="102">
        <v>1</v>
      </c>
      <c r="M8" s="102">
        <v>0</v>
      </c>
      <c r="N8" s="102">
        <v>0</v>
      </c>
      <c r="O8" s="102">
        <v>0</v>
      </c>
      <c r="P8" s="102">
        <v>0</v>
      </c>
      <c r="Q8" s="102">
        <v>0</v>
      </c>
      <c r="R8" s="120"/>
      <c r="S8" s="120"/>
      <c r="T8" s="120"/>
      <c r="U8" s="120"/>
      <c r="V8" s="120"/>
      <c r="W8" s="120"/>
      <c r="X8" s="120"/>
      <c r="Y8" s="120"/>
      <c r="Z8" s="120"/>
      <c r="AA8" s="120"/>
      <c r="AB8" s="120"/>
    </row>
    <row r="9" spans="1:28" x14ac:dyDescent="0.55000000000000004">
      <c r="A9" s="121">
        <v>2</v>
      </c>
      <c r="B9" s="121" t="s">
        <v>858</v>
      </c>
      <c r="C9" s="121" t="s">
        <v>859</v>
      </c>
      <c r="D9" s="122">
        <v>24423</v>
      </c>
      <c r="E9" s="102" t="s">
        <v>2061</v>
      </c>
      <c r="F9" s="102">
        <v>0</v>
      </c>
      <c r="G9" s="102">
        <v>0</v>
      </c>
      <c r="H9" s="102">
        <v>1</v>
      </c>
      <c r="I9" s="102">
        <v>0</v>
      </c>
      <c r="J9" s="102">
        <v>0</v>
      </c>
      <c r="K9" s="102">
        <v>1</v>
      </c>
      <c r="L9" s="102">
        <v>0</v>
      </c>
      <c r="M9" s="102">
        <v>0</v>
      </c>
      <c r="N9" s="102">
        <v>0</v>
      </c>
      <c r="O9" s="102">
        <v>1</v>
      </c>
      <c r="P9" s="102">
        <v>0</v>
      </c>
      <c r="Q9" s="102">
        <v>0</v>
      </c>
      <c r="R9" s="120"/>
      <c r="S9" s="120"/>
      <c r="T9" s="120"/>
      <c r="U9" s="120"/>
      <c r="V9" s="120"/>
      <c r="W9" s="120"/>
      <c r="X9" s="120"/>
      <c r="Y9" s="120"/>
      <c r="Z9" s="120"/>
      <c r="AA9" s="120"/>
      <c r="AB9" s="120"/>
    </row>
    <row r="10" spans="1:28" x14ac:dyDescent="0.55000000000000004">
      <c r="A10" s="123">
        <v>3</v>
      </c>
      <c r="B10" s="123" t="s">
        <v>869</v>
      </c>
      <c r="C10" s="123" t="s">
        <v>870</v>
      </c>
      <c r="D10" s="124">
        <v>24768</v>
      </c>
      <c r="E10" s="102" t="s">
        <v>2062</v>
      </c>
      <c r="F10" s="102">
        <v>0</v>
      </c>
      <c r="G10" s="102">
        <v>2</v>
      </c>
      <c r="H10" s="102">
        <v>1</v>
      </c>
      <c r="I10" s="102">
        <v>0</v>
      </c>
      <c r="J10" s="102">
        <v>0</v>
      </c>
      <c r="K10" s="102">
        <v>1</v>
      </c>
      <c r="L10" s="102">
        <v>3</v>
      </c>
      <c r="M10" s="102">
        <v>0</v>
      </c>
      <c r="N10" s="102">
        <v>0</v>
      </c>
      <c r="O10" s="102">
        <v>0</v>
      </c>
      <c r="P10" s="102">
        <v>0</v>
      </c>
      <c r="Q10" s="102">
        <v>0</v>
      </c>
      <c r="R10" s="120"/>
      <c r="S10" s="120"/>
      <c r="T10" s="120"/>
      <c r="U10" s="120"/>
      <c r="V10" s="120"/>
      <c r="W10" s="120"/>
      <c r="X10" s="120"/>
      <c r="Y10" s="120"/>
      <c r="Z10" s="120"/>
      <c r="AA10" s="120"/>
      <c r="AB10" s="120"/>
    </row>
    <row r="11" spans="1:28" x14ac:dyDescent="0.55000000000000004">
      <c r="A11" s="123">
        <v>3</v>
      </c>
      <c r="B11" s="123" t="s">
        <v>869</v>
      </c>
      <c r="C11" s="123" t="s">
        <v>870</v>
      </c>
      <c r="D11" s="124">
        <v>24768</v>
      </c>
      <c r="E11" s="102" t="s">
        <v>2063</v>
      </c>
      <c r="F11" s="102">
        <v>0</v>
      </c>
      <c r="G11" s="102">
        <v>1</v>
      </c>
      <c r="H11" s="102">
        <v>1</v>
      </c>
      <c r="I11" s="102">
        <v>0</v>
      </c>
      <c r="J11" s="102" t="s">
        <v>853</v>
      </c>
      <c r="K11" s="102">
        <v>1</v>
      </c>
      <c r="L11" s="102">
        <v>3</v>
      </c>
      <c r="M11" s="102">
        <v>0</v>
      </c>
      <c r="N11" s="102">
        <v>0</v>
      </c>
      <c r="O11" s="102">
        <v>0</v>
      </c>
      <c r="P11" s="102">
        <v>0</v>
      </c>
      <c r="Q11" s="102">
        <v>0</v>
      </c>
      <c r="R11" s="120"/>
      <c r="S11" s="120"/>
      <c r="T11" s="120"/>
      <c r="U11" s="120"/>
      <c r="V11" s="120"/>
      <c r="W11" s="120"/>
      <c r="X11" s="120"/>
      <c r="Y11" s="120"/>
      <c r="Z11" s="120"/>
      <c r="AA11" s="120"/>
      <c r="AB11" s="120"/>
    </row>
    <row r="12" spans="1:28" x14ac:dyDescent="0.55000000000000004">
      <c r="A12" s="125">
        <v>4</v>
      </c>
      <c r="B12" s="125" t="s">
        <v>877</v>
      </c>
      <c r="C12" s="125" t="s">
        <v>878</v>
      </c>
      <c r="D12" s="126">
        <v>24913</v>
      </c>
      <c r="E12" s="102" t="s">
        <v>2064</v>
      </c>
      <c r="F12" s="102">
        <v>2</v>
      </c>
      <c r="G12" s="102">
        <v>2</v>
      </c>
      <c r="H12" s="102">
        <v>1</v>
      </c>
      <c r="I12" s="102">
        <v>0</v>
      </c>
      <c r="J12" s="102">
        <v>0</v>
      </c>
      <c r="K12" s="102">
        <v>1</v>
      </c>
      <c r="L12" s="102">
        <v>3</v>
      </c>
      <c r="M12" s="102">
        <v>0</v>
      </c>
      <c r="N12" s="102">
        <v>0</v>
      </c>
      <c r="O12" s="102">
        <v>0</v>
      </c>
      <c r="P12" s="102">
        <v>0</v>
      </c>
      <c r="Q12" s="102">
        <v>0</v>
      </c>
      <c r="R12" s="120"/>
      <c r="S12" s="120"/>
      <c r="T12" s="120"/>
      <c r="U12" s="120"/>
      <c r="V12" s="120"/>
      <c r="W12" s="120"/>
      <c r="X12" s="120"/>
      <c r="Y12" s="120"/>
      <c r="Z12" s="120"/>
      <c r="AA12" s="120"/>
      <c r="AB12" s="120"/>
    </row>
    <row r="13" spans="1:28" x14ac:dyDescent="0.55000000000000004">
      <c r="A13" s="127">
        <v>5</v>
      </c>
      <c r="B13" s="127" t="s">
        <v>882</v>
      </c>
      <c r="C13" s="127" t="s">
        <v>883</v>
      </c>
      <c r="D13" s="128">
        <v>25298</v>
      </c>
      <c r="E13" s="102" t="s">
        <v>2065</v>
      </c>
      <c r="F13" s="102">
        <v>2</v>
      </c>
      <c r="G13" s="102">
        <v>2</v>
      </c>
      <c r="H13" s="102"/>
      <c r="I13" s="102">
        <v>0</v>
      </c>
      <c r="J13" s="102">
        <v>0</v>
      </c>
      <c r="K13" s="102"/>
      <c r="L13" s="102"/>
      <c r="M13" s="102"/>
      <c r="N13" s="102"/>
      <c r="O13" s="102"/>
      <c r="P13" s="102"/>
      <c r="Q13" s="102">
        <v>1</v>
      </c>
      <c r="R13" s="120"/>
      <c r="S13" s="120"/>
      <c r="T13" s="120"/>
      <c r="U13" s="120"/>
      <c r="V13" s="120"/>
      <c r="W13" s="120"/>
      <c r="X13" s="120"/>
      <c r="Y13" s="120"/>
      <c r="Z13" s="120"/>
      <c r="AA13" s="120"/>
      <c r="AB13" s="120"/>
    </row>
    <row r="14" spans="1:28" x14ac:dyDescent="0.55000000000000004">
      <c r="A14" s="127">
        <v>5</v>
      </c>
      <c r="B14" s="127" t="s">
        <v>882</v>
      </c>
      <c r="C14" s="127" t="s">
        <v>883</v>
      </c>
      <c r="D14" s="128">
        <v>25298</v>
      </c>
      <c r="E14" s="102" t="s">
        <v>2066</v>
      </c>
      <c r="F14" s="102">
        <v>2</v>
      </c>
      <c r="G14" s="102">
        <v>2</v>
      </c>
      <c r="H14" s="102">
        <v>1</v>
      </c>
      <c r="I14" s="102">
        <v>0</v>
      </c>
      <c r="J14" s="102">
        <v>0</v>
      </c>
      <c r="K14" s="102"/>
      <c r="L14" s="102"/>
      <c r="M14" s="102"/>
      <c r="N14" s="102"/>
      <c r="O14" s="102"/>
      <c r="P14" s="102"/>
      <c r="Q14" s="102">
        <v>1</v>
      </c>
      <c r="R14" s="120"/>
      <c r="S14" s="120"/>
      <c r="T14" s="120"/>
      <c r="U14" s="120"/>
      <c r="V14" s="120"/>
      <c r="W14" s="120"/>
      <c r="X14" s="120"/>
      <c r="Y14" s="120"/>
      <c r="Z14" s="120"/>
      <c r="AA14" s="120"/>
      <c r="AB14" s="120"/>
    </row>
    <row r="15" spans="1:28" x14ac:dyDescent="0.55000000000000004">
      <c r="A15" s="118">
        <v>6</v>
      </c>
      <c r="B15" s="118" t="s">
        <v>889</v>
      </c>
      <c r="C15" s="118" t="s">
        <v>890</v>
      </c>
      <c r="D15" s="119">
        <v>25834</v>
      </c>
      <c r="E15" s="102" t="s">
        <v>2067</v>
      </c>
      <c r="F15" s="102">
        <v>2</v>
      </c>
      <c r="G15" s="102">
        <v>2</v>
      </c>
      <c r="H15" s="102">
        <v>1</v>
      </c>
      <c r="I15" s="102">
        <v>0</v>
      </c>
      <c r="J15" s="102">
        <v>0</v>
      </c>
      <c r="K15" s="102">
        <v>1</v>
      </c>
      <c r="L15" s="102">
        <v>1</v>
      </c>
      <c r="M15" s="102">
        <v>0</v>
      </c>
      <c r="N15" s="102">
        <v>0</v>
      </c>
      <c r="O15" s="102">
        <v>0</v>
      </c>
      <c r="P15" s="102">
        <v>0</v>
      </c>
      <c r="Q15" s="102">
        <v>0</v>
      </c>
      <c r="R15" s="120"/>
      <c r="S15" s="120"/>
      <c r="T15" s="120"/>
      <c r="U15" s="120"/>
      <c r="V15" s="120"/>
      <c r="W15" s="120"/>
      <c r="X15" s="120"/>
      <c r="Y15" s="120"/>
      <c r="Z15" s="120"/>
      <c r="AA15" s="120"/>
      <c r="AB15" s="120"/>
    </row>
    <row r="16" spans="1:28" x14ac:dyDescent="0.55000000000000004">
      <c r="A16" s="121">
        <v>7</v>
      </c>
      <c r="B16" s="121" t="s">
        <v>897</v>
      </c>
      <c r="C16" s="121" t="s">
        <v>898</v>
      </c>
      <c r="D16" s="122">
        <v>26448</v>
      </c>
      <c r="E16" s="102" t="s">
        <v>2068</v>
      </c>
      <c r="F16" s="102">
        <v>2</v>
      </c>
      <c r="G16" s="102">
        <v>0</v>
      </c>
      <c r="H16" s="102">
        <v>1</v>
      </c>
      <c r="I16" s="102">
        <v>0</v>
      </c>
      <c r="J16" s="102">
        <v>0</v>
      </c>
      <c r="K16" s="102">
        <v>0</v>
      </c>
      <c r="L16" s="102">
        <v>0</v>
      </c>
      <c r="M16" s="102">
        <v>3</v>
      </c>
      <c r="N16" s="102">
        <v>0</v>
      </c>
      <c r="O16" s="102">
        <v>0</v>
      </c>
      <c r="P16" s="102">
        <v>0</v>
      </c>
      <c r="Q16" s="102">
        <v>0</v>
      </c>
      <c r="R16" s="120"/>
      <c r="S16" s="120"/>
      <c r="T16" s="120"/>
      <c r="U16" s="120"/>
      <c r="V16" s="120"/>
      <c r="W16" s="120"/>
      <c r="X16" s="120"/>
      <c r="Y16" s="120"/>
      <c r="Z16" s="120"/>
      <c r="AA16" s="120"/>
      <c r="AB16" s="120"/>
    </row>
    <row r="17" spans="1:28" x14ac:dyDescent="0.55000000000000004">
      <c r="A17" s="123">
        <v>8</v>
      </c>
      <c r="B17" s="123" t="s">
        <v>906</v>
      </c>
      <c r="C17" s="123" t="s">
        <v>907</v>
      </c>
      <c r="D17" s="124">
        <v>26471</v>
      </c>
      <c r="E17" s="102" t="s">
        <v>2069</v>
      </c>
      <c r="F17" s="102">
        <v>2</v>
      </c>
      <c r="G17" s="102">
        <v>0</v>
      </c>
      <c r="H17" s="102">
        <v>1</v>
      </c>
      <c r="I17" s="102">
        <v>1</v>
      </c>
      <c r="J17" s="102">
        <v>0</v>
      </c>
      <c r="K17" s="102">
        <v>0</v>
      </c>
      <c r="L17" s="102">
        <v>1</v>
      </c>
      <c r="M17" s="102">
        <v>0</v>
      </c>
      <c r="N17" s="102">
        <v>0</v>
      </c>
      <c r="O17" s="102">
        <v>0</v>
      </c>
      <c r="P17" s="102">
        <v>0</v>
      </c>
      <c r="Q17" s="102">
        <v>0</v>
      </c>
      <c r="R17" s="120"/>
      <c r="S17" s="120"/>
      <c r="T17" s="120"/>
      <c r="U17" s="120"/>
      <c r="V17" s="120"/>
      <c r="W17" s="120"/>
      <c r="X17" s="120"/>
      <c r="Y17" s="120"/>
      <c r="Z17" s="120"/>
      <c r="AA17" s="120"/>
      <c r="AB17" s="120"/>
    </row>
    <row r="18" spans="1:28" x14ac:dyDescent="0.55000000000000004">
      <c r="A18" s="123">
        <v>8</v>
      </c>
      <c r="B18" s="123" t="s">
        <v>906</v>
      </c>
      <c r="C18" s="123" t="s">
        <v>907</v>
      </c>
      <c r="D18" s="124">
        <v>26471</v>
      </c>
      <c r="E18" s="102" t="s">
        <v>2069</v>
      </c>
      <c r="F18" s="102">
        <v>2</v>
      </c>
      <c r="G18" s="102">
        <v>0</v>
      </c>
      <c r="H18" s="102">
        <v>1</v>
      </c>
      <c r="I18" s="102">
        <v>1</v>
      </c>
      <c r="J18" s="102">
        <v>0</v>
      </c>
      <c r="K18" s="102">
        <v>0</v>
      </c>
      <c r="L18" s="102">
        <v>1</v>
      </c>
      <c r="M18" s="102">
        <v>0</v>
      </c>
      <c r="N18" s="102">
        <v>0</v>
      </c>
      <c r="O18" s="102">
        <v>0</v>
      </c>
      <c r="P18" s="102">
        <v>0</v>
      </c>
      <c r="Q18" s="102">
        <v>0</v>
      </c>
      <c r="R18" s="120"/>
      <c r="S18" s="120"/>
      <c r="T18" s="120"/>
      <c r="U18" s="120"/>
      <c r="V18" s="120"/>
      <c r="W18" s="120"/>
      <c r="X18" s="120"/>
      <c r="Y18" s="120"/>
      <c r="Z18" s="120"/>
      <c r="AA18" s="120"/>
      <c r="AB18" s="120"/>
    </row>
    <row r="19" spans="1:28" x14ac:dyDescent="0.55000000000000004">
      <c r="A19" s="125">
        <v>9</v>
      </c>
      <c r="B19" s="125" t="s">
        <v>912</v>
      </c>
      <c r="C19" s="125" t="s">
        <v>913</v>
      </c>
      <c r="D19" s="126">
        <v>26671</v>
      </c>
      <c r="E19" s="102" t="s">
        <v>2070</v>
      </c>
      <c r="F19" s="102">
        <v>2</v>
      </c>
      <c r="G19" s="102">
        <v>2</v>
      </c>
      <c r="H19" s="102">
        <v>1</v>
      </c>
      <c r="I19" s="102">
        <v>0</v>
      </c>
      <c r="J19" s="102">
        <v>0</v>
      </c>
      <c r="K19" s="102">
        <v>1</v>
      </c>
      <c r="L19" s="102">
        <v>1</v>
      </c>
      <c r="M19" s="102">
        <v>0</v>
      </c>
      <c r="N19" s="102">
        <v>0</v>
      </c>
      <c r="O19" s="102">
        <v>0</v>
      </c>
      <c r="P19" s="102">
        <v>0</v>
      </c>
      <c r="Q19" s="102">
        <v>0</v>
      </c>
      <c r="R19" s="120"/>
      <c r="S19" s="120"/>
      <c r="T19" s="120"/>
      <c r="U19" s="120"/>
      <c r="V19" s="120"/>
      <c r="W19" s="120"/>
      <c r="X19" s="120"/>
      <c r="Y19" s="120"/>
      <c r="Z19" s="120"/>
      <c r="AA19" s="120"/>
      <c r="AB19" s="120"/>
    </row>
    <row r="20" spans="1:28" ht="15.75" customHeight="1" x14ac:dyDescent="0.55000000000000004">
      <c r="A20" s="127">
        <v>10</v>
      </c>
      <c r="B20" s="127" t="s">
        <v>927</v>
      </c>
      <c r="C20" s="127" t="s">
        <v>859</v>
      </c>
      <c r="D20" s="128">
        <v>27455</v>
      </c>
      <c r="E20" s="102" t="s">
        <v>2071</v>
      </c>
      <c r="F20" s="102">
        <v>2</v>
      </c>
      <c r="G20" s="102">
        <v>2</v>
      </c>
      <c r="H20" s="102">
        <v>1</v>
      </c>
      <c r="I20" s="102">
        <v>0</v>
      </c>
      <c r="J20" s="102">
        <v>0</v>
      </c>
      <c r="K20" s="102">
        <v>0</v>
      </c>
      <c r="L20" s="102">
        <v>1</v>
      </c>
      <c r="M20" s="102">
        <v>0</v>
      </c>
      <c r="N20" s="102">
        <v>0</v>
      </c>
      <c r="O20" s="102">
        <v>0</v>
      </c>
      <c r="P20" s="102">
        <v>0</v>
      </c>
      <c r="Q20" s="102">
        <v>0</v>
      </c>
      <c r="R20" s="120"/>
      <c r="S20" s="120"/>
      <c r="T20" s="120"/>
      <c r="U20" s="120"/>
      <c r="V20" s="120"/>
      <c r="W20" s="120"/>
      <c r="X20" s="120"/>
      <c r="Y20" s="120"/>
      <c r="Z20" s="120"/>
      <c r="AA20" s="120"/>
      <c r="AB20" s="120"/>
    </row>
    <row r="21" spans="1:28" ht="15.75" customHeight="1" x14ac:dyDescent="0.55000000000000004">
      <c r="A21" s="118">
        <v>11</v>
      </c>
      <c r="B21" s="118" t="s">
        <v>932</v>
      </c>
      <c r="C21" s="118" t="s">
        <v>933</v>
      </c>
      <c r="D21" s="119">
        <v>27953</v>
      </c>
      <c r="E21" s="102" t="s">
        <v>2072</v>
      </c>
      <c r="F21" s="102">
        <v>2</v>
      </c>
      <c r="G21" s="102">
        <v>0</v>
      </c>
      <c r="H21" s="102">
        <v>1</v>
      </c>
      <c r="I21" s="102">
        <v>0</v>
      </c>
      <c r="J21" s="102">
        <v>0</v>
      </c>
      <c r="K21" s="102">
        <v>0</v>
      </c>
      <c r="L21" s="102">
        <v>0</v>
      </c>
      <c r="M21" s="102">
        <v>3</v>
      </c>
      <c r="N21" s="102">
        <v>0</v>
      </c>
      <c r="O21" s="102">
        <v>0</v>
      </c>
      <c r="P21" s="102">
        <v>0</v>
      </c>
      <c r="Q21" s="102">
        <v>0</v>
      </c>
      <c r="R21" s="120"/>
      <c r="S21" s="120"/>
      <c r="T21" s="120"/>
      <c r="U21" s="120"/>
      <c r="V21" s="120"/>
      <c r="W21" s="120"/>
      <c r="X21" s="120"/>
      <c r="Y21" s="120"/>
      <c r="Z21" s="120"/>
      <c r="AA21" s="120"/>
      <c r="AB21" s="120"/>
    </row>
    <row r="22" spans="1:28" ht="15.75" customHeight="1" x14ac:dyDescent="0.55000000000000004">
      <c r="A22" s="121">
        <v>12</v>
      </c>
      <c r="B22" s="121" t="s">
        <v>939</v>
      </c>
      <c r="C22" s="121" t="s">
        <v>940</v>
      </c>
      <c r="D22" s="122">
        <v>28170</v>
      </c>
      <c r="E22" s="102" t="s">
        <v>2073</v>
      </c>
      <c r="F22" s="102">
        <v>3</v>
      </c>
      <c r="G22" s="102">
        <v>1</v>
      </c>
      <c r="H22" s="102">
        <v>1</v>
      </c>
      <c r="I22" s="102">
        <v>0</v>
      </c>
      <c r="J22" s="102">
        <v>0</v>
      </c>
      <c r="K22" s="102">
        <v>1</v>
      </c>
      <c r="L22" s="102"/>
      <c r="M22" s="102"/>
      <c r="N22" s="102"/>
      <c r="O22" s="102"/>
      <c r="P22" s="102"/>
      <c r="Q22" s="102">
        <v>1</v>
      </c>
      <c r="R22" s="120"/>
      <c r="S22" s="120"/>
      <c r="T22" s="120"/>
      <c r="U22" s="120"/>
      <c r="V22" s="120"/>
      <c r="W22" s="120"/>
      <c r="X22" s="120"/>
      <c r="Y22" s="120"/>
      <c r="Z22" s="120"/>
      <c r="AA22" s="120"/>
      <c r="AB22" s="120"/>
    </row>
    <row r="23" spans="1:28" ht="15.75" customHeight="1" x14ac:dyDescent="0.55000000000000004">
      <c r="A23" s="121">
        <v>12</v>
      </c>
      <c r="B23" s="121" t="s">
        <v>939</v>
      </c>
      <c r="C23" s="121" t="s">
        <v>940</v>
      </c>
      <c r="D23" s="122">
        <v>28170</v>
      </c>
      <c r="E23" s="102" t="s">
        <v>2062</v>
      </c>
      <c r="F23" s="102">
        <v>0</v>
      </c>
      <c r="G23" s="102">
        <v>2</v>
      </c>
      <c r="H23" s="102">
        <v>2</v>
      </c>
      <c r="I23" s="102">
        <v>0</v>
      </c>
      <c r="J23" s="102">
        <v>0</v>
      </c>
      <c r="K23" s="102">
        <v>1</v>
      </c>
      <c r="L23" s="102">
        <v>0</v>
      </c>
      <c r="M23" s="102">
        <v>5</v>
      </c>
      <c r="N23" s="102">
        <v>0</v>
      </c>
      <c r="O23" s="102">
        <v>0</v>
      </c>
      <c r="P23" s="102">
        <v>0</v>
      </c>
      <c r="Q23" s="102">
        <v>0</v>
      </c>
      <c r="R23" s="120"/>
      <c r="S23" s="120"/>
      <c r="T23" s="120"/>
      <c r="U23" s="120"/>
      <c r="V23" s="120"/>
      <c r="W23" s="120"/>
      <c r="X23" s="120"/>
      <c r="Y23" s="120"/>
      <c r="Z23" s="120"/>
      <c r="AA23" s="120"/>
      <c r="AB23" s="120"/>
    </row>
    <row r="24" spans="1:28" ht="15.75" customHeight="1" x14ac:dyDescent="0.55000000000000004">
      <c r="A24" s="121">
        <v>12</v>
      </c>
      <c r="B24" s="121" t="s">
        <v>939</v>
      </c>
      <c r="C24" s="121" t="s">
        <v>940</v>
      </c>
      <c r="D24" s="122">
        <v>28170</v>
      </c>
      <c r="E24" s="102" t="s">
        <v>2062</v>
      </c>
      <c r="F24" s="102">
        <v>0</v>
      </c>
      <c r="G24" s="102">
        <v>2</v>
      </c>
      <c r="H24" s="102">
        <v>0</v>
      </c>
      <c r="I24" s="102">
        <v>0</v>
      </c>
      <c r="J24" s="102">
        <v>0</v>
      </c>
      <c r="K24" s="102">
        <v>1</v>
      </c>
      <c r="L24" s="102">
        <v>0</v>
      </c>
      <c r="M24" s="102">
        <v>5</v>
      </c>
      <c r="N24" s="102">
        <v>0</v>
      </c>
      <c r="O24" s="102">
        <v>0</v>
      </c>
      <c r="P24" s="102">
        <v>0</v>
      </c>
      <c r="Q24" s="102">
        <v>0</v>
      </c>
      <c r="R24" s="120"/>
      <c r="S24" s="120"/>
      <c r="T24" s="120"/>
      <c r="U24" s="120"/>
      <c r="V24" s="120"/>
      <c r="W24" s="120"/>
      <c r="X24" s="120"/>
      <c r="Y24" s="120"/>
      <c r="Z24" s="120"/>
      <c r="AA24" s="120"/>
      <c r="AB24" s="120"/>
    </row>
    <row r="25" spans="1:28" ht="15.75" customHeight="1" x14ac:dyDescent="0.55000000000000004">
      <c r="A25" s="121">
        <v>12</v>
      </c>
      <c r="B25" s="121" t="s">
        <v>939</v>
      </c>
      <c r="C25" s="121" t="s">
        <v>940</v>
      </c>
      <c r="D25" s="122">
        <v>28170</v>
      </c>
      <c r="E25" s="102" t="s">
        <v>2074</v>
      </c>
      <c r="F25" s="102">
        <v>0</v>
      </c>
      <c r="G25" s="102"/>
      <c r="H25" s="102">
        <v>0</v>
      </c>
      <c r="I25" s="102">
        <v>0</v>
      </c>
      <c r="J25" s="102">
        <v>0</v>
      </c>
      <c r="K25" s="102">
        <v>1</v>
      </c>
      <c r="L25" s="102">
        <v>0</v>
      </c>
      <c r="M25" s="102">
        <v>5</v>
      </c>
      <c r="N25" s="102">
        <v>0</v>
      </c>
      <c r="O25" s="102">
        <v>0</v>
      </c>
      <c r="P25" s="102">
        <v>0</v>
      </c>
      <c r="Q25" s="102">
        <v>0</v>
      </c>
      <c r="R25" s="120"/>
      <c r="S25" s="120"/>
      <c r="T25" s="120"/>
      <c r="U25" s="120"/>
      <c r="V25" s="120"/>
      <c r="W25" s="120"/>
      <c r="X25" s="120"/>
      <c r="Y25" s="120"/>
      <c r="Z25" s="120"/>
      <c r="AA25" s="120"/>
      <c r="AB25" s="120"/>
    </row>
    <row r="26" spans="1:28" ht="15.75" customHeight="1" x14ac:dyDescent="0.55000000000000004">
      <c r="A26" s="121">
        <v>12</v>
      </c>
      <c r="B26" s="121" t="s">
        <v>939</v>
      </c>
      <c r="C26" s="121" t="s">
        <v>940</v>
      </c>
      <c r="D26" s="122">
        <v>28170</v>
      </c>
      <c r="E26" s="102" t="s">
        <v>2074</v>
      </c>
      <c r="F26" s="102">
        <v>0</v>
      </c>
      <c r="G26" s="102"/>
      <c r="H26" s="102">
        <v>0</v>
      </c>
      <c r="I26" s="102">
        <v>0</v>
      </c>
      <c r="J26" s="102">
        <v>0</v>
      </c>
      <c r="K26" s="102">
        <v>1</v>
      </c>
      <c r="L26" s="102">
        <v>0</v>
      </c>
      <c r="M26" s="102">
        <v>5</v>
      </c>
      <c r="N26" s="102">
        <v>0</v>
      </c>
      <c r="O26" s="102">
        <v>0</v>
      </c>
      <c r="P26" s="102">
        <v>0</v>
      </c>
      <c r="Q26" s="102">
        <v>0</v>
      </c>
      <c r="R26" s="120"/>
      <c r="S26" s="120"/>
      <c r="T26" s="120"/>
      <c r="U26" s="120"/>
      <c r="V26" s="120"/>
      <c r="W26" s="120"/>
      <c r="X26" s="120"/>
      <c r="Y26" s="120"/>
      <c r="Z26" s="120"/>
      <c r="AA26" s="120"/>
      <c r="AB26" s="120"/>
    </row>
    <row r="27" spans="1:28" ht="15.75" customHeight="1" x14ac:dyDescent="0.55000000000000004">
      <c r="A27" s="123">
        <v>13</v>
      </c>
      <c r="B27" s="123" t="s">
        <v>947</v>
      </c>
      <c r="C27" s="123" t="s">
        <v>948</v>
      </c>
      <c r="D27" s="124">
        <v>28329</v>
      </c>
      <c r="E27" s="102" t="s">
        <v>2075</v>
      </c>
      <c r="F27" s="102">
        <v>3</v>
      </c>
      <c r="G27" s="102">
        <v>2</v>
      </c>
      <c r="H27" s="102">
        <v>1</v>
      </c>
      <c r="I27" s="102">
        <v>0</v>
      </c>
      <c r="J27" s="102">
        <v>0</v>
      </c>
      <c r="K27" s="102"/>
      <c r="L27" s="102"/>
      <c r="M27" s="102"/>
      <c r="N27" s="102"/>
      <c r="O27" s="102"/>
      <c r="P27" s="102"/>
      <c r="Q27" s="102">
        <v>1</v>
      </c>
      <c r="R27" s="120"/>
      <c r="S27" s="120"/>
      <c r="T27" s="120"/>
      <c r="U27" s="120"/>
      <c r="V27" s="120"/>
      <c r="W27" s="120"/>
      <c r="X27" s="120"/>
      <c r="Y27" s="120"/>
      <c r="Z27" s="120"/>
      <c r="AA27" s="120"/>
      <c r="AB27" s="120"/>
    </row>
    <row r="28" spans="1:28" ht="15.75" customHeight="1" x14ac:dyDescent="0.55000000000000004">
      <c r="A28" s="125">
        <v>14</v>
      </c>
      <c r="B28" s="125" t="s">
        <v>957</v>
      </c>
      <c r="C28" s="125" t="s">
        <v>958</v>
      </c>
      <c r="D28" s="126">
        <v>28363</v>
      </c>
      <c r="E28" s="102" t="s">
        <v>2076</v>
      </c>
      <c r="F28" s="102">
        <v>2</v>
      </c>
      <c r="G28" s="102">
        <v>2</v>
      </c>
      <c r="H28" s="102">
        <v>1</v>
      </c>
      <c r="I28" s="102">
        <v>0</v>
      </c>
      <c r="J28" s="102">
        <v>0</v>
      </c>
      <c r="K28" s="102"/>
      <c r="L28" s="102">
        <v>0</v>
      </c>
      <c r="M28" s="102">
        <v>5</v>
      </c>
      <c r="N28" s="102">
        <v>0</v>
      </c>
      <c r="O28" s="102">
        <v>0</v>
      </c>
      <c r="P28" s="102">
        <v>0</v>
      </c>
      <c r="Q28" s="102">
        <v>0</v>
      </c>
      <c r="R28" s="120"/>
      <c r="S28" s="120"/>
      <c r="T28" s="120"/>
      <c r="U28" s="120"/>
      <c r="V28" s="120"/>
      <c r="W28" s="120"/>
      <c r="X28" s="120"/>
      <c r="Y28" s="120"/>
      <c r="Z28" s="120"/>
      <c r="AA28" s="120"/>
      <c r="AB28" s="120"/>
    </row>
    <row r="29" spans="1:28" ht="15.75" customHeight="1" x14ac:dyDescent="0.55000000000000004">
      <c r="A29" s="127">
        <v>15</v>
      </c>
      <c r="B29" s="127" t="s">
        <v>967</v>
      </c>
      <c r="C29" s="127" t="s">
        <v>968</v>
      </c>
      <c r="D29" s="128">
        <v>28658</v>
      </c>
      <c r="E29" s="102" t="s">
        <v>2077</v>
      </c>
      <c r="F29" s="102">
        <v>2</v>
      </c>
      <c r="G29" s="102">
        <v>2</v>
      </c>
      <c r="H29" s="102">
        <v>1</v>
      </c>
      <c r="I29" s="102">
        <v>0</v>
      </c>
      <c r="J29" s="102">
        <v>0</v>
      </c>
      <c r="K29" s="102">
        <v>0</v>
      </c>
      <c r="L29" s="102">
        <v>1</v>
      </c>
      <c r="M29" s="102">
        <v>0</v>
      </c>
      <c r="N29" s="102">
        <v>0</v>
      </c>
      <c r="O29" s="102">
        <v>0</v>
      </c>
      <c r="P29" s="102">
        <v>0</v>
      </c>
      <c r="Q29" s="102">
        <v>0</v>
      </c>
      <c r="R29" s="120"/>
      <c r="S29" s="120"/>
      <c r="T29" s="120"/>
      <c r="U29" s="120"/>
      <c r="V29" s="120"/>
      <c r="W29" s="120"/>
      <c r="X29" s="120"/>
      <c r="Y29" s="120"/>
      <c r="Z29" s="120"/>
      <c r="AA29" s="120"/>
      <c r="AB29" s="120"/>
    </row>
    <row r="30" spans="1:28" ht="15.75" customHeight="1" x14ac:dyDescent="0.55000000000000004">
      <c r="A30" s="118">
        <v>16</v>
      </c>
      <c r="B30" s="118" t="s">
        <v>973</v>
      </c>
      <c r="C30" s="118" t="s">
        <v>974</v>
      </c>
      <c r="D30" s="119">
        <v>29254</v>
      </c>
      <c r="E30" s="102" t="s">
        <v>2078</v>
      </c>
      <c r="F30" s="102">
        <v>2</v>
      </c>
      <c r="G30" s="102">
        <v>0</v>
      </c>
      <c r="H30" s="102">
        <v>1</v>
      </c>
      <c r="I30" s="102">
        <v>0</v>
      </c>
      <c r="J30" s="102">
        <v>0</v>
      </c>
      <c r="K30" s="102"/>
      <c r="L30" s="102"/>
      <c r="M30" s="102"/>
      <c r="N30" s="102"/>
      <c r="O30" s="102"/>
      <c r="P30" s="102"/>
      <c r="Q30" s="102">
        <v>1</v>
      </c>
      <c r="R30" s="120"/>
      <c r="S30" s="120"/>
      <c r="T30" s="120"/>
      <c r="U30" s="120"/>
      <c r="V30" s="120"/>
      <c r="W30" s="120"/>
      <c r="X30" s="120"/>
      <c r="Y30" s="120"/>
      <c r="Z30" s="120"/>
      <c r="AA30" s="120"/>
      <c r="AB30" s="120"/>
    </row>
    <row r="31" spans="1:28" ht="15.75" customHeight="1" x14ac:dyDescent="0.55000000000000004">
      <c r="A31" s="121">
        <v>17</v>
      </c>
      <c r="B31" s="121" t="s">
        <v>977</v>
      </c>
      <c r="C31" s="121" t="s">
        <v>978</v>
      </c>
      <c r="D31" s="122">
        <v>29394</v>
      </c>
      <c r="E31" s="102" t="s">
        <v>2079</v>
      </c>
      <c r="F31" s="102">
        <v>3</v>
      </c>
      <c r="G31" s="102">
        <v>2</v>
      </c>
      <c r="H31" s="102">
        <v>0</v>
      </c>
      <c r="I31" s="102">
        <v>1</v>
      </c>
      <c r="J31" s="102">
        <v>0</v>
      </c>
      <c r="K31" s="102">
        <v>1</v>
      </c>
      <c r="L31" s="102"/>
      <c r="M31" s="102"/>
      <c r="N31" s="102"/>
      <c r="O31" s="102"/>
      <c r="P31" s="102"/>
      <c r="Q31" s="102">
        <v>1</v>
      </c>
      <c r="R31" s="120"/>
      <c r="S31" s="120"/>
      <c r="T31" s="120"/>
      <c r="U31" s="120"/>
      <c r="V31" s="120"/>
      <c r="W31" s="120"/>
      <c r="X31" s="120"/>
      <c r="Y31" s="120"/>
      <c r="Z31" s="120"/>
      <c r="AA31" s="120"/>
      <c r="AB31" s="120"/>
    </row>
    <row r="32" spans="1:28" ht="15.75" customHeight="1" x14ac:dyDescent="0.55000000000000004">
      <c r="A32" s="121">
        <v>17</v>
      </c>
      <c r="B32" s="121" t="s">
        <v>977</v>
      </c>
      <c r="C32" s="121" t="s">
        <v>978</v>
      </c>
      <c r="D32" s="122">
        <v>29394</v>
      </c>
      <c r="E32" s="102" t="s">
        <v>2080</v>
      </c>
      <c r="F32" s="102">
        <v>2</v>
      </c>
      <c r="G32" s="102">
        <v>2</v>
      </c>
      <c r="H32" s="102">
        <v>1</v>
      </c>
      <c r="I32" s="102">
        <v>1</v>
      </c>
      <c r="J32" s="102">
        <v>0</v>
      </c>
      <c r="K32" s="102">
        <v>1</v>
      </c>
      <c r="L32" s="102"/>
      <c r="M32" s="102"/>
      <c r="N32" s="102"/>
      <c r="O32" s="102"/>
      <c r="P32" s="102"/>
      <c r="Q32" s="102">
        <v>1</v>
      </c>
      <c r="R32" s="120"/>
      <c r="S32" s="120"/>
      <c r="T32" s="120"/>
      <c r="U32" s="120"/>
      <c r="V32" s="120"/>
      <c r="W32" s="120"/>
      <c r="X32" s="120"/>
      <c r="Y32" s="120"/>
      <c r="Z32" s="120"/>
      <c r="AA32" s="120"/>
      <c r="AB32" s="120"/>
    </row>
    <row r="33" spans="1:28" ht="15.75" customHeight="1" x14ac:dyDescent="0.55000000000000004">
      <c r="A33" s="121">
        <v>17</v>
      </c>
      <c r="B33" s="121" t="s">
        <v>977</v>
      </c>
      <c r="C33" s="121" t="s">
        <v>978</v>
      </c>
      <c r="D33" s="122">
        <v>29394</v>
      </c>
      <c r="E33" s="102" t="s">
        <v>2081</v>
      </c>
      <c r="F33" s="102">
        <v>0</v>
      </c>
      <c r="G33" s="102">
        <v>1</v>
      </c>
      <c r="H33" s="102">
        <v>1</v>
      </c>
      <c r="I33" s="102">
        <v>0</v>
      </c>
      <c r="J33" s="102">
        <v>0</v>
      </c>
      <c r="K33" s="102">
        <v>1</v>
      </c>
      <c r="L33" s="102">
        <v>3</v>
      </c>
      <c r="M33" s="102">
        <v>0</v>
      </c>
      <c r="N33" s="102">
        <v>0</v>
      </c>
      <c r="O33" s="102">
        <v>0</v>
      </c>
      <c r="P33" s="102">
        <v>0</v>
      </c>
      <c r="Q33" s="102">
        <v>0</v>
      </c>
      <c r="R33" s="120"/>
      <c r="S33" s="120"/>
      <c r="T33" s="120"/>
      <c r="U33" s="120"/>
      <c r="V33" s="120"/>
      <c r="W33" s="120"/>
      <c r="X33" s="120"/>
      <c r="Y33" s="120"/>
      <c r="Z33" s="120"/>
      <c r="AA33" s="120"/>
      <c r="AB33" s="120"/>
    </row>
    <row r="34" spans="1:28" ht="15.75" customHeight="1" x14ac:dyDescent="0.55000000000000004">
      <c r="A34" s="121">
        <v>17</v>
      </c>
      <c r="B34" s="121" t="s">
        <v>977</v>
      </c>
      <c r="C34" s="121" t="s">
        <v>978</v>
      </c>
      <c r="D34" s="122">
        <v>29394</v>
      </c>
      <c r="E34" s="102" t="s">
        <v>2082</v>
      </c>
      <c r="F34" s="102">
        <v>0</v>
      </c>
      <c r="G34" s="102">
        <v>0</v>
      </c>
      <c r="H34" s="102">
        <v>2</v>
      </c>
      <c r="I34" s="102">
        <v>0</v>
      </c>
      <c r="J34" s="102">
        <v>0</v>
      </c>
      <c r="K34" s="102">
        <v>1</v>
      </c>
      <c r="L34" s="102">
        <v>3</v>
      </c>
      <c r="M34" s="102">
        <v>0</v>
      </c>
      <c r="N34" s="102">
        <v>0</v>
      </c>
      <c r="O34" s="102">
        <v>0</v>
      </c>
      <c r="P34" s="102">
        <v>0</v>
      </c>
      <c r="Q34" s="102">
        <v>0</v>
      </c>
      <c r="R34" s="120"/>
      <c r="S34" s="120"/>
      <c r="T34" s="120"/>
      <c r="U34" s="120"/>
      <c r="V34" s="120"/>
      <c r="W34" s="120"/>
      <c r="X34" s="120"/>
      <c r="Y34" s="120"/>
      <c r="Z34" s="120"/>
      <c r="AA34" s="120"/>
      <c r="AB34" s="120"/>
    </row>
    <row r="35" spans="1:28" ht="15.75" customHeight="1" x14ac:dyDescent="0.55000000000000004">
      <c r="A35" s="123">
        <v>18</v>
      </c>
      <c r="B35" s="123" t="s">
        <v>987</v>
      </c>
      <c r="C35" s="123" t="s">
        <v>988</v>
      </c>
      <c r="D35" s="124">
        <v>29423</v>
      </c>
      <c r="E35" s="102" t="s">
        <v>2083</v>
      </c>
      <c r="F35" s="102">
        <v>2</v>
      </c>
      <c r="G35" s="102">
        <v>2</v>
      </c>
      <c r="H35" s="102">
        <v>1</v>
      </c>
      <c r="I35" s="102">
        <v>0</v>
      </c>
      <c r="J35" s="102">
        <v>0</v>
      </c>
      <c r="K35" s="102"/>
      <c r="L35" s="102"/>
      <c r="M35" s="102"/>
      <c r="N35" s="102"/>
      <c r="O35" s="102"/>
      <c r="P35" s="102"/>
      <c r="Q35" s="102">
        <v>1</v>
      </c>
      <c r="R35" s="120"/>
      <c r="S35" s="120"/>
      <c r="T35" s="120"/>
      <c r="U35" s="120"/>
      <c r="V35" s="120"/>
      <c r="W35" s="120"/>
      <c r="X35" s="120"/>
      <c r="Y35" s="120"/>
      <c r="Z35" s="120"/>
      <c r="AA35" s="120"/>
      <c r="AB35" s="120"/>
    </row>
    <row r="36" spans="1:28" ht="15.75" customHeight="1" x14ac:dyDescent="0.55000000000000004">
      <c r="A36" s="125">
        <v>19</v>
      </c>
      <c r="B36" s="125" t="s">
        <v>993</v>
      </c>
      <c r="C36" s="125" t="s">
        <v>994</v>
      </c>
      <c r="D36" s="126">
        <v>29713</v>
      </c>
      <c r="E36" s="102" t="s">
        <v>2084</v>
      </c>
      <c r="F36" s="102">
        <v>0</v>
      </c>
      <c r="G36" s="102">
        <v>1</v>
      </c>
      <c r="H36" s="102">
        <v>1</v>
      </c>
      <c r="I36" s="102">
        <v>0</v>
      </c>
      <c r="J36" s="102">
        <v>0</v>
      </c>
      <c r="K36" s="102"/>
      <c r="L36" s="102"/>
      <c r="M36" s="102"/>
      <c r="N36" s="102"/>
      <c r="O36" s="102"/>
      <c r="P36" s="102"/>
      <c r="Q36" s="102">
        <v>1</v>
      </c>
      <c r="R36" s="120"/>
      <c r="S36" s="120"/>
      <c r="T36" s="120"/>
      <c r="U36" s="120"/>
      <c r="V36" s="120"/>
      <c r="W36" s="120"/>
      <c r="X36" s="120"/>
      <c r="Y36" s="120"/>
      <c r="Z36" s="120"/>
      <c r="AA36" s="120"/>
      <c r="AB36" s="120"/>
    </row>
    <row r="37" spans="1:28" ht="15.75" customHeight="1" x14ac:dyDescent="0.55000000000000004">
      <c r="A37" s="127">
        <v>20</v>
      </c>
      <c r="B37" s="127" t="s">
        <v>998</v>
      </c>
      <c r="C37" s="127" t="s">
        <v>999</v>
      </c>
      <c r="D37" s="128">
        <v>29875</v>
      </c>
      <c r="E37" s="102" t="s">
        <v>2085</v>
      </c>
      <c r="F37" s="102">
        <v>3</v>
      </c>
      <c r="G37" s="102">
        <v>2</v>
      </c>
      <c r="H37" s="102">
        <v>1</v>
      </c>
      <c r="I37" s="102">
        <v>0</v>
      </c>
      <c r="J37" s="102">
        <v>0</v>
      </c>
      <c r="K37" s="102"/>
      <c r="L37" s="102"/>
      <c r="M37" s="102"/>
      <c r="N37" s="102"/>
      <c r="O37" s="102"/>
      <c r="P37" s="102"/>
      <c r="Q37" s="102">
        <v>1</v>
      </c>
      <c r="R37" s="120"/>
      <c r="S37" s="120"/>
      <c r="T37" s="120"/>
      <c r="U37" s="120"/>
      <c r="V37" s="120"/>
      <c r="W37" s="120"/>
      <c r="X37" s="120"/>
      <c r="Y37" s="120"/>
      <c r="Z37" s="120"/>
      <c r="AA37" s="120"/>
      <c r="AB37" s="120"/>
    </row>
    <row r="38" spans="1:28" ht="15.75" customHeight="1" x14ac:dyDescent="0.55000000000000004">
      <c r="A38" s="118">
        <v>21</v>
      </c>
      <c r="B38" s="118" t="s">
        <v>1004</v>
      </c>
      <c r="C38" s="118" t="s">
        <v>845</v>
      </c>
      <c r="D38" s="119">
        <v>30074</v>
      </c>
      <c r="E38" s="102" t="s">
        <v>2081</v>
      </c>
      <c r="F38" s="102">
        <v>0</v>
      </c>
      <c r="G38" s="102">
        <v>1</v>
      </c>
      <c r="H38" s="102">
        <v>1</v>
      </c>
      <c r="I38" s="102">
        <v>0</v>
      </c>
      <c r="J38" s="102">
        <v>0</v>
      </c>
      <c r="K38" s="102">
        <v>0</v>
      </c>
      <c r="L38" s="102">
        <v>2</v>
      </c>
      <c r="M38" s="102">
        <v>0</v>
      </c>
      <c r="N38" s="102">
        <v>0</v>
      </c>
      <c r="O38" s="102">
        <v>0</v>
      </c>
      <c r="P38" s="102">
        <v>0</v>
      </c>
      <c r="Q38" s="102">
        <v>0</v>
      </c>
      <c r="R38" s="120"/>
      <c r="S38" s="120"/>
      <c r="T38" s="120"/>
      <c r="U38" s="120"/>
      <c r="V38" s="120"/>
      <c r="W38" s="120"/>
      <c r="X38" s="120"/>
      <c r="Y38" s="120"/>
      <c r="Z38" s="120"/>
      <c r="AA38" s="120"/>
      <c r="AB38" s="120"/>
    </row>
    <row r="39" spans="1:28" ht="15.75" customHeight="1" x14ac:dyDescent="0.55000000000000004">
      <c r="A39" s="121">
        <v>22</v>
      </c>
      <c r="B39" s="121" t="s">
        <v>1013</v>
      </c>
      <c r="C39" s="121" t="s">
        <v>1014</v>
      </c>
      <c r="D39" s="122">
        <v>30172</v>
      </c>
      <c r="E39" s="102" t="s">
        <v>2086</v>
      </c>
      <c r="F39" s="102">
        <v>2</v>
      </c>
      <c r="G39" s="102">
        <v>2</v>
      </c>
      <c r="H39" s="102">
        <v>1</v>
      </c>
      <c r="I39" s="102">
        <v>0</v>
      </c>
      <c r="J39" s="102">
        <v>0</v>
      </c>
      <c r="K39" s="102"/>
      <c r="L39" s="102"/>
      <c r="M39" s="102"/>
      <c r="N39" s="102"/>
      <c r="O39" s="102"/>
      <c r="P39" s="102"/>
      <c r="Q39" s="102">
        <v>1</v>
      </c>
      <c r="R39" s="120"/>
      <c r="S39" s="120"/>
      <c r="T39" s="120"/>
      <c r="U39" s="120"/>
      <c r="V39" s="120"/>
      <c r="W39" s="120"/>
      <c r="X39" s="120"/>
      <c r="Y39" s="120"/>
      <c r="Z39" s="120"/>
      <c r="AA39" s="120"/>
      <c r="AB39" s="120"/>
    </row>
    <row r="40" spans="1:28" ht="15.75" customHeight="1" x14ac:dyDescent="0.55000000000000004">
      <c r="A40" s="121">
        <v>22</v>
      </c>
      <c r="B40" s="121" t="s">
        <v>1013</v>
      </c>
      <c r="C40" s="121" t="s">
        <v>1014</v>
      </c>
      <c r="D40" s="122">
        <v>30172</v>
      </c>
      <c r="E40" s="102" t="s">
        <v>2087</v>
      </c>
      <c r="F40" s="102">
        <v>0</v>
      </c>
      <c r="G40" s="102">
        <v>0</v>
      </c>
      <c r="H40" s="102">
        <v>1</v>
      </c>
      <c r="I40" s="102">
        <v>0</v>
      </c>
      <c r="J40" s="102">
        <v>0</v>
      </c>
      <c r="K40" s="102"/>
      <c r="L40" s="102"/>
      <c r="M40" s="102"/>
      <c r="N40" s="102"/>
      <c r="O40" s="102"/>
      <c r="P40" s="102"/>
      <c r="Q40" s="102">
        <v>1</v>
      </c>
      <c r="R40" s="120"/>
      <c r="S40" s="120"/>
      <c r="T40" s="120"/>
      <c r="U40" s="120"/>
      <c r="V40" s="120"/>
      <c r="W40" s="120"/>
      <c r="X40" s="120"/>
      <c r="Y40" s="120"/>
      <c r="Z40" s="120"/>
      <c r="AA40" s="120"/>
      <c r="AB40" s="120"/>
    </row>
    <row r="41" spans="1:28" ht="15.75" customHeight="1" x14ac:dyDescent="0.55000000000000004">
      <c r="A41" s="121">
        <v>22</v>
      </c>
      <c r="B41" s="121" t="s">
        <v>1013</v>
      </c>
      <c r="C41" s="121" t="s">
        <v>1014</v>
      </c>
      <c r="D41" s="122">
        <v>30172</v>
      </c>
      <c r="E41" s="102" t="s">
        <v>2088</v>
      </c>
      <c r="F41" s="102">
        <v>0</v>
      </c>
      <c r="G41" s="102">
        <v>1</v>
      </c>
      <c r="H41" s="102">
        <v>1</v>
      </c>
      <c r="I41" s="102">
        <v>0</v>
      </c>
      <c r="J41" s="102" t="s">
        <v>853</v>
      </c>
      <c r="K41" s="102"/>
      <c r="L41" s="102"/>
      <c r="M41" s="102"/>
      <c r="N41" s="102"/>
      <c r="O41" s="102"/>
      <c r="P41" s="102"/>
      <c r="Q41" s="102">
        <v>1</v>
      </c>
      <c r="R41" s="120"/>
      <c r="S41" s="120"/>
      <c r="T41" s="120"/>
      <c r="U41" s="120"/>
      <c r="V41" s="120"/>
      <c r="W41" s="120"/>
      <c r="X41" s="120"/>
      <c r="Y41" s="120"/>
      <c r="Z41" s="120"/>
      <c r="AA41" s="120"/>
      <c r="AB41" s="120"/>
    </row>
    <row r="42" spans="1:28" ht="15.75" customHeight="1" x14ac:dyDescent="0.55000000000000004">
      <c r="A42" s="123">
        <v>23</v>
      </c>
      <c r="B42" s="123" t="s">
        <v>1018</v>
      </c>
      <c r="C42" s="123" t="s">
        <v>1019</v>
      </c>
      <c r="D42" s="124">
        <v>30183</v>
      </c>
      <c r="E42" s="102" t="s">
        <v>2089</v>
      </c>
      <c r="F42" s="102">
        <v>1</v>
      </c>
      <c r="G42" s="102">
        <v>2</v>
      </c>
      <c r="H42" s="102">
        <v>1</v>
      </c>
      <c r="I42" s="102">
        <v>0</v>
      </c>
      <c r="J42" s="102" t="s">
        <v>853</v>
      </c>
      <c r="K42" s="102">
        <v>0</v>
      </c>
      <c r="L42" s="102">
        <v>1</v>
      </c>
      <c r="M42" s="102">
        <v>0</v>
      </c>
      <c r="N42" s="102">
        <v>0</v>
      </c>
      <c r="O42" s="102">
        <v>0</v>
      </c>
      <c r="P42" s="102">
        <v>0</v>
      </c>
      <c r="Q42" s="102">
        <v>0</v>
      </c>
      <c r="R42" s="120"/>
      <c r="S42" s="120"/>
      <c r="T42" s="120"/>
      <c r="U42" s="120"/>
      <c r="V42" s="120"/>
      <c r="W42" s="120"/>
      <c r="X42" s="120"/>
      <c r="Y42" s="120"/>
      <c r="Z42" s="120"/>
      <c r="AA42" s="120"/>
      <c r="AB42" s="120"/>
    </row>
    <row r="43" spans="1:28" ht="15.75" customHeight="1" x14ac:dyDescent="0.55000000000000004">
      <c r="A43" s="125">
        <v>24</v>
      </c>
      <c r="B43" s="125" t="s">
        <v>1026</v>
      </c>
      <c r="C43" s="125" t="s">
        <v>1027</v>
      </c>
      <c r="D43" s="126">
        <v>30350</v>
      </c>
      <c r="E43" s="102" t="s">
        <v>2088</v>
      </c>
      <c r="F43" s="102">
        <v>0</v>
      </c>
      <c r="G43" s="102">
        <v>1</v>
      </c>
      <c r="H43" s="102">
        <v>1</v>
      </c>
      <c r="I43" s="102">
        <v>0</v>
      </c>
      <c r="J43" s="102" t="s">
        <v>853</v>
      </c>
      <c r="K43" s="102"/>
      <c r="L43" s="102">
        <v>0</v>
      </c>
      <c r="M43" s="102">
        <v>5</v>
      </c>
      <c r="N43" s="102">
        <v>0</v>
      </c>
      <c r="O43" s="102">
        <v>0</v>
      </c>
      <c r="P43" s="102">
        <v>0</v>
      </c>
      <c r="Q43" s="102">
        <v>0</v>
      </c>
      <c r="R43" s="120"/>
      <c r="S43" s="120"/>
      <c r="T43" s="120"/>
      <c r="U43" s="120"/>
      <c r="V43" s="120"/>
      <c r="W43" s="120"/>
      <c r="X43" s="120"/>
      <c r="Y43" s="120"/>
      <c r="Z43" s="120"/>
      <c r="AA43" s="120"/>
      <c r="AB43" s="120"/>
    </row>
    <row r="44" spans="1:28" ht="15.75" customHeight="1" x14ac:dyDescent="0.55000000000000004">
      <c r="A44" s="127">
        <v>25</v>
      </c>
      <c r="B44" s="127" t="s">
        <v>1030</v>
      </c>
      <c r="C44" s="127" t="s">
        <v>1031</v>
      </c>
      <c r="D44" s="128">
        <v>30376</v>
      </c>
      <c r="E44" s="102" t="s">
        <v>2090</v>
      </c>
      <c r="F44" s="102">
        <v>3</v>
      </c>
      <c r="G44" s="102">
        <v>2</v>
      </c>
      <c r="H44" s="102">
        <v>1</v>
      </c>
      <c r="I44" s="102">
        <v>1</v>
      </c>
      <c r="J44" s="102">
        <v>0</v>
      </c>
      <c r="K44" s="102"/>
      <c r="L44" s="102"/>
      <c r="M44" s="102"/>
      <c r="N44" s="102"/>
      <c r="O44" s="102"/>
      <c r="P44" s="102"/>
      <c r="Q44" s="102">
        <v>1</v>
      </c>
      <c r="R44" s="120"/>
      <c r="S44" s="120"/>
      <c r="T44" s="120"/>
      <c r="U44" s="120"/>
      <c r="V44" s="120"/>
      <c r="W44" s="120"/>
      <c r="X44" s="120"/>
      <c r="Y44" s="120"/>
      <c r="Z44" s="120"/>
      <c r="AA44" s="120"/>
      <c r="AB44" s="120"/>
    </row>
    <row r="45" spans="1:28" ht="15.75" customHeight="1" x14ac:dyDescent="0.55000000000000004">
      <c r="A45" s="127">
        <v>25</v>
      </c>
      <c r="B45" s="127" t="s">
        <v>1030</v>
      </c>
      <c r="C45" s="127" t="s">
        <v>1031</v>
      </c>
      <c r="D45" s="128">
        <v>30376</v>
      </c>
      <c r="E45" s="102" t="s">
        <v>2091</v>
      </c>
      <c r="F45" s="102">
        <v>0</v>
      </c>
      <c r="G45" s="102">
        <v>0</v>
      </c>
      <c r="H45" s="102">
        <v>1</v>
      </c>
      <c r="I45" s="102">
        <v>1</v>
      </c>
      <c r="J45" s="102">
        <v>0</v>
      </c>
      <c r="K45" s="102"/>
      <c r="L45" s="102"/>
      <c r="M45" s="102"/>
      <c r="N45" s="102"/>
      <c r="O45" s="102"/>
      <c r="P45" s="102"/>
      <c r="Q45" s="102">
        <v>1</v>
      </c>
      <c r="R45" s="120"/>
      <c r="S45" s="120"/>
      <c r="T45" s="120"/>
      <c r="U45" s="120"/>
      <c r="V45" s="120"/>
      <c r="W45" s="120"/>
      <c r="X45" s="120"/>
      <c r="Y45" s="120"/>
      <c r="Z45" s="120"/>
      <c r="AA45" s="120"/>
      <c r="AB45" s="120"/>
    </row>
    <row r="46" spans="1:28" ht="15.75" customHeight="1" x14ac:dyDescent="0.55000000000000004">
      <c r="A46" s="127">
        <v>25</v>
      </c>
      <c r="B46" s="127" t="s">
        <v>1030</v>
      </c>
      <c r="C46" s="127" t="s">
        <v>1031</v>
      </c>
      <c r="D46" s="128">
        <v>30376</v>
      </c>
      <c r="E46" s="102" t="s">
        <v>2092</v>
      </c>
      <c r="F46" s="102">
        <v>0</v>
      </c>
      <c r="G46" s="102"/>
      <c r="H46" s="102">
        <v>1</v>
      </c>
      <c r="I46" s="102">
        <v>0</v>
      </c>
      <c r="J46" s="102">
        <v>0</v>
      </c>
      <c r="K46" s="102"/>
      <c r="L46" s="102"/>
      <c r="M46" s="102"/>
      <c r="N46" s="102"/>
      <c r="O46" s="102"/>
      <c r="P46" s="102"/>
      <c r="Q46" s="102">
        <v>1</v>
      </c>
      <c r="R46" s="120"/>
      <c r="S46" s="120"/>
      <c r="T46" s="120"/>
      <c r="U46" s="120"/>
      <c r="V46" s="120"/>
      <c r="W46" s="120"/>
      <c r="X46" s="120"/>
      <c r="Y46" s="120"/>
      <c r="Z46" s="120"/>
      <c r="AA46" s="120"/>
      <c r="AB46" s="120"/>
    </row>
    <row r="47" spans="1:28" ht="15.75" customHeight="1" x14ac:dyDescent="0.55000000000000004">
      <c r="A47" s="118">
        <v>26</v>
      </c>
      <c r="B47" s="118" t="s">
        <v>1039</v>
      </c>
      <c r="C47" s="118" t="s">
        <v>1040</v>
      </c>
      <c r="D47" s="119">
        <v>30600</v>
      </c>
      <c r="E47" s="102" t="s">
        <v>2093</v>
      </c>
      <c r="F47" s="102">
        <v>0</v>
      </c>
      <c r="G47" s="102">
        <v>1</v>
      </c>
      <c r="H47" s="102">
        <v>1</v>
      </c>
      <c r="I47" s="102">
        <v>0</v>
      </c>
      <c r="J47" s="102" t="s">
        <v>853</v>
      </c>
      <c r="K47" s="102">
        <v>0</v>
      </c>
      <c r="L47" s="102">
        <v>0</v>
      </c>
      <c r="M47" s="102">
        <v>0</v>
      </c>
      <c r="N47" s="102">
        <v>0</v>
      </c>
      <c r="O47" s="102">
        <v>0</v>
      </c>
      <c r="P47" s="102">
        <v>2</v>
      </c>
      <c r="Q47" s="102">
        <v>0</v>
      </c>
      <c r="R47" s="120"/>
      <c r="S47" s="120"/>
      <c r="T47" s="120"/>
      <c r="U47" s="120"/>
      <c r="V47" s="120"/>
      <c r="W47" s="120"/>
      <c r="X47" s="120"/>
      <c r="Y47" s="120"/>
      <c r="Z47" s="120"/>
      <c r="AA47" s="120"/>
      <c r="AB47" s="120"/>
    </row>
    <row r="48" spans="1:28" ht="15.75" customHeight="1" x14ac:dyDescent="0.55000000000000004">
      <c r="A48" s="118">
        <v>26</v>
      </c>
      <c r="B48" s="118" t="s">
        <v>1039</v>
      </c>
      <c r="C48" s="118" t="s">
        <v>1040</v>
      </c>
      <c r="D48" s="119">
        <v>30600</v>
      </c>
      <c r="E48" s="102" t="s">
        <v>2087</v>
      </c>
      <c r="F48" s="102">
        <v>0</v>
      </c>
      <c r="G48" s="102">
        <v>0</v>
      </c>
      <c r="H48" s="102">
        <v>0</v>
      </c>
      <c r="I48" s="102">
        <v>0</v>
      </c>
      <c r="J48" s="102">
        <v>0</v>
      </c>
      <c r="K48" s="102">
        <v>0</v>
      </c>
      <c r="L48" s="102">
        <v>1</v>
      </c>
      <c r="M48" s="102">
        <v>0</v>
      </c>
      <c r="N48" s="102">
        <v>0</v>
      </c>
      <c r="O48" s="102">
        <v>0</v>
      </c>
      <c r="P48" s="102">
        <v>0</v>
      </c>
      <c r="Q48" s="102">
        <v>0</v>
      </c>
      <c r="R48" s="120"/>
      <c r="S48" s="120"/>
      <c r="T48" s="120"/>
      <c r="U48" s="120"/>
      <c r="V48" s="120"/>
      <c r="W48" s="120"/>
      <c r="X48" s="120"/>
      <c r="Y48" s="120"/>
      <c r="Z48" s="120"/>
      <c r="AA48" s="120"/>
      <c r="AB48" s="120"/>
    </row>
    <row r="49" spans="1:28" ht="15.75" customHeight="1" x14ac:dyDescent="0.55000000000000004">
      <c r="A49" s="118">
        <v>26</v>
      </c>
      <c r="B49" s="118" t="s">
        <v>1039</v>
      </c>
      <c r="C49" s="118" t="s">
        <v>1040</v>
      </c>
      <c r="D49" s="119">
        <v>30600</v>
      </c>
      <c r="E49" s="102" t="s">
        <v>2094</v>
      </c>
      <c r="F49" s="102">
        <v>0</v>
      </c>
      <c r="G49" s="102">
        <v>0</v>
      </c>
      <c r="H49" s="102">
        <v>0</v>
      </c>
      <c r="I49" s="102">
        <v>0</v>
      </c>
      <c r="J49" s="102" t="s">
        <v>853</v>
      </c>
      <c r="K49" s="102">
        <v>0</v>
      </c>
      <c r="L49" s="102">
        <v>1</v>
      </c>
      <c r="M49" s="102">
        <v>0</v>
      </c>
      <c r="N49" s="102">
        <v>0</v>
      </c>
      <c r="O49" s="102">
        <v>0</v>
      </c>
      <c r="P49" s="102">
        <v>0</v>
      </c>
      <c r="Q49" s="102">
        <v>0</v>
      </c>
      <c r="R49" s="120"/>
      <c r="S49" s="120"/>
      <c r="T49" s="120"/>
      <c r="U49" s="120"/>
      <c r="V49" s="120"/>
      <c r="W49" s="120"/>
      <c r="X49" s="120"/>
      <c r="Y49" s="120"/>
      <c r="Z49" s="120"/>
      <c r="AA49" s="120"/>
      <c r="AB49" s="120"/>
    </row>
    <row r="50" spans="1:28" ht="15.75" customHeight="1" x14ac:dyDescent="0.55000000000000004">
      <c r="A50" s="118">
        <v>26</v>
      </c>
      <c r="B50" s="118" t="s">
        <v>1039</v>
      </c>
      <c r="C50" s="118" t="s">
        <v>1040</v>
      </c>
      <c r="D50" s="119">
        <v>30600</v>
      </c>
      <c r="E50" s="102" t="s">
        <v>2095</v>
      </c>
      <c r="F50" s="102">
        <v>0</v>
      </c>
      <c r="G50" s="102">
        <v>1</v>
      </c>
      <c r="H50" s="102">
        <v>0</v>
      </c>
      <c r="I50" s="102">
        <v>0</v>
      </c>
      <c r="J50" s="102" t="s">
        <v>853</v>
      </c>
      <c r="K50" s="102">
        <v>0</v>
      </c>
      <c r="L50" s="102">
        <v>0</v>
      </c>
      <c r="M50" s="102">
        <v>0</v>
      </c>
      <c r="N50" s="102">
        <v>0</v>
      </c>
      <c r="O50" s="102">
        <v>0</v>
      </c>
      <c r="P50" s="102">
        <v>3</v>
      </c>
      <c r="Q50" s="102">
        <v>0</v>
      </c>
      <c r="R50" s="120"/>
      <c r="S50" s="120"/>
      <c r="T50" s="120"/>
      <c r="U50" s="120"/>
      <c r="V50" s="120"/>
      <c r="W50" s="120"/>
      <c r="X50" s="120"/>
      <c r="Y50" s="120"/>
      <c r="Z50" s="120"/>
      <c r="AA50" s="120"/>
      <c r="AB50" s="120"/>
    </row>
    <row r="51" spans="1:28" ht="15.75" customHeight="1" x14ac:dyDescent="0.55000000000000004">
      <c r="A51" s="118">
        <v>26</v>
      </c>
      <c r="B51" s="118" t="s">
        <v>1039</v>
      </c>
      <c r="C51" s="118" t="s">
        <v>1040</v>
      </c>
      <c r="D51" s="119">
        <v>30600</v>
      </c>
      <c r="E51" s="102" t="s">
        <v>2096</v>
      </c>
      <c r="F51" s="102">
        <v>1</v>
      </c>
      <c r="G51" s="102">
        <v>2</v>
      </c>
      <c r="H51" s="102">
        <v>0</v>
      </c>
      <c r="I51" s="102">
        <v>0</v>
      </c>
      <c r="J51" s="102" t="s">
        <v>853</v>
      </c>
      <c r="K51" s="102">
        <v>0</v>
      </c>
      <c r="L51" s="102">
        <v>0</v>
      </c>
      <c r="M51" s="102">
        <v>0</v>
      </c>
      <c r="N51" s="102">
        <v>0</v>
      </c>
      <c r="O51" s="102">
        <v>0</v>
      </c>
      <c r="P51" s="102">
        <v>3</v>
      </c>
      <c r="Q51" s="102">
        <v>0</v>
      </c>
      <c r="R51" s="120"/>
      <c r="S51" s="120"/>
      <c r="T51" s="120"/>
      <c r="U51" s="120"/>
      <c r="V51" s="120"/>
      <c r="W51" s="120"/>
      <c r="X51" s="120"/>
      <c r="Y51" s="120"/>
      <c r="Z51" s="120"/>
      <c r="AA51" s="120"/>
      <c r="AB51" s="120"/>
    </row>
    <row r="52" spans="1:28" ht="15.75" customHeight="1" x14ac:dyDescent="0.55000000000000004">
      <c r="A52" s="121">
        <v>27</v>
      </c>
      <c r="B52" s="121" t="s">
        <v>1045</v>
      </c>
      <c r="C52" s="121" t="s">
        <v>1046</v>
      </c>
      <c r="D52" s="122">
        <v>30819</v>
      </c>
      <c r="E52" s="102" t="s">
        <v>2097</v>
      </c>
      <c r="F52" s="102">
        <v>2</v>
      </c>
      <c r="G52" s="102"/>
      <c r="H52" s="102">
        <v>1</v>
      </c>
      <c r="I52" s="102">
        <v>0</v>
      </c>
      <c r="J52" s="102" t="s">
        <v>853</v>
      </c>
      <c r="K52" s="102">
        <v>1</v>
      </c>
      <c r="L52" s="102">
        <v>3</v>
      </c>
      <c r="M52" s="102">
        <v>0</v>
      </c>
      <c r="N52" s="102">
        <v>0</v>
      </c>
      <c r="O52" s="102">
        <v>0</v>
      </c>
      <c r="P52" s="102">
        <v>0</v>
      </c>
      <c r="Q52" s="102">
        <v>0</v>
      </c>
      <c r="R52" s="120"/>
      <c r="S52" s="120"/>
      <c r="T52" s="120"/>
      <c r="U52" s="120"/>
      <c r="V52" s="120"/>
      <c r="W52" s="120"/>
      <c r="X52" s="120"/>
      <c r="Y52" s="120"/>
      <c r="Z52" s="120"/>
      <c r="AA52" s="120"/>
      <c r="AB52" s="120"/>
    </row>
    <row r="53" spans="1:28" ht="15.75" customHeight="1" x14ac:dyDescent="0.55000000000000004">
      <c r="A53" s="123">
        <v>28</v>
      </c>
      <c r="B53" s="123" t="s">
        <v>1051</v>
      </c>
      <c r="C53" s="123" t="s">
        <v>1052</v>
      </c>
      <c r="D53" s="124">
        <v>30862</v>
      </c>
      <c r="E53" s="102" t="s">
        <v>2098</v>
      </c>
      <c r="F53" s="102">
        <v>0</v>
      </c>
      <c r="G53" s="102">
        <v>1</v>
      </c>
      <c r="H53" s="102">
        <v>1</v>
      </c>
      <c r="I53" s="102">
        <v>0</v>
      </c>
      <c r="J53" s="102">
        <v>0</v>
      </c>
      <c r="K53" s="102">
        <v>1</v>
      </c>
      <c r="L53" s="102">
        <v>0</v>
      </c>
      <c r="M53" s="102">
        <v>3</v>
      </c>
      <c r="N53" s="102">
        <v>0</v>
      </c>
      <c r="O53" s="102">
        <v>0</v>
      </c>
      <c r="P53" s="102">
        <v>0</v>
      </c>
      <c r="Q53" s="102">
        <v>0</v>
      </c>
      <c r="R53" s="120"/>
      <c r="S53" s="120"/>
      <c r="T53" s="120"/>
      <c r="U53" s="120"/>
      <c r="V53" s="120"/>
      <c r="W53" s="120"/>
      <c r="X53" s="120"/>
      <c r="Y53" s="120"/>
      <c r="Z53" s="120"/>
      <c r="AA53" s="120"/>
      <c r="AB53" s="120"/>
    </row>
    <row r="54" spans="1:28" ht="15.75" customHeight="1" x14ac:dyDescent="0.55000000000000004">
      <c r="A54" s="125">
        <v>29</v>
      </c>
      <c r="B54" s="125" t="s">
        <v>1060</v>
      </c>
      <c r="C54" s="125" t="s">
        <v>1061</v>
      </c>
      <c r="D54" s="126">
        <v>30881</v>
      </c>
      <c r="E54" s="102" t="s">
        <v>2099</v>
      </c>
      <c r="F54" s="102">
        <v>3</v>
      </c>
      <c r="G54" s="102">
        <v>1</v>
      </c>
      <c r="H54" s="102">
        <v>1</v>
      </c>
      <c r="I54" s="102">
        <v>0</v>
      </c>
      <c r="J54" s="102">
        <v>0</v>
      </c>
      <c r="K54" s="102">
        <v>1</v>
      </c>
      <c r="L54" s="102">
        <v>3</v>
      </c>
      <c r="M54" s="102">
        <v>0</v>
      </c>
      <c r="N54" s="102">
        <v>0</v>
      </c>
      <c r="O54" s="102">
        <v>0</v>
      </c>
      <c r="P54" s="102">
        <v>0</v>
      </c>
      <c r="Q54" s="102">
        <v>0</v>
      </c>
      <c r="R54" s="120"/>
      <c r="S54" s="120"/>
      <c r="T54" s="120"/>
      <c r="U54" s="120"/>
      <c r="V54" s="120"/>
      <c r="W54" s="120"/>
      <c r="X54" s="120"/>
      <c r="Y54" s="120"/>
      <c r="Z54" s="120"/>
      <c r="AA54" s="120"/>
      <c r="AB54" s="120"/>
    </row>
    <row r="55" spans="1:28" ht="15.75" customHeight="1" x14ac:dyDescent="0.55000000000000004">
      <c r="A55" s="125">
        <v>29</v>
      </c>
      <c r="B55" s="125" t="s">
        <v>1060</v>
      </c>
      <c r="C55" s="125" t="s">
        <v>1061</v>
      </c>
      <c r="D55" s="126">
        <v>30881</v>
      </c>
      <c r="E55" s="102" t="s">
        <v>2100</v>
      </c>
      <c r="F55" s="102">
        <v>1</v>
      </c>
      <c r="G55" s="102">
        <v>2</v>
      </c>
      <c r="H55" s="102">
        <v>1</v>
      </c>
      <c r="I55" s="102">
        <v>0</v>
      </c>
      <c r="J55" s="102" t="s">
        <v>853</v>
      </c>
      <c r="K55" s="102">
        <v>1</v>
      </c>
      <c r="L55" s="102">
        <v>3</v>
      </c>
      <c r="M55" s="102">
        <v>0</v>
      </c>
      <c r="N55" s="102">
        <v>0</v>
      </c>
      <c r="O55" s="102">
        <v>0</v>
      </c>
      <c r="P55" s="102">
        <v>0</v>
      </c>
      <c r="Q55" s="102">
        <v>0</v>
      </c>
      <c r="R55" s="120"/>
      <c r="S55" s="120"/>
      <c r="T55" s="120"/>
      <c r="U55" s="120"/>
      <c r="V55" s="120"/>
      <c r="W55" s="120"/>
      <c r="X55" s="120"/>
      <c r="Y55" s="120"/>
      <c r="Z55" s="120"/>
      <c r="AA55" s="120"/>
      <c r="AB55" s="120"/>
    </row>
    <row r="56" spans="1:28" ht="15.75" customHeight="1" x14ac:dyDescent="0.55000000000000004">
      <c r="A56" s="125">
        <v>29</v>
      </c>
      <c r="B56" s="125" t="s">
        <v>1060</v>
      </c>
      <c r="C56" s="125" t="s">
        <v>1061</v>
      </c>
      <c r="D56" s="126">
        <v>30881</v>
      </c>
      <c r="E56" s="102" t="s">
        <v>2101</v>
      </c>
      <c r="F56" s="102">
        <v>0</v>
      </c>
      <c r="G56" s="102">
        <v>1</v>
      </c>
      <c r="H56" s="102">
        <v>1</v>
      </c>
      <c r="I56" s="102">
        <v>0</v>
      </c>
      <c r="J56" s="102">
        <v>0</v>
      </c>
      <c r="K56" s="102">
        <v>1</v>
      </c>
      <c r="L56" s="102">
        <v>3</v>
      </c>
      <c r="M56" s="102">
        <v>0</v>
      </c>
      <c r="N56" s="102">
        <v>0</v>
      </c>
      <c r="O56" s="102">
        <v>0</v>
      </c>
      <c r="P56" s="102">
        <v>0</v>
      </c>
      <c r="Q56" s="102">
        <v>0</v>
      </c>
      <c r="R56" s="120"/>
      <c r="S56" s="120"/>
      <c r="T56" s="120"/>
      <c r="U56" s="120"/>
      <c r="V56" s="120"/>
      <c r="W56" s="120"/>
      <c r="X56" s="120"/>
      <c r="Y56" s="120"/>
      <c r="Z56" s="120"/>
      <c r="AA56" s="120"/>
      <c r="AB56" s="120"/>
    </row>
    <row r="57" spans="1:28" ht="15.75" customHeight="1" x14ac:dyDescent="0.55000000000000004">
      <c r="A57" s="127">
        <v>30</v>
      </c>
      <c r="B57" s="127" t="s">
        <v>1068</v>
      </c>
      <c r="C57" s="127" t="s">
        <v>1069</v>
      </c>
      <c r="D57" s="128">
        <v>30887</v>
      </c>
      <c r="E57" s="102" t="s">
        <v>2102</v>
      </c>
      <c r="F57" s="102">
        <v>0</v>
      </c>
      <c r="G57" s="102">
        <v>2</v>
      </c>
      <c r="H57" s="102">
        <v>1</v>
      </c>
      <c r="I57" s="102">
        <v>0</v>
      </c>
      <c r="J57" s="102">
        <v>0</v>
      </c>
      <c r="K57" s="102">
        <v>0</v>
      </c>
      <c r="L57" s="102">
        <v>0</v>
      </c>
      <c r="M57" s="102">
        <v>2</v>
      </c>
      <c r="N57" s="102">
        <v>0</v>
      </c>
      <c r="O57" s="102">
        <v>0</v>
      </c>
      <c r="P57" s="102">
        <v>0</v>
      </c>
      <c r="Q57" s="102">
        <v>0</v>
      </c>
      <c r="R57" s="120"/>
      <c r="S57" s="120"/>
      <c r="T57" s="120"/>
      <c r="U57" s="120"/>
      <c r="V57" s="120"/>
      <c r="W57" s="120"/>
      <c r="X57" s="120"/>
      <c r="Y57" s="120"/>
      <c r="Z57" s="120"/>
      <c r="AA57" s="120"/>
      <c r="AB57" s="120"/>
    </row>
    <row r="58" spans="1:28" ht="15.75" customHeight="1" x14ac:dyDescent="0.55000000000000004">
      <c r="A58" s="127">
        <v>30</v>
      </c>
      <c r="B58" s="127" t="s">
        <v>1068</v>
      </c>
      <c r="C58" s="127" t="s">
        <v>1069</v>
      </c>
      <c r="D58" s="128">
        <v>30887</v>
      </c>
      <c r="E58" s="102" t="s">
        <v>2103</v>
      </c>
      <c r="F58" s="102">
        <v>1</v>
      </c>
      <c r="G58" s="102">
        <v>2</v>
      </c>
      <c r="H58" s="102">
        <v>1</v>
      </c>
      <c r="I58" s="102">
        <v>0</v>
      </c>
      <c r="J58" s="102" t="s">
        <v>853</v>
      </c>
      <c r="K58" s="102">
        <v>0</v>
      </c>
      <c r="L58" s="102">
        <v>0</v>
      </c>
      <c r="M58" s="102">
        <v>2</v>
      </c>
      <c r="N58" s="102">
        <v>0</v>
      </c>
      <c r="O58" s="102">
        <v>0</v>
      </c>
      <c r="P58" s="102">
        <v>0</v>
      </c>
      <c r="Q58" s="102">
        <v>0</v>
      </c>
      <c r="R58" s="120"/>
      <c r="S58" s="120"/>
      <c r="T58" s="120"/>
      <c r="U58" s="120"/>
      <c r="V58" s="120"/>
      <c r="W58" s="120"/>
      <c r="X58" s="120"/>
      <c r="Y58" s="120"/>
      <c r="Z58" s="120"/>
      <c r="AA58" s="120"/>
      <c r="AB58" s="120"/>
    </row>
    <row r="59" spans="1:28" ht="15.75" customHeight="1" x14ac:dyDescent="0.55000000000000004">
      <c r="A59" s="118">
        <v>31</v>
      </c>
      <c r="B59" s="118" t="s">
        <v>1075</v>
      </c>
      <c r="C59" s="118" t="s">
        <v>1076</v>
      </c>
      <c r="D59" s="119">
        <v>31122</v>
      </c>
      <c r="E59" s="102" t="s">
        <v>2104</v>
      </c>
      <c r="F59" s="102">
        <v>0</v>
      </c>
      <c r="G59" s="102">
        <v>1</v>
      </c>
      <c r="H59" s="102">
        <v>1</v>
      </c>
      <c r="I59" s="102">
        <v>0</v>
      </c>
      <c r="J59" s="102" t="s">
        <v>853</v>
      </c>
      <c r="K59" s="102"/>
      <c r="L59" s="102"/>
      <c r="M59" s="102"/>
      <c r="N59" s="102"/>
      <c r="O59" s="102"/>
      <c r="P59" s="102"/>
      <c r="Q59" s="102">
        <v>1</v>
      </c>
      <c r="R59" s="120"/>
      <c r="S59" s="120"/>
      <c r="T59" s="120"/>
      <c r="U59" s="120"/>
      <c r="V59" s="120"/>
      <c r="W59" s="120"/>
      <c r="X59" s="120"/>
      <c r="Y59" s="120"/>
      <c r="Z59" s="120"/>
      <c r="AA59" s="120"/>
      <c r="AB59" s="120"/>
    </row>
    <row r="60" spans="1:28" ht="15.75" customHeight="1" x14ac:dyDescent="0.55000000000000004">
      <c r="A60" s="121">
        <v>32</v>
      </c>
      <c r="B60" s="121" t="s">
        <v>1081</v>
      </c>
      <c r="C60" s="121" t="s">
        <v>1082</v>
      </c>
      <c r="D60" s="122">
        <v>31644</v>
      </c>
      <c r="E60" s="102" t="s">
        <v>2105</v>
      </c>
      <c r="F60" s="102">
        <v>0</v>
      </c>
      <c r="G60" s="102">
        <v>2</v>
      </c>
      <c r="H60" s="102">
        <v>1</v>
      </c>
      <c r="I60" s="102">
        <v>0</v>
      </c>
      <c r="J60" s="102">
        <v>0</v>
      </c>
      <c r="K60" s="102">
        <v>0</v>
      </c>
      <c r="L60" s="102">
        <v>0</v>
      </c>
      <c r="M60" s="102">
        <v>0</v>
      </c>
      <c r="N60" s="102">
        <v>0</v>
      </c>
      <c r="O60" s="102">
        <v>1</v>
      </c>
      <c r="P60" s="102">
        <v>0</v>
      </c>
      <c r="Q60" s="102">
        <v>0</v>
      </c>
      <c r="R60" s="120"/>
      <c r="S60" s="120"/>
      <c r="T60" s="120"/>
      <c r="U60" s="120"/>
      <c r="V60" s="120"/>
      <c r="W60" s="120"/>
      <c r="X60" s="120"/>
      <c r="Y60" s="120"/>
      <c r="Z60" s="120"/>
      <c r="AA60" s="120"/>
      <c r="AB60" s="120"/>
    </row>
    <row r="61" spans="1:28" ht="15.75" customHeight="1" x14ac:dyDescent="0.55000000000000004">
      <c r="A61" s="121">
        <v>32</v>
      </c>
      <c r="B61" s="121" t="s">
        <v>1081</v>
      </c>
      <c r="C61" s="121" t="s">
        <v>1082</v>
      </c>
      <c r="D61" s="122">
        <v>31644</v>
      </c>
      <c r="E61" s="102" t="s">
        <v>2106</v>
      </c>
      <c r="F61" s="102">
        <v>0</v>
      </c>
      <c r="G61" s="102">
        <v>2</v>
      </c>
      <c r="H61" s="102">
        <v>1</v>
      </c>
      <c r="I61" s="102">
        <v>1</v>
      </c>
      <c r="J61" s="102">
        <v>0</v>
      </c>
      <c r="K61" s="102">
        <v>1</v>
      </c>
      <c r="L61" s="102">
        <v>0</v>
      </c>
      <c r="M61" s="102">
        <v>0</v>
      </c>
      <c r="N61" s="102">
        <v>0</v>
      </c>
      <c r="O61" s="102">
        <v>1</v>
      </c>
      <c r="P61" s="102">
        <v>0</v>
      </c>
      <c r="Q61" s="102">
        <v>0</v>
      </c>
      <c r="R61" s="120"/>
      <c r="S61" s="120"/>
      <c r="T61" s="120"/>
      <c r="U61" s="120"/>
      <c r="V61" s="120"/>
      <c r="W61" s="120"/>
      <c r="X61" s="120"/>
      <c r="Y61" s="120"/>
      <c r="Z61" s="120"/>
      <c r="AA61" s="120"/>
      <c r="AB61" s="120"/>
    </row>
    <row r="62" spans="1:28" ht="15.75" customHeight="1" x14ac:dyDescent="0.55000000000000004">
      <c r="A62" s="121">
        <v>32</v>
      </c>
      <c r="B62" s="121" t="s">
        <v>1081</v>
      </c>
      <c r="C62" s="121" t="s">
        <v>1082</v>
      </c>
      <c r="D62" s="122">
        <v>31644</v>
      </c>
      <c r="E62" s="102" t="s">
        <v>2061</v>
      </c>
      <c r="F62" s="102">
        <v>0</v>
      </c>
      <c r="G62" s="102">
        <v>0</v>
      </c>
      <c r="H62" s="102">
        <v>0</v>
      </c>
      <c r="I62" s="102">
        <v>0</v>
      </c>
      <c r="J62" s="102">
        <v>0</v>
      </c>
      <c r="K62" s="102"/>
      <c r="L62" s="102">
        <v>3</v>
      </c>
      <c r="M62" s="102">
        <v>0</v>
      </c>
      <c r="N62" s="102">
        <v>0</v>
      </c>
      <c r="O62" s="102">
        <v>0</v>
      </c>
      <c r="P62" s="102">
        <v>0</v>
      </c>
      <c r="Q62" s="102">
        <v>0</v>
      </c>
      <c r="R62" s="120"/>
      <c r="S62" s="120"/>
      <c r="T62" s="120"/>
      <c r="U62" s="120"/>
      <c r="V62" s="120"/>
      <c r="W62" s="120"/>
      <c r="X62" s="120"/>
      <c r="Y62" s="120"/>
      <c r="Z62" s="120"/>
      <c r="AA62" s="120"/>
      <c r="AB62" s="120"/>
    </row>
    <row r="63" spans="1:28" ht="15.75" customHeight="1" x14ac:dyDescent="0.55000000000000004">
      <c r="A63" s="123">
        <v>33</v>
      </c>
      <c r="B63" s="123" t="s">
        <v>1088</v>
      </c>
      <c r="C63" s="123" t="s">
        <v>999</v>
      </c>
      <c r="D63" s="124">
        <v>31890</v>
      </c>
      <c r="E63" s="102" t="s">
        <v>2107</v>
      </c>
      <c r="F63" s="102">
        <v>3</v>
      </c>
      <c r="G63" s="102">
        <v>2</v>
      </c>
      <c r="H63" s="102">
        <v>1</v>
      </c>
      <c r="I63" s="102">
        <v>0</v>
      </c>
      <c r="J63" s="102">
        <v>0</v>
      </c>
      <c r="K63" s="102">
        <v>1</v>
      </c>
      <c r="L63" s="102">
        <v>1</v>
      </c>
      <c r="M63" s="102">
        <v>0</v>
      </c>
      <c r="N63" s="102">
        <v>0</v>
      </c>
      <c r="O63" s="102">
        <v>0</v>
      </c>
      <c r="P63" s="102">
        <v>0</v>
      </c>
      <c r="Q63" s="102">
        <v>0</v>
      </c>
      <c r="R63" s="120"/>
      <c r="S63" s="120"/>
      <c r="T63" s="120"/>
      <c r="U63" s="120"/>
      <c r="V63" s="120"/>
      <c r="W63" s="120"/>
      <c r="X63" s="120"/>
      <c r="Y63" s="120"/>
      <c r="Z63" s="120"/>
      <c r="AA63" s="120"/>
      <c r="AB63" s="120"/>
    </row>
    <row r="64" spans="1:28" ht="15.75" customHeight="1" x14ac:dyDescent="0.55000000000000004">
      <c r="A64" s="123">
        <v>33</v>
      </c>
      <c r="B64" s="123" t="s">
        <v>1088</v>
      </c>
      <c r="C64" s="123" t="s">
        <v>999</v>
      </c>
      <c r="D64" s="124">
        <v>31890</v>
      </c>
      <c r="E64" s="102" t="s">
        <v>2108</v>
      </c>
      <c r="F64" s="102">
        <v>0</v>
      </c>
      <c r="G64" s="102">
        <v>1</v>
      </c>
      <c r="H64" s="102">
        <v>1</v>
      </c>
      <c r="I64" s="102">
        <v>0</v>
      </c>
      <c r="J64" s="102" t="s">
        <v>853</v>
      </c>
      <c r="K64" s="102">
        <v>1</v>
      </c>
      <c r="L64" s="102">
        <v>1</v>
      </c>
      <c r="M64" s="102">
        <v>0</v>
      </c>
      <c r="N64" s="102">
        <v>0</v>
      </c>
      <c r="O64" s="102">
        <v>0</v>
      </c>
      <c r="P64" s="102">
        <v>0</v>
      </c>
      <c r="Q64" s="102">
        <v>0</v>
      </c>
      <c r="R64" s="120"/>
      <c r="S64" s="120"/>
      <c r="T64" s="120"/>
      <c r="U64" s="120"/>
      <c r="V64" s="120"/>
      <c r="W64" s="120"/>
      <c r="X64" s="120"/>
      <c r="Y64" s="120"/>
      <c r="Z64" s="120"/>
      <c r="AA64" s="120"/>
      <c r="AB64" s="120"/>
    </row>
    <row r="65" spans="1:28" ht="15.75" customHeight="1" x14ac:dyDescent="0.55000000000000004">
      <c r="A65" s="123">
        <v>33</v>
      </c>
      <c r="B65" s="123" t="s">
        <v>1088</v>
      </c>
      <c r="C65" s="123" t="s">
        <v>999</v>
      </c>
      <c r="D65" s="124">
        <v>31890</v>
      </c>
      <c r="E65" s="102" t="s">
        <v>2109</v>
      </c>
      <c r="F65" s="102">
        <v>1</v>
      </c>
      <c r="G65" s="102">
        <v>2</v>
      </c>
      <c r="H65" s="102">
        <v>1</v>
      </c>
      <c r="I65" s="102">
        <v>0</v>
      </c>
      <c r="J65" s="102" t="s">
        <v>853</v>
      </c>
      <c r="K65" s="102">
        <v>1</v>
      </c>
      <c r="L65" s="102">
        <v>3</v>
      </c>
      <c r="M65" s="102">
        <v>0</v>
      </c>
      <c r="N65" s="102">
        <v>0</v>
      </c>
      <c r="O65" s="102">
        <v>0</v>
      </c>
      <c r="P65" s="102">
        <v>0</v>
      </c>
      <c r="Q65" s="102">
        <v>0</v>
      </c>
      <c r="R65" s="120"/>
      <c r="S65" s="120"/>
      <c r="T65" s="120"/>
      <c r="U65" s="120"/>
      <c r="V65" s="120"/>
      <c r="W65" s="120"/>
      <c r="X65" s="120"/>
      <c r="Y65" s="120"/>
      <c r="Z65" s="120"/>
      <c r="AA65" s="120"/>
      <c r="AB65" s="120"/>
    </row>
    <row r="66" spans="1:28" ht="15.75" customHeight="1" x14ac:dyDescent="0.55000000000000004">
      <c r="A66" s="125">
        <v>34</v>
      </c>
      <c r="B66" s="125" t="s">
        <v>1094</v>
      </c>
      <c r="C66" s="125" t="s">
        <v>1095</v>
      </c>
      <c r="D66" s="126">
        <v>32189</v>
      </c>
      <c r="E66" s="102" t="s">
        <v>2110</v>
      </c>
      <c r="F66" s="102">
        <v>0</v>
      </c>
      <c r="G66" s="102"/>
      <c r="H66" s="102">
        <v>0</v>
      </c>
      <c r="I66" s="102">
        <v>0</v>
      </c>
      <c r="J66" s="102" t="s">
        <v>853</v>
      </c>
      <c r="K66" s="102">
        <v>1</v>
      </c>
      <c r="L66" s="102">
        <v>3</v>
      </c>
      <c r="M66" s="102">
        <v>0</v>
      </c>
      <c r="N66" s="102">
        <v>0</v>
      </c>
      <c r="O66" s="102">
        <v>0</v>
      </c>
      <c r="P66" s="102">
        <v>0</v>
      </c>
      <c r="Q66" s="102">
        <v>0</v>
      </c>
      <c r="R66" s="120"/>
      <c r="S66" s="120"/>
      <c r="T66" s="120"/>
      <c r="U66" s="120"/>
      <c r="V66" s="120"/>
      <c r="W66" s="120"/>
      <c r="X66" s="120"/>
      <c r="Y66" s="120"/>
      <c r="Z66" s="120"/>
      <c r="AA66" s="120"/>
      <c r="AB66" s="120"/>
    </row>
    <row r="67" spans="1:28" ht="15.75" customHeight="1" x14ac:dyDescent="0.55000000000000004">
      <c r="A67" s="125">
        <v>34</v>
      </c>
      <c r="B67" s="125" t="s">
        <v>1094</v>
      </c>
      <c r="C67" s="125" t="s">
        <v>1095</v>
      </c>
      <c r="D67" s="126">
        <v>32189</v>
      </c>
      <c r="E67" s="102" t="s">
        <v>2111</v>
      </c>
      <c r="F67" s="102">
        <v>0</v>
      </c>
      <c r="G67" s="102">
        <v>1</v>
      </c>
      <c r="H67" s="102">
        <v>0</v>
      </c>
      <c r="I67" s="102">
        <v>0</v>
      </c>
      <c r="J67" s="102" t="s">
        <v>853</v>
      </c>
      <c r="K67" s="102">
        <v>1</v>
      </c>
      <c r="L67" s="102">
        <v>3</v>
      </c>
      <c r="M67" s="102">
        <v>0</v>
      </c>
      <c r="N67" s="102">
        <v>0</v>
      </c>
      <c r="O67" s="102">
        <v>0</v>
      </c>
      <c r="P67" s="102">
        <v>0</v>
      </c>
      <c r="Q67" s="102">
        <v>0</v>
      </c>
      <c r="R67" s="120"/>
      <c r="S67" s="120"/>
      <c r="T67" s="120"/>
      <c r="U67" s="120"/>
      <c r="V67" s="120"/>
      <c r="W67" s="120"/>
      <c r="X67" s="120"/>
      <c r="Y67" s="120"/>
      <c r="Z67" s="120"/>
      <c r="AA67" s="120"/>
      <c r="AB67" s="120"/>
    </row>
    <row r="68" spans="1:28" ht="15.75" customHeight="1" x14ac:dyDescent="0.55000000000000004">
      <c r="A68" s="125">
        <v>34</v>
      </c>
      <c r="B68" s="125" t="s">
        <v>1094</v>
      </c>
      <c r="C68" s="125" t="s">
        <v>1095</v>
      </c>
      <c r="D68" s="126">
        <v>32189</v>
      </c>
      <c r="E68" s="102" t="s">
        <v>2112</v>
      </c>
      <c r="F68" s="102">
        <v>0</v>
      </c>
      <c r="G68" s="102">
        <v>1</v>
      </c>
      <c r="H68" s="102">
        <v>0</v>
      </c>
      <c r="I68" s="102">
        <v>0</v>
      </c>
      <c r="J68" s="102">
        <v>0</v>
      </c>
      <c r="K68" s="102">
        <v>1</v>
      </c>
      <c r="L68" s="102">
        <v>3</v>
      </c>
      <c r="M68" s="102">
        <v>0</v>
      </c>
      <c r="N68" s="102">
        <v>0</v>
      </c>
      <c r="O68" s="102">
        <v>0</v>
      </c>
      <c r="P68" s="102">
        <v>0</v>
      </c>
      <c r="Q68" s="102">
        <v>0</v>
      </c>
      <c r="R68" s="120"/>
      <c r="S68" s="120"/>
      <c r="T68" s="120"/>
      <c r="U68" s="120"/>
      <c r="V68" s="120"/>
      <c r="W68" s="120"/>
      <c r="X68" s="120"/>
      <c r="Y68" s="120"/>
      <c r="Z68" s="120"/>
      <c r="AA68" s="120"/>
      <c r="AB68" s="120"/>
    </row>
    <row r="69" spans="1:28" ht="15.75" customHeight="1" x14ac:dyDescent="0.55000000000000004">
      <c r="A69" s="125">
        <v>34</v>
      </c>
      <c r="B69" s="125" t="s">
        <v>1094</v>
      </c>
      <c r="C69" s="125" t="s">
        <v>1095</v>
      </c>
      <c r="D69" s="126">
        <v>32189</v>
      </c>
      <c r="E69" s="102" t="s">
        <v>2113</v>
      </c>
      <c r="F69" s="102">
        <v>1</v>
      </c>
      <c r="G69" s="102">
        <v>2</v>
      </c>
      <c r="H69" s="102">
        <v>1</v>
      </c>
      <c r="I69" s="102">
        <v>0</v>
      </c>
      <c r="J69" s="102" t="s">
        <v>853</v>
      </c>
      <c r="K69" s="102">
        <v>0</v>
      </c>
      <c r="L69" s="102">
        <v>1</v>
      </c>
      <c r="M69" s="102">
        <v>0</v>
      </c>
      <c r="N69" s="102">
        <v>0</v>
      </c>
      <c r="O69" s="102">
        <v>0</v>
      </c>
      <c r="P69" s="102">
        <v>0</v>
      </c>
      <c r="Q69" s="102">
        <v>0</v>
      </c>
      <c r="R69" s="120"/>
      <c r="S69" s="120"/>
      <c r="T69" s="120"/>
      <c r="U69" s="120"/>
      <c r="V69" s="120"/>
      <c r="W69" s="120"/>
      <c r="X69" s="120"/>
      <c r="Y69" s="120"/>
      <c r="Z69" s="120"/>
      <c r="AA69" s="120"/>
      <c r="AB69" s="120"/>
    </row>
    <row r="70" spans="1:28" ht="15.75" customHeight="1" x14ac:dyDescent="0.55000000000000004">
      <c r="A70" s="125">
        <v>34</v>
      </c>
      <c r="B70" s="125" t="s">
        <v>1094</v>
      </c>
      <c r="C70" s="125" t="s">
        <v>1095</v>
      </c>
      <c r="D70" s="126">
        <v>32189</v>
      </c>
      <c r="E70" s="102" t="s">
        <v>2114</v>
      </c>
      <c r="F70" s="102">
        <v>0</v>
      </c>
      <c r="G70" s="102"/>
      <c r="H70" s="102">
        <v>0</v>
      </c>
      <c r="I70" s="102">
        <v>0</v>
      </c>
      <c r="J70" s="102">
        <v>0</v>
      </c>
      <c r="K70" s="102">
        <v>1</v>
      </c>
      <c r="L70" s="102">
        <v>3</v>
      </c>
      <c r="M70" s="102">
        <v>0</v>
      </c>
      <c r="N70" s="102">
        <v>0</v>
      </c>
      <c r="O70" s="102">
        <v>0</v>
      </c>
      <c r="P70" s="102">
        <v>0</v>
      </c>
      <c r="Q70" s="102">
        <v>0</v>
      </c>
      <c r="R70" s="120"/>
      <c r="S70" s="120"/>
      <c r="T70" s="120"/>
      <c r="U70" s="120"/>
      <c r="V70" s="120"/>
      <c r="W70" s="120"/>
      <c r="X70" s="120"/>
      <c r="Y70" s="120"/>
      <c r="Z70" s="120"/>
      <c r="AA70" s="120"/>
      <c r="AB70" s="120"/>
    </row>
    <row r="71" spans="1:28" ht="15.75" customHeight="1" x14ac:dyDescent="0.55000000000000004">
      <c r="A71" s="125">
        <v>34</v>
      </c>
      <c r="B71" s="125" t="s">
        <v>1094</v>
      </c>
      <c r="C71" s="125" t="s">
        <v>1095</v>
      </c>
      <c r="D71" s="126">
        <v>32189</v>
      </c>
      <c r="E71" s="102" t="s">
        <v>2115</v>
      </c>
      <c r="F71" s="102">
        <v>2</v>
      </c>
      <c r="G71" s="102">
        <v>2</v>
      </c>
      <c r="H71" s="102">
        <v>0</v>
      </c>
      <c r="I71" s="102">
        <v>1</v>
      </c>
      <c r="J71" s="102">
        <v>0</v>
      </c>
      <c r="K71" s="102">
        <v>1</v>
      </c>
      <c r="L71" s="102">
        <v>3</v>
      </c>
      <c r="M71" s="102">
        <v>0</v>
      </c>
      <c r="N71" s="102">
        <v>0</v>
      </c>
      <c r="O71" s="102">
        <v>0</v>
      </c>
      <c r="P71" s="102">
        <v>0</v>
      </c>
      <c r="Q71" s="102">
        <v>0</v>
      </c>
      <c r="R71" s="120"/>
      <c r="S71" s="120"/>
      <c r="T71" s="120"/>
      <c r="U71" s="120"/>
      <c r="V71" s="120"/>
      <c r="W71" s="120"/>
      <c r="X71" s="120"/>
      <c r="Y71" s="120"/>
      <c r="Z71" s="120"/>
      <c r="AA71" s="120"/>
      <c r="AB71" s="120"/>
    </row>
    <row r="72" spans="1:28" ht="15.75" customHeight="1" x14ac:dyDescent="0.55000000000000004">
      <c r="A72" s="125">
        <v>34</v>
      </c>
      <c r="B72" s="125" t="s">
        <v>1094</v>
      </c>
      <c r="C72" s="125" t="s">
        <v>1095</v>
      </c>
      <c r="D72" s="126">
        <v>32189</v>
      </c>
      <c r="E72" s="102" t="s">
        <v>2116</v>
      </c>
      <c r="F72" s="102">
        <v>1</v>
      </c>
      <c r="G72" s="102">
        <v>2</v>
      </c>
      <c r="H72" s="102"/>
      <c r="I72" s="102">
        <v>0</v>
      </c>
      <c r="J72" s="102" t="s">
        <v>853</v>
      </c>
      <c r="K72" s="102">
        <v>1</v>
      </c>
      <c r="L72" s="102">
        <v>3</v>
      </c>
      <c r="M72" s="102">
        <v>0</v>
      </c>
      <c r="N72" s="102">
        <v>0</v>
      </c>
      <c r="O72" s="102">
        <v>0</v>
      </c>
      <c r="P72" s="102">
        <v>0</v>
      </c>
      <c r="Q72" s="102">
        <v>0</v>
      </c>
      <c r="R72" s="120"/>
      <c r="S72" s="120"/>
      <c r="T72" s="120"/>
      <c r="U72" s="120"/>
      <c r="V72" s="120"/>
      <c r="W72" s="120"/>
      <c r="X72" s="120"/>
      <c r="Y72" s="120"/>
      <c r="Z72" s="120"/>
      <c r="AA72" s="120"/>
      <c r="AB72" s="120"/>
    </row>
    <row r="73" spans="1:28" ht="15.75" customHeight="1" x14ac:dyDescent="0.55000000000000004">
      <c r="A73" s="125">
        <v>34</v>
      </c>
      <c r="B73" s="125" t="s">
        <v>1094</v>
      </c>
      <c r="C73" s="125" t="s">
        <v>1095</v>
      </c>
      <c r="D73" s="126">
        <v>32189</v>
      </c>
      <c r="E73" s="102" t="s">
        <v>2117</v>
      </c>
      <c r="F73" s="102">
        <v>0</v>
      </c>
      <c r="G73" s="102"/>
      <c r="H73" s="102">
        <v>0</v>
      </c>
      <c r="I73" s="102">
        <v>0</v>
      </c>
      <c r="J73" s="102">
        <v>0</v>
      </c>
      <c r="K73" s="102">
        <v>1</v>
      </c>
      <c r="L73" s="102">
        <v>3</v>
      </c>
      <c r="M73" s="102">
        <v>0</v>
      </c>
      <c r="N73" s="102">
        <v>0</v>
      </c>
      <c r="O73" s="102">
        <v>0</v>
      </c>
      <c r="P73" s="102">
        <v>0</v>
      </c>
      <c r="Q73" s="102">
        <v>0</v>
      </c>
      <c r="R73" s="120"/>
      <c r="S73" s="120"/>
      <c r="T73" s="120"/>
      <c r="U73" s="120"/>
      <c r="V73" s="120"/>
      <c r="W73" s="120"/>
      <c r="X73" s="120"/>
      <c r="Y73" s="120"/>
      <c r="Z73" s="120"/>
      <c r="AA73" s="120"/>
      <c r="AB73" s="120"/>
    </row>
    <row r="74" spans="1:28" ht="15.75" customHeight="1" x14ac:dyDescent="0.55000000000000004">
      <c r="A74" s="127">
        <v>35</v>
      </c>
      <c r="B74" s="127" t="s">
        <v>1102</v>
      </c>
      <c r="C74" s="127" t="s">
        <v>1046</v>
      </c>
      <c r="D74" s="128">
        <v>32341</v>
      </c>
      <c r="E74" s="102" t="s">
        <v>2118</v>
      </c>
      <c r="F74" s="102">
        <v>2</v>
      </c>
      <c r="G74" s="102">
        <v>0</v>
      </c>
      <c r="H74" s="102">
        <v>1</v>
      </c>
      <c r="I74" s="102">
        <v>0</v>
      </c>
      <c r="J74" s="102">
        <v>0</v>
      </c>
      <c r="K74" s="102"/>
      <c r="L74" s="102"/>
      <c r="M74" s="102"/>
      <c r="N74" s="102"/>
      <c r="O74" s="102"/>
      <c r="P74" s="102"/>
      <c r="Q74" s="102">
        <v>1</v>
      </c>
      <c r="R74" s="120"/>
      <c r="S74" s="120"/>
      <c r="T74" s="120"/>
      <c r="U74" s="120"/>
      <c r="V74" s="120"/>
      <c r="W74" s="120"/>
      <c r="X74" s="120"/>
      <c r="Y74" s="120"/>
      <c r="Z74" s="120"/>
      <c r="AA74" s="120"/>
      <c r="AB74" s="120"/>
    </row>
    <row r="75" spans="1:28" ht="15.75" customHeight="1" x14ac:dyDescent="0.55000000000000004">
      <c r="A75" s="118">
        <v>36</v>
      </c>
      <c r="B75" s="118" t="s">
        <v>1107</v>
      </c>
      <c r="C75" s="118" t="s">
        <v>1108</v>
      </c>
      <c r="D75" s="119">
        <v>32408</v>
      </c>
      <c r="E75" s="102" t="s">
        <v>2088</v>
      </c>
      <c r="F75" s="102">
        <v>0</v>
      </c>
      <c r="G75" s="102">
        <v>1</v>
      </c>
      <c r="H75" s="102">
        <v>1</v>
      </c>
      <c r="I75" s="102">
        <v>0</v>
      </c>
      <c r="J75" s="102" t="s">
        <v>853</v>
      </c>
      <c r="K75" s="102">
        <v>1</v>
      </c>
      <c r="L75" s="102"/>
      <c r="M75" s="102"/>
      <c r="N75" s="102"/>
      <c r="O75" s="102"/>
      <c r="P75" s="102"/>
      <c r="Q75" s="102">
        <v>1</v>
      </c>
      <c r="R75" s="120"/>
      <c r="S75" s="120"/>
      <c r="T75" s="120"/>
      <c r="U75" s="120"/>
      <c r="V75" s="120"/>
      <c r="W75" s="120"/>
      <c r="X75" s="120"/>
      <c r="Y75" s="120"/>
      <c r="Z75" s="120"/>
      <c r="AA75" s="120"/>
      <c r="AB75" s="120"/>
    </row>
    <row r="76" spans="1:28" ht="15.75" customHeight="1" x14ac:dyDescent="0.55000000000000004">
      <c r="A76" s="121">
        <v>37</v>
      </c>
      <c r="B76" s="121" t="s">
        <v>1116</v>
      </c>
      <c r="C76" s="121" t="s">
        <v>1082</v>
      </c>
      <c r="D76" s="122">
        <v>32525</v>
      </c>
      <c r="E76" s="102" t="s">
        <v>2119</v>
      </c>
      <c r="F76" s="102">
        <v>3</v>
      </c>
      <c r="G76" s="102">
        <v>2</v>
      </c>
      <c r="H76" s="102">
        <v>1</v>
      </c>
      <c r="I76" s="102">
        <v>0</v>
      </c>
      <c r="J76" s="102">
        <v>0</v>
      </c>
      <c r="K76" s="102">
        <v>1</v>
      </c>
      <c r="L76" s="102">
        <v>0</v>
      </c>
      <c r="M76" s="102">
        <v>3</v>
      </c>
      <c r="N76" s="102">
        <v>0</v>
      </c>
      <c r="O76" s="102">
        <v>0</v>
      </c>
      <c r="P76" s="102">
        <v>0</v>
      </c>
      <c r="Q76" s="102">
        <v>0</v>
      </c>
      <c r="R76" s="120"/>
      <c r="S76" s="120"/>
      <c r="T76" s="120"/>
      <c r="U76" s="120"/>
      <c r="V76" s="120"/>
      <c r="W76" s="120"/>
      <c r="X76" s="120"/>
      <c r="Y76" s="120"/>
      <c r="Z76" s="120"/>
      <c r="AA76" s="120"/>
      <c r="AB76" s="120"/>
    </row>
    <row r="77" spans="1:28" ht="15.75" customHeight="1" x14ac:dyDescent="0.55000000000000004">
      <c r="A77" s="121">
        <v>37</v>
      </c>
      <c r="B77" s="121" t="s">
        <v>1116</v>
      </c>
      <c r="C77" s="121" t="s">
        <v>1082</v>
      </c>
      <c r="D77" s="122">
        <v>32525</v>
      </c>
      <c r="E77" s="102" t="s">
        <v>2120</v>
      </c>
      <c r="F77" s="102">
        <v>0</v>
      </c>
      <c r="G77" s="102">
        <v>1</v>
      </c>
      <c r="H77" s="102">
        <v>2</v>
      </c>
      <c r="I77" s="102">
        <v>0</v>
      </c>
      <c r="J77" s="102">
        <v>0</v>
      </c>
      <c r="K77" s="102">
        <v>0</v>
      </c>
      <c r="L77" s="102">
        <v>0</v>
      </c>
      <c r="M77" s="102">
        <v>3</v>
      </c>
      <c r="N77" s="102">
        <v>0</v>
      </c>
      <c r="O77" s="102">
        <v>0</v>
      </c>
      <c r="P77" s="102">
        <v>0</v>
      </c>
      <c r="Q77" s="102">
        <v>0</v>
      </c>
      <c r="R77" s="120"/>
      <c r="S77" s="120"/>
      <c r="T77" s="120"/>
      <c r="U77" s="120"/>
      <c r="V77" s="120"/>
      <c r="W77" s="120"/>
      <c r="X77" s="120"/>
      <c r="Y77" s="120"/>
      <c r="Z77" s="120"/>
      <c r="AA77" s="120"/>
      <c r="AB77" s="120"/>
    </row>
    <row r="78" spans="1:28" ht="15.75" customHeight="1" x14ac:dyDescent="0.55000000000000004">
      <c r="A78" s="123">
        <v>38</v>
      </c>
      <c r="B78" s="123" t="s">
        <v>1126</v>
      </c>
      <c r="C78" s="123" t="s">
        <v>890</v>
      </c>
      <c r="D78" s="124">
        <v>32765</v>
      </c>
      <c r="E78" s="102" t="s">
        <v>2121</v>
      </c>
      <c r="F78" s="102">
        <v>3</v>
      </c>
      <c r="G78" s="102">
        <v>1</v>
      </c>
      <c r="H78" s="102">
        <v>0</v>
      </c>
      <c r="I78" s="102">
        <v>0</v>
      </c>
      <c r="J78" s="102">
        <v>0</v>
      </c>
      <c r="K78" s="102">
        <v>1</v>
      </c>
      <c r="L78" s="102">
        <v>1</v>
      </c>
      <c r="M78" s="102">
        <v>0</v>
      </c>
      <c r="N78" s="102">
        <v>0</v>
      </c>
      <c r="O78" s="102">
        <v>0</v>
      </c>
      <c r="P78" s="102">
        <v>0</v>
      </c>
      <c r="Q78" s="102">
        <v>0</v>
      </c>
      <c r="R78" s="120"/>
      <c r="S78" s="120"/>
      <c r="T78" s="120"/>
      <c r="U78" s="120"/>
      <c r="V78" s="120"/>
      <c r="W78" s="120"/>
      <c r="X78" s="120"/>
      <c r="Y78" s="120"/>
      <c r="Z78" s="120"/>
      <c r="AA78" s="120"/>
      <c r="AB78" s="120"/>
    </row>
    <row r="79" spans="1:28" ht="15.75" customHeight="1" x14ac:dyDescent="0.55000000000000004">
      <c r="A79" s="123">
        <v>38</v>
      </c>
      <c r="B79" s="123" t="s">
        <v>1126</v>
      </c>
      <c r="C79" s="123" t="s">
        <v>890</v>
      </c>
      <c r="D79" s="124">
        <v>32765</v>
      </c>
      <c r="E79" s="102" t="s">
        <v>2121</v>
      </c>
      <c r="F79" s="102">
        <v>3</v>
      </c>
      <c r="G79" s="102">
        <v>1</v>
      </c>
      <c r="H79" s="102">
        <v>0</v>
      </c>
      <c r="I79" s="102">
        <v>0</v>
      </c>
      <c r="J79" s="102">
        <v>0</v>
      </c>
      <c r="K79" s="102">
        <v>1</v>
      </c>
      <c r="L79" s="102">
        <v>1</v>
      </c>
      <c r="M79" s="102">
        <v>0</v>
      </c>
      <c r="N79" s="102">
        <v>0</v>
      </c>
      <c r="O79" s="102">
        <v>0</v>
      </c>
      <c r="P79" s="102">
        <v>0</v>
      </c>
      <c r="Q79" s="102">
        <v>0</v>
      </c>
      <c r="R79" s="120"/>
      <c r="S79" s="120"/>
      <c r="T79" s="120"/>
      <c r="U79" s="120"/>
      <c r="V79" s="120"/>
      <c r="W79" s="120"/>
      <c r="X79" s="120"/>
      <c r="Y79" s="120"/>
      <c r="Z79" s="120"/>
      <c r="AA79" s="120"/>
      <c r="AB79" s="120"/>
    </row>
    <row r="80" spans="1:28" ht="15.75" customHeight="1" x14ac:dyDescent="0.55000000000000004">
      <c r="A80" s="123">
        <v>38</v>
      </c>
      <c r="B80" s="123" t="s">
        <v>1126</v>
      </c>
      <c r="C80" s="123" t="s">
        <v>890</v>
      </c>
      <c r="D80" s="124">
        <v>32765</v>
      </c>
      <c r="E80" s="102" t="s">
        <v>2122</v>
      </c>
      <c r="F80" s="102">
        <v>0</v>
      </c>
      <c r="G80" s="102">
        <v>1</v>
      </c>
      <c r="H80" s="102">
        <v>0</v>
      </c>
      <c r="I80" s="102">
        <v>0</v>
      </c>
      <c r="J80" s="102" t="s">
        <v>853</v>
      </c>
      <c r="K80" s="102">
        <v>1</v>
      </c>
      <c r="L80" s="102">
        <v>1</v>
      </c>
      <c r="M80" s="102">
        <v>0</v>
      </c>
      <c r="N80" s="102">
        <v>0</v>
      </c>
      <c r="O80" s="102">
        <v>0</v>
      </c>
      <c r="P80" s="102">
        <v>0</v>
      </c>
      <c r="Q80" s="102">
        <v>0</v>
      </c>
      <c r="R80" s="120"/>
      <c r="S80" s="120"/>
      <c r="T80" s="120"/>
      <c r="U80" s="120"/>
      <c r="V80" s="120"/>
      <c r="W80" s="120"/>
      <c r="X80" s="120"/>
      <c r="Y80" s="120"/>
      <c r="Z80" s="120"/>
      <c r="AA80" s="120"/>
      <c r="AB80" s="120"/>
    </row>
    <row r="81" spans="1:28" ht="15.75" customHeight="1" x14ac:dyDescent="0.55000000000000004">
      <c r="A81" s="123">
        <v>38</v>
      </c>
      <c r="B81" s="123" t="s">
        <v>1126</v>
      </c>
      <c r="C81" s="123" t="s">
        <v>890</v>
      </c>
      <c r="D81" s="124">
        <v>32765</v>
      </c>
      <c r="E81" s="102" t="s">
        <v>2123</v>
      </c>
      <c r="F81" s="102">
        <v>0</v>
      </c>
      <c r="G81" s="102">
        <v>1</v>
      </c>
      <c r="H81" s="102">
        <v>2</v>
      </c>
      <c r="I81" s="102">
        <v>0</v>
      </c>
      <c r="J81" s="102">
        <v>0</v>
      </c>
      <c r="K81" s="102">
        <v>1</v>
      </c>
      <c r="L81" s="102">
        <v>1</v>
      </c>
      <c r="M81" s="102">
        <v>0</v>
      </c>
      <c r="N81" s="102">
        <v>0</v>
      </c>
      <c r="O81" s="102">
        <v>0</v>
      </c>
      <c r="P81" s="102">
        <v>0</v>
      </c>
      <c r="Q81" s="102">
        <v>0</v>
      </c>
      <c r="R81" s="120"/>
      <c r="S81" s="120"/>
      <c r="T81" s="120"/>
      <c r="U81" s="120"/>
      <c r="V81" s="120"/>
      <c r="W81" s="120"/>
      <c r="X81" s="120"/>
      <c r="Y81" s="120"/>
      <c r="Z81" s="120"/>
      <c r="AA81" s="120"/>
      <c r="AB81" s="120"/>
    </row>
    <row r="82" spans="1:28" ht="15.75" customHeight="1" x14ac:dyDescent="0.55000000000000004">
      <c r="A82" s="123">
        <v>38</v>
      </c>
      <c r="B82" s="123" t="s">
        <v>1126</v>
      </c>
      <c r="C82" s="123" t="s">
        <v>890</v>
      </c>
      <c r="D82" s="124">
        <v>32765</v>
      </c>
      <c r="E82" s="102" t="s">
        <v>2124</v>
      </c>
      <c r="F82" s="102">
        <v>3</v>
      </c>
      <c r="G82" s="102">
        <v>2</v>
      </c>
      <c r="H82" s="102">
        <v>1</v>
      </c>
      <c r="I82" s="102">
        <v>0</v>
      </c>
      <c r="J82" s="102">
        <v>0</v>
      </c>
      <c r="K82" s="102">
        <v>1</v>
      </c>
      <c r="L82" s="102">
        <v>1</v>
      </c>
      <c r="M82" s="102">
        <v>0</v>
      </c>
      <c r="N82" s="102">
        <v>0</v>
      </c>
      <c r="O82" s="102">
        <v>0</v>
      </c>
      <c r="P82" s="102">
        <v>0</v>
      </c>
      <c r="Q82" s="102">
        <v>0</v>
      </c>
      <c r="R82" s="120"/>
      <c r="S82" s="120"/>
      <c r="T82" s="120"/>
      <c r="U82" s="120"/>
      <c r="V82" s="120"/>
      <c r="W82" s="120"/>
      <c r="X82" s="120"/>
      <c r="Y82" s="120"/>
      <c r="Z82" s="120"/>
      <c r="AA82" s="120"/>
      <c r="AB82" s="120"/>
    </row>
    <row r="83" spans="1:28" ht="15.75" customHeight="1" x14ac:dyDescent="0.55000000000000004">
      <c r="A83" s="125">
        <v>39</v>
      </c>
      <c r="B83" s="125" t="s">
        <v>1134</v>
      </c>
      <c r="C83" s="125" t="s">
        <v>1061</v>
      </c>
      <c r="D83" s="126">
        <v>33042</v>
      </c>
      <c r="E83" s="102" t="s">
        <v>2125</v>
      </c>
      <c r="F83" s="102">
        <v>2</v>
      </c>
      <c r="G83" s="102">
        <v>2</v>
      </c>
      <c r="H83" s="102">
        <v>1</v>
      </c>
      <c r="I83" s="102">
        <v>0</v>
      </c>
      <c r="J83" s="102">
        <v>0</v>
      </c>
      <c r="K83" s="102"/>
      <c r="L83" s="102">
        <v>0</v>
      </c>
      <c r="M83" s="102">
        <v>1</v>
      </c>
      <c r="N83" s="102">
        <v>0</v>
      </c>
      <c r="O83" s="102">
        <v>0</v>
      </c>
      <c r="P83" s="102">
        <v>0</v>
      </c>
      <c r="Q83" s="102">
        <v>0</v>
      </c>
      <c r="R83" s="120"/>
      <c r="S83" s="120"/>
      <c r="T83" s="120"/>
      <c r="U83" s="120"/>
      <c r="V83" s="120"/>
      <c r="W83" s="120"/>
      <c r="X83" s="120"/>
      <c r="Y83" s="120"/>
      <c r="Z83" s="120"/>
      <c r="AA83" s="120"/>
      <c r="AB83" s="120"/>
    </row>
    <row r="84" spans="1:28" ht="15.75" customHeight="1" x14ac:dyDescent="0.55000000000000004">
      <c r="A84" s="125">
        <v>39</v>
      </c>
      <c r="B84" s="125" t="s">
        <v>1134</v>
      </c>
      <c r="C84" s="125" t="s">
        <v>1061</v>
      </c>
      <c r="D84" s="126">
        <v>33042</v>
      </c>
      <c r="E84" s="102" t="s">
        <v>2126</v>
      </c>
      <c r="F84" s="102">
        <v>0</v>
      </c>
      <c r="G84" s="102">
        <v>1</v>
      </c>
      <c r="H84" s="102">
        <v>2</v>
      </c>
      <c r="I84" s="102">
        <v>0</v>
      </c>
      <c r="J84" s="102" t="s">
        <v>853</v>
      </c>
      <c r="K84" s="102">
        <v>1</v>
      </c>
      <c r="L84" s="102">
        <v>0</v>
      </c>
      <c r="M84" s="102">
        <v>1</v>
      </c>
      <c r="N84" s="102">
        <v>0</v>
      </c>
      <c r="O84" s="102">
        <v>0</v>
      </c>
      <c r="P84" s="102">
        <v>0</v>
      </c>
      <c r="Q84" s="102">
        <v>0</v>
      </c>
      <c r="R84" s="120"/>
      <c r="S84" s="120"/>
      <c r="T84" s="120"/>
      <c r="U84" s="120"/>
      <c r="V84" s="120"/>
      <c r="W84" s="120"/>
      <c r="X84" s="120"/>
      <c r="Y84" s="120"/>
      <c r="Z84" s="120"/>
      <c r="AA84" s="120"/>
      <c r="AB84" s="120"/>
    </row>
    <row r="85" spans="1:28" ht="15.75" customHeight="1" x14ac:dyDescent="0.55000000000000004">
      <c r="A85" s="125">
        <v>39</v>
      </c>
      <c r="B85" s="125" t="s">
        <v>1134</v>
      </c>
      <c r="C85" s="125" t="s">
        <v>1061</v>
      </c>
      <c r="D85" s="126">
        <v>33042</v>
      </c>
      <c r="E85" s="102" t="s">
        <v>2127</v>
      </c>
      <c r="F85" s="102">
        <v>3</v>
      </c>
      <c r="G85" s="102">
        <v>1</v>
      </c>
      <c r="H85" s="102">
        <v>0</v>
      </c>
      <c r="I85" s="102">
        <v>0</v>
      </c>
      <c r="J85" s="102">
        <v>0</v>
      </c>
      <c r="K85" s="102"/>
      <c r="L85" s="102">
        <v>0</v>
      </c>
      <c r="M85" s="102">
        <v>1</v>
      </c>
      <c r="N85" s="102">
        <v>0</v>
      </c>
      <c r="O85" s="102">
        <v>0</v>
      </c>
      <c r="P85" s="102">
        <v>0</v>
      </c>
      <c r="Q85" s="102">
        <v>0</v>
      </c>
      <c r="R85" s="120"/>
      <c r="S85" s="120"/>
      <c r="T85" s="120"/>
      <c r="U85" s="120"/>
      <c r="V85" s="120"/>
      <c r="W85" s="120"/>
      <c r="X85" s="120"/>
      <c r="Y85" s="120"/>
      <c r="Z85" s="120"/>
      <c r="AA85" s="120"/>
      <c r="AB85" s="120"/>
    </row>
    <row r="86" spans="1:28" ht="15.75" customHeight="1" x14ac:dyDescent="0.55000000000000004">
      <c r="A86" s="127">
        <v>40</v>
      </c>
      <c r="B86" s="127" t="s">
        <v>1139</v>
      </c>
      <c r="C86" s="127" t="s">
        <v>890</v>
      </c>
      <c r="D86" s="128">
        <v>33521</v>
      </c>
      <c r="E86" s="102" t="s">
        <v>2128</v>
      </c>
      <c r="F86" s="102">
        <v>3</v>
      </c>
      <c r="G86" s="102">
        <v>0</v>
      </c>
      <c r="H86" s="102">
        <v>1</v>
      </c>
      <c r="I86" s="102">
        <v>1</v>
      </c>
      <c r="J86" s="102">
        <v>0</v>
      </c>
      <c r="K86" s="102">
        <v>1</v>
      </c>
      <c r="L86" s="102"/>
      <c r="M86" s="102"/>
      <c r="N86" s="102"/>
      <c r="O86" s="102"/>
      <c r="P86" s="102"/>
      <c r="Q86" s="102">
        <v>1</v>
      </c>
      <c r="R86" s="120"/>
      <c r="S86" s="120"/>
      <c r="T86" s="120"/>
      <c r="U86" s="120"/>
      <c r="V86" s="120"/>
      <c r="W86" s="120"/>
      <c r="X86" s="120"/>
      <c r="Y86" s="120"/>
      <c r="Z86" s="120"/>
      <c r="AA86" s="120"/>
      <c r="AB86" s="120"/>
    </row>
    <row r="87" spans="1:28" ht="15.75" customHeight="1" x14ac:dyDescent="0.55000000000000004">
      <c r="A87" s="127">
        <v>40</v>
      </c>
      <c r="B87" s="127" t="s">
        <v>1139</v>
      </c>
      <c r="C87" s="127" t="s">
        <v>890</v>
      </c>
      <c r="D87" s="128">
        <v>33521</v>
      </c>
      <c r="E87" s="102" t="s">
        <v>2129</v>
      </c>
      <c r="F87" s="102">
        <v>3</v>
      </c>
      <c r="G87" s="102">
        <v>1</v>
      </c>
      <c r="H87" s="102">
        <v>1</v>
      </c>
      <c r="I87" s="102">
        <v>0</v>
      </c>
      <c r="J87" s="102">
        <v>0</v>
      </c>
      <c r="K87" s="102">
        <v>1</v>
      </c>
      <c r="L87" s="102"/>
      <c r="M87" s="102"/>
      <c r="N87" s="102"/>
      <c r="O87" s="102"/>
      <c r="P87" s="102"/>
      <c r="Q87" s="102">
        <v>1</v>
      </c>
      <c r="R87" s="120"/>
      <c r="S87" s="120"/>
      <c r="T87" s="120"/>
      <c r="U87" s="120"/>
      <c r="V87" s="120"/>
      <c r="W87" s="120"/>
      <c r="X87" s="120"/>
      <c r="Y87" s="120"/>
      <c r="Z87" s="120"/>
      <c r="AA87" s="120"/>
      <c r="AB87" s="120"/>
    </row>
    <row r="88" spans="1:28" ht="15.75" customHeight="1" x14ac:dyDescent="0.55000000000000004">
      <c r="A88" s="118">
        <v>41</v>
      </c>
      <c r="B88" s="118" t="s">
        <v>1146</v>
      </c>
      <c r="C88" s="118" t="s">
        <v>1147</v>
      </c>
      <c r="D88" s="119">
        <v>33527</v>
      </c>
      <c r="E88" s="102" t="s">
        <v>2130</v>
      </c>
      <c r="F88" s="102">
        <v>0</v>
      </c>
      <c r="G88" s="102">
        <v>1</v>
      </c>
      <c r="H88" s="102">
        <v>1</v>
      </c>
      <c r="I88" s="102">
        <v>0</v>
      </c>
      <c r="J88" s="102">
        <v>0</v>
      </c>
      <c r="K88" s="102">
        <v>1</v>
      </c>
      <c r="L88" s="102">
        <v>1</v>
      </c>
      <c r="M88" s="102">
        <v>0</v>
      </c>
      <c r="N88" s="102">
        <v>0</v>
      </c>
      <c r="O88" s="102">
        <v>0</v>
      </c>
      <c r="P88" s="102">
        <v>0</v>
      </c>
      <c r="Q88" s="102">
        <v>0</v>
      </c>
      <c r="R88" s="120"/>
      <c r="S88" s="120"/>
      <c r="T88" s="120"/>
      <c r="U88" s="120"/>
      <c r="V88" s="120"/>
      <c r="W88" s="120"/>
      <c r="X88" s="120"/>
      <c r="Y88" s="120"/>
      <c r="Z88" s="120"/>
      <c r="AA88" s="120"/>
      <c r="AB88" s="120"/>
    </row>
    <row r="89" spans="1:28" ht="15.75" customHeight="1" x14ac:dyDescent="0.55000000000000004">
      <c r="A89" s="118">
        <v>41</v>
      </c>
      <c r="B89" s="118" t="s">
        <v>1146</v>
      </c>
      <c r="C89" s="118" t="s">
        <v>1147</v>
      </c>
      <c r="D89" s="119">
        <v>33527</v>
      </c>
      <c r="E89" s="102" t="s">
        <v>2131</v>
      </c>
      <c r="F89" s="102">
        <v>0</v>
      </c>
      <c r="G89" s="102">
        <v>1</v>
      </c>
      <c r="H89" s="102">
        <v>1</v>
      </c>
      <c r="I89" s="102">
        <v>0</v>
      </c>
      <c r="J89" s="102">
        <v>0</v>
      </c>
      <c r="K89" s="102">
        <v>1</v>
      </c>
      <c r="L89" s="102">
        <v>1</v>
      </c>
      <c r="M89" s="102">
        <v>0</v>
      </c>
      <c r="N89" s="102">
        <v>0</v>
      </c>
      <c r="O89" s="102">
        <v>0</v>
      </c>
      <c r="P89" s="102">
        <v>0</v>
      </c>
      <c r="Q89" s="102">
        <v>0</v>
      </c>
      <c r="R89" s="120"/>
      <c r="S89" s="120"/>
      <c r="T89" s="120"/>
      <c r="U89" s="120"/>
      <c r="V89" s="120"/>
      <c r="W89" s="120"/>
      <c r="X89" s="120"/>
      <c r="Y89" s="120"/>
      <c r="Z89" s="120"/>
      <c r="AA89" s="120"/>
      <c r="AB89" s="120"/>
    </row>
    <row r="90" spans="1:28" ht="15.75" customHeight="1" x14ac:dyDescent="0.55000000000000004">
      <c r="A90" s="121">
        <v>42</v>
      </c>
      <c r="B90" s="121" t="s">
        <v>1153</v>
      </c>
      <c r="C90" s="121" t="s">
        <v>1154</v>
      </c>
      <c r="D90" s="122">
        <v>33543</v>
      </c>
      <c r="E90" s="102" t="s">
        <v>2132</v>
      </c>
      <c r="F90" s="102">
        <v>0</v>
      </c>
      <c r="G90" s="102">
        <v>1</v>
      </c>
      <c r="H90" s="102">
        <v>1</v>
      </c>
      <c r="I90" s="102">
        <v>0</v>
      </c>
      <c r="J90" s="102" t="s">
        <v>853</v>
      </c>
      <c r="K90" s="102">
        <v>1</v>
      </c>
      <c r="L90" s="102">
        <v>1</v>
      </c>
      <c r="M90" s="102">
        <v>0</v>
      </c>
      <c r="N90" s="102">
        <v>0</v>
      </c>
      <c r="O90" s="102">
        <v>0</v>
      </c>
      <c r="P90" s="102">
        <v>0</v>
      </c>
      <c r="Q90" s="102">
        <v>0</v>
      </c>
      <c r="R90" s="120"/>
      <c r="S90" s="120"/>
      <c r="T90" s="120"/>
      <c r="U90" s="120"/>
      <c r="V90" s="120"/>
      <c r="W90" s="120"/>
      <c r="X90" s="120"/>
      <c r="Y90" s="120"/>
      <c r="Z90" s="120"/>
      <c r="AA90" s="120"/>
      <c r="AB90" s="120"/>
    </row>
    <row r="91" spans="1:28" ht="15.75" customHeight="1" x14ac:dyDescent="0.55000000000000004">
      <c r="A91" s="121">
        <v>42</v>
      </c>
      <c r="B91" s="121" t="s">
        <v>1153</v>
      </c>
      <c r="C91" s="121" t="s">
        <v>1154</v>
      </c>
      <c r="D91" s="122">
        <v>33543</v>
      </c>
      <c r="E91" s="102" t="s">
        <v>2061</v>
      </c>
      <c r="F91" s="102">
        <v>0</v>
      </c>
      <c r="G91" s="102">
        <v>0</v>
      </c>
      <c r="H91" s="102">
        <v>0</v>
      </c>
      <c r="I91" s="102">
        <v>0</v>
      </c>
      <c r="J91" s="102">
        <v>0</v>
      </c>
      <c r="K91" s="102">
        <v>1</v>
      </c>
      <c r="L91" s="102">
        <v>1</v>
      </c>
      <c r="M91" s="102">
        <v>0</v>
      </c>
      <c r="N91" s="102">
        <v>0</v>
      </c>
      <c r="O91" s="102">
        <v>0</v>
      </c>
      <c r="P91" s="102">
        <v>0</v>
      </c>
      <c r="Q91" s="102">
        <v>0</v>
      </c>
      <c r="R91" s="120"/>
      <c r="S91" s="120"/>
      <c r="T91" s="120"/>
      <c r="U91" s="120"/>
      <c r="V91" s="120"/>
      <c r="W91" s="120"/>
      <c r="X91" s="120"/>
      <c r="Y91" s="120"/>
      <c r="Z91" s="120"/>
      <c r="AA91" s="120"/>
      <c r="AB91" s="120"/>
    </row>
    <row r="92" spans="1:28" ht="15.75" customHeight="1" x14ac:dyDescent="0.55000000000000004">
      <c r="A92" s="123">
        <v>43</v>
      </c>
      <c r="B92" s="123" t="s">
        <v>1163</v>
      </c>
      <c r="C92" s="123" t="s">
        <v>859</v>
      </c>
      <c r="D92" s="124">
        <v>33551</v>
      </c>
      <c r="E92" s="102" t="s">
        <v>2133</v>
      </c>
      <c r="F92" s="102">
        <v>0</v>
      </c>
      <c r="G92" s="102">
        <v>1</v>
      </c>
      <c r="H92" s="102">
        <v>1</v>
      </c>
      <c r="I92" s="102">
        <v>0</v>
      </c>
      <c r="J92" s="102" t="s">
        <v>853</v>
      </c>
      <c r="K92" s="102"/>
      <c r="L92" s="102">
        <v>2</v>
      </c>
      <c r="M92" s="102">
        <v>0</v>
      </c>
      <c r="N92" s="102">
        <v>0</v>
      </c>
      <c r="O92" s="102">
        <v>0</v>
      </c>
      <c r="P92" s="102">
        <v>0</v>
      </c>
      <c r="Q92" s="102">
        <v>0</v>
      </c>
      <c r="R92" s="120"/>
      <c r="S92" s="120"/>
      <c r="T92" s="120"/>
      <c r="U92" s="120"/>
      <c r="V92" s="120"/>
      <c r="W92" s="120"/>
      <c r="X92" s="120"/>
      <c r="Y92" s="120"/>
      <c r="Z92" s="120"/>
      <c r="AA92" s="120"/>
      <c r="AB92" s="120"/>
    </row>
    <row r="93" spans="1:28" ht="15.75" customHeight="1" x14ac:dyDescent="0.55000000000000004">
      <c r="A93" s="125">
        <v>44</v>
      </c>
      <c r="B93" s="125" t="s">
        <v>1168</v>
      </c>
      <c r="C93" s="125" t="s">
        <v>1169</v>
      </c>
      <c r="D93" s="126">
        <v>33556</v>
      </c>
      <c r="E93" s="102" t="s">
        <v>2134</v>
      </c>
      <c r="F93" s="102">
        <v>2</v>
      </c>
      <c r="G93" s="102">
        <v>0</v>
      </c>
      <c r="H93" s="102">
        <v>1</v>
      </c>
      <c r="I93" s="102">
        <v>1</v>
      </c>
      <c r="J93" s="102">
        <v>1</v>
      </c>
      <c r="K93" s="102">
        <v>1</v>
      </c>
      <c r="L93" s="102">
        <v>0</v>
      </c>
      <c r="M93" s="102">
        <v>3</v>
      </c>
      <c r="N93" s="102">
        <v>0</v>
      </c>
      <c r="O93" s="102">
        <v>0</v>
      </c>
      <c r="P93" s="102">
        <v>0</v>
      </c>
      <c r="Q93" s="102">
        <v>0</v>
      </c>
      <c r="R93" s="120"/>
      <c r="S93" s="120"/>
      <c r="T93" s="120"/>
      <c r="U93" s="120"/>
      <c r="V93" s="120"/>
      <c r="W93" s="120"/>
      <c r="X93" s="120"/>
      <c r="Y93" s="120"/>
      <c r="Z93" s="120"/>
      <c r="AA93" s="120"/>
      <c r="AB93" s="120"/>
    </row>
    <row r="94" spans="1:28" ht="15.75" customHeight="1" x14ac:dyDescent="0.55000000000000004">
      <c r="A94" s="127">
        <v>45</v>
      </c>
      <c r="B94" s="127" t="s">
        <v>1175</v>
      </c>
      <c r="C94" s="127" t="s">
        <v>1176</v>
      </c>
      <c r="D94" s="128">
        <v>33678</v>
      </c>
      <c r="E94" s="102" t="s">
        <v>2074</v>
      </c>
      <c r="F94" s="102">
        <v>0</v>
      </c>
      <c r="G94" s="102"/>
      <c r="H94" s="102">
        <v>1</v>
      </c>
      <c r="I94" s="102">
        <v>0</v>
      </c>
      <c r="J94" s="102">
        <v>0</v>
      </c>
      <c r="K94" s="102"/>
      <c r="L94" s="102"/>
      <c r="M94" s="102"/>
      <c r="N94" s="102"/>
      <c r="O94" s="102"/>
      <c r="P94" s="102"/>
      <c r="Q94" s="102">
        <v>1</v>
      </c>
      <c r="R94" s="120"/>
      <c r="S94" s="120"/>
      <c r="T94" s="120"/>
      <c r="U94" s="120"/>
      <c r="V94" s="120"/>
      <c r="W94" s="120"/>
      <c r="X94" s="120"/>
      <c r="Y94" s="120"/>
      <c r="Z94" s="120"/>
      <c r="AA94" s="120"/>
      <c r="AB94" s="120"/>
    </row>
    <row r="95" spans="1:28" ht="15.75" customHeight="1" x14ac:dyDescent="0.55000000000000004">
      <c r="A95" s="118">
        <v>46</v>
      </c>
      <c r="B95" s="118" t="s">
        <v>1180</v>
      </c>
      <c r="C95" s="118" t="s">
        <v>878</v>
      </c>
      <c r="D95" s="119">
        <v>33725</v>
      </c>
      <c r="E95" s="102" t="s">
        <v>2135</v>
      </c>
      <c r="F95" s="102">
        <v>2</v>
      </c>
      <c r="G95" s="102">
        <v>0</v>
      </c>
      <c r="H95" s="102">
        <v>1</v>
      </c>
      <c r="I95" s="102">
        <v>1</v>
      </c>
      <c r="J95" s="102">
        <v>0</v>
      </c>
      <c r="K95" s="102">
        <v>1</v>
      </c>
      <c r="L95" s="102">
        <v>1</v>
      </c>
      <c r="M95" s="102">
        <v>0</v>
      </c>
      <c r="N95" s="102">
        <v>0</v>
      </c>
      <c r="O95" s="102">
        <v>0</v>
      </c>
      <c r="P95" s="102">
        <v>0</v>
      </c>
      <c r="Q95" s="102">
        <v>0</v>
      </c>
      <c r="R95" s="120"/>
      <c r="S95" s="120"/>
      <c r="T95" s="120"/>
      <c r="U95" s="120"/>
      <c r="V95" s="120"/>
      <c r="W95" s="120"/>
      <c r="X95" s="120"/>
      <c r="Y95" s="120"/>
      <c r="Z95" s="120"/>
      <c r="AA95" s="120"/>
      <c r="AB95" s="120"/>
    </row>
    <row r="96" spans="1:28" ht="15.75" customHeight="1" x14ac:dyDescent="0.55000000000000004">
      <c r="A96" s="118">
        <v>46</v>
      </c>
      <c r="B96" s="118" t="s">
        <v>1180</v>
      </c>
      <c r="C96" s="118" t="s">
        <v>878</v>
      </c>
      <c r="D96" s="119">
        <v>33725</v>
      </c>
      <c r="E96" s="102" t="s">
        <v>2136</v>
      </c>
      <c r="F96" s="102">
        <v>1</v>
      </c>
      <c r="G96" s="102">
        <v>2</v>
      </c>
      <c r="H96" s="102">
        <v>1</v>
      </c>
      <c r="I96" s="102">
        <v>0</v>
      </c>
      <c r="J96" s="102" t="s">
        <v>853</v>
      </c>
      <c r="K96" s="102">
        <v>1</v>
      </c>
      <c r="L96" s="102">
        <v>1</v>
      </c>
      <c r="M96" s="102">
        <v>0</v>
      </c>
      <c r="N96" s="102">
        <v>0</v>
      </c>
      <c r="O96" s="102">
        <v>0</v>
      </c>
      <c r="P96" s="102">
        <v>0</v>
      </c>
      <c r="Q96" s="102">
        <v>0</v>
      </c>
      <c r="R96" s="120"/>
      <c r="S96" s="120"/>
      <c r="T96" s="120"/>
      <c r="U96" s="120"/>
      <c r="V96" s="120"/>
      <c r="W96" s="120"/>
      <c r="X96" s="120"/>
      <c r="Y96" s="120"/>
      <c r="Z96" s="120"/>
      <c r="AA96" s="120"/>
      <c r="AB96" s="120"/>
    </row>
    <row r="97" spans="1:28" ht="15.75" customHeight="1" x14ac:dyDescent="0.55000000000000004">
      <c r="A97" s="121">
        <v>47</v>
      </c>
      <c r="B97" s="121" t="s">
        <v>1189</v>
      </c>
      <c r="C97" s="121" t="s">
        <v>1014</v>
      </c>
      <c r="D97" s="122">
        <v>33892</v>
      </c>
      <c r="E97" s="102" t="s">
        <v>2137</v>
      </c>
      <c r="F97" s="102">
        <v>0</v>
      </c>
      <c r="G97" s="102">
        <v>1</v>
      </c>
      <c r="H97" s="102">
        <v>1</v>
      </c>
      <c r="I97" s="102">
        <v>0</v>
      </c>
      <c r="J97" s="102">
        <v>0</v>
      </c>
      <c r="K97" s="102">
        <v>1</v>
      </c>
      <c r="L97" s="102">
        <v>0</v>
      </c>
      <c r="M97" s="102">
        <v>6</v>
      </c>
      <c r="N97" s="102">
        <v>0</v>
      </c>
      <c r="O97" s="102">
        <v>0</v>
      </c>
      <c r="P97" s="102">
        <v>0</v>
      </c>
      <c r="Q97" s="102">
        <v>0</v>
      </c>
      <c r="R97" s="120"/>
      <c r="S97" s="120"/>
      <c r="T97" s="120"/>
      <c r="U97" s="120"/>
      <c r="V97" s="120"/>
      <c r="W97" s="120"/>
      <c r="X97" s="120"/>
      <c r="Y97" s="120"/>
      <c r="Z97" s="120"/>
      <c r="AA97" s="120"/>
      <c r="AB97" s="120"/>
    </row>
    <row r="98" spans="1:28" ht="15.75" customHeight="1" x14ac:dyDescent="0.55000000000000004">
      <c r="A98" s="123">
        <v>48</v>
      </c>
      <c r="B98" s="123" t="s">
        <v>1193</v>
      </c>
      <c r="C98" s="123" t="s">
        <v>1194</v>
      </c>
      <c r="D98" s="124">
        <v>33916</v>
      </c>
      <c r="E98" s="102" t="s">
        <v>2138</v>
      </c>
      <c r="F98" s="102">
        <v>0</v>
      </c>
      <c r="G98" s="102">
        <v>0</v>
      </c>
      <c r="H98" s="102">
        <v>1</v>
      </c>
      <c r="I98" s="102">
        <v>0</v>
      </c>
      <c r="J98" s="102" t="s">
        <v>853</v>
      </c>
      <c r="K98" s="102">
        <v>0</v>
      </c>
      <c r="L98" s="102"/>
      <c r="M98" s="102"/>
      <c r="N98" s="102"/>
      <c r="O98" s="102"/>
      <c r="P98" s="102"/>
      <c r="Q98" s="102">
        <v>1</v>
      </c>
      <c r="R98" s="120"/>
      <c r="S98" s="120"/>
      <c r="T98" s="120"/>
      <c r="U98" s="120"/>
      <c r="V98" s="120"/>
      <c r="W98" s="120"/>
      <c r="X98" s="120"/>
      <c r="Y98" s="120"/>
      <c r="Z98" s="120"/>
      <c r="AA98" s="120"/>
      <c r="AB98" s="120"/>
    </row>
    <row r="99" spans="1:28" ht="15.75" customHeight="1" x14ac:dyDescent="0.55000000000000004">
      <c r="A99" s="123">
        <v>48</v>
      </c>
      <c r="B99" s="123" t="s">
        <v>1193</v>
      </c>
      <c r="C99" s="123" t="s">
        <v>1194</v>
      </c>
      <c r="D99" s="124">
        <v>33916</v>
      </c>
      <c r="E99" s="102" t="s">
        <v>2139</v>
      </c>
      <c r="F99" s="102">
        <v>1</v>
      </c>
      <c r="G99" s="102">
        <v>2</v>
      </c>
      <c r="H99" s="102">
        <v>1</v>
      </c>
      <c r="I99" s="102">
        <v>0</v>
      </c>
      <c r="J99" s="102" t="s">
        <v>853</v>
      </c>
      <c r="K99" s="102">
        <v>0</v>
      </c>
      <c r="L99" s="102"/>
      <c r="M99" s="102"/>
      <c r="N99" s="102"/>
      <c r="O99" s="102"/>
      <c r="P99" s="102"/>
      <c r="Q99" s="102">
        <v>1</v>
      </c>
      <c r="R99" s="120"/>
      <c r="S99" s="120"/>
      <c r="T99" s="120"/>
      <c r="U99" s="120"/>
      <c r="V99" s="120"/>
      <c r="W99" s="120"/>
      <c r="X99" s="120"/>
      <c r="Y99" s="120"/>
      <c r="Z99" s="120"/>
      <c r="AA99" s="120"/>
      <c r="AB99" s="120"/>
    </row>
    <row r="100" spans="1:28" ht="15.75" customHeight="1" x14ac:dyDescent="0.55000000000000004">
      <c r="A100" s="125">
        <v>49</v>
      </c>
      <c r="B100" s="125" t="s">
        <v>1200</v>
      </c>
      <c r="C100" s="125" t="s">
        <v>1201</v>
      </c>
      <c r="D100" s="126">
        <v>34151</v>
      </c>
      <c r="E100" s="102" t="s">
        <v>2140</v>
      </c>
      <c r="F100" s="102">
        <v>0</v>
      </c>
      <c r="G100" s="102">
        <v>2</v>
      </c>
      <c r="H100" s="102">
        <v>2</v>
      </c>
      <c r="I100" s="102">
        <v>0</v>
      </c>
      <c r="J100" s="102">
        <v>0</v>
      </c>
      <c r="K100" s="102"/>
      <c r="L100" s="102">
        <v>0</v>
      </c>
      <c r="M100" s="102">
        <v>3</v>
      </c>
      <c r="N100" s="102">
        <v>0</v>
      </c>
      <c r="O100" s="102">
        <v>0</v>
      </c>
      <c r="P100" s="102">
        <v>0</v>
      </c>
      <c r="Q100" s="102">
        <v>0</v>
      </c>
      <c r="R100" s="120"/>
      <c r="S100" s="120"/>
      <c r="T100" s="120"/>
      <c r="U100" s="120"/>
      <c r="V100" s="120"/>
      <c r="W100" s="120"/>
      <c r="X100" s="120"/>
      <c r="Y100" s="120"/>
      <c r="Z100" s="120"/>
      <c r="AA100" s="120"/>
      <c r="AB100" s="120"/>
    </row>
    <row r="101" spans="1:28" ht="15.75" customHeight="1" x14ac:dyDescent="0.55000000000000004">
      <c r="A101" s="125">
        <v>49</v>
      </c>
      <c r="B101" s="125" t="s">
        <v>1200</v>
      </c>
      <c r="C101" s="125" t="s">
        <v>1201</v>
      </c>
      <c r="D101" s="126">
        <v>34151</v>
      </c>
      <c r="E101" s="102" t="s">
        <v>2141</v>
      </c>
      <c r="F101" s="102">
        <v>3</v>
      </c>
      <c r="G101" s="102">
        <v>1</v>
      </c>
      <c r="H101" s="102">
        <v>1</v>
      </c>
      <c r="I101" s="102">
        <v>1</v>
      </c>
      <c r="J101" s="102">
        <v>1</v>
      </c>
      <c r="K101" s="102">
        <v>1</v>
      </c>
      <c r="L101" s="102">
        <v>0</v>
      </c>
      <c r="M101" s="102">
        <v>3</v>
      </c>
      <c r="N101" s="102">
        <v>0</v>
      </c>
      <c r="O101" s="102">
        <v>0</v>
      </c>
      <c r="P101" s="102">
        <v>0</v>
      </c>
      <c r="Q101" s="102">
        <v>0</v>
      </c>
      <c r="R101" s="120"/>
      <c r="S101" s="120"/>
      <c r="T101" s="120"/>
      <c r="U101" s="120"/>
      <c r="V101" s="120"/>
      <c r="W101" s="120"/>
      <c r="X101" s="120"/>
      <c r="Y101" s="120"/>
      <c r="Z101" s="120"/>
      <c r="AA101" s="120"/>
      <c r="AB101" s="120"/>
    </row>
    <row r="102" spans="1:28" ht="15.75" customHeight="1" x14ac:dyDescent="0.55000000000000004">
      <c r="A102" s="125">
        <v>49</v>
      </c>
      <c r="B102" s="125" t="s">
        <v>1200</v>
      </c>
      <c r="C102" s="125" t="s">
        <v>1201</v>
      </c>
      <c r="D102" s="126">
        <v>34151</v>
      </c>
      <c r="E102" s="102" t="s">
        <v>2141</v>
      </c>
      <c r="F102" s="102">
        <v>3</v>
      </c>
      <c r="G102" s="102">
        <v>1</v>
      </c>
      <c r="H102" s="102">
        <v>1</v>
      </c>
      <c r="I102" s="102">
        <v>1</v>
      </c>
      <c r="J102" s="102">
        <v>1</v>
      </c>
      <c r="K102" s="102">
        <v>1</v>
      </c>
      <c r="L102" s="102">
        <v>0</v>
      </c>
      <c r="M102" s="102">
        <v>3</v>
      </c>
      <c r="N102" s="102">
        <v>0</v>
      </c>
      <c r="O102" s="102">
        <v>0</v>
      </c>
      <c r="P102" s="102">
        <v>0</v>
      </c>
      <c r="Q102" s="102">
        <v>0</v>
      </c>
      <c r="R102" s="120"/>
      <c r="S102" s="120"/>
      <c r="T102" s="120"/>
      <c r="U102" s="120"/>
      <c r="V102" s="120"/>
      <c r="W102" s="120"/>
      <c r="X102" s="120"/>
      <c r="Y102" s="120"/>
      <c r="Z102" s="120"/>
      <c r="AA102" s="120"/>
      <c r="AB102" s="120"/>
    </row>
    <row r="103" spans="1:28" ht="15.75" customHeight="1" x14ac:dyDescent="0.55000000000000004">
      <c r="A103" s="127">
        <v>50</v>
      </c>
      <c r="B103" s="127" t="s">
        <v>1206</v>
      </c>
      <c r="C103" s="127" t="s">
        <v>1207</v>
      </c>
      <c r="D103" s="128">
        <v>34187</v>
      </c>
      <c r="E103" s="102" t="s">
        <v>2142</v>
      </c>
      <c r="F103" s="102">
        <v>1</v>
      </c>
      <c r="G103" s="102">
        <v>2</v>
      </c>
      <c r="H103" s="102">
        <v>1</v>
      </c>
      <c r="I103" s="102">
        <v>0</v>
      </c>
      <c r="J103" s="102" t="s">
        <v>853</v>
      </c>
      <c r="K103" s="102"/>
      <c r="L103" s="102"/>
      <c r="M103" s="102"/>
      <c r="N103" s="102"/>
      <c r="O103" s="102"/>
      <c r="P103" s="102"/>
      <c r="Q103" s="102">
        <v>1</v>
      </c>
      <c r="R103" s="120"/>
      <c r="S103" s="120"/>
      <c r="T103" s="120"/>
      <c r="U103" s="120"/>
      <c r="V103" s="120"/>
      <c r="W103" s="120"/>
      <c r="X103" s="120"/>
      <c r="Y103" s="120"/>
      <c r="Z103" s="120"/>
      <c r="AA103" s="120"/>
      <c r="AB103" s="120"/>
    </row>
    <row r="104" spans="1:28" ht="15.75" customHeight="1" x14ac:dyDescent="0.55000000000000004">
      <c r="A104" s="127">
        <v>50</v>
      </c>
      <c r="B104" s="127" t="s">
        <v>1206</v>
      </c>
      <c r="C104" s="127" t="s">
        <v>1207</v>
      </c>
      <c r="D104" s="128">
        <v>34187</v>
      </c>
      <c r="E104" s="102" t="s">
        <v>2139</v>
      </c>
      <c r="F104" s="102">
        <v>1</v>
      </c>
      <c r="G104" s="102">
        <v>2</v>
      </c>
      <c r="H104" s="102">
        <v>0</v>
      </c>
      <c r="I104" s="102">
        <v>0</v>
      </c>
      <c r="J104" s="102" t="s">
        <v>853</v>
      </c>
      <c r="K104" s="102"/>
      <c r="L104" s="102"/>
      <c r="M104" s="102"/>
      <c r="N104" s="102"/>
      <c r="O104" s="102"/>
      <c r="P104" s="102"/>
      <c r="Q104" s="102">
        <v>1</v>
      </c>
      <c r="R104" s="120"/>
      <c r="S104" s="120"/>
      <c r="T104" s="120"/>
      <c r="U104" s="120"/>
      <c r="V104" s="120"/>
      <c r="W104" s="120"/>
      <c r="X104" s="120"/>
      <c r="Y104" s="120"/>
      <c r="Z104" s="120"/>
      <c r="AA104" s="120"/>
      <c r="AB104" s="120"/>
    </row>
    <row r="105" spans="1:28" ht="15.75" customHeight="1" x14ac:dyDescent="0.55000000000000004">
      <c r="A105" s="127">
        <v>50</v>
      </c>
      <c r="B105" s="127" t="s">
        <v>1206</v>
      </c>
      <c r="C105" s="127" t="s">
        <v>1207</v>
      </c>
      <c r="D105" s="128">
        <v>34187</v>
      </c>
      <c r="E105" s="102" t="s">
        <v>2118</v>
      </c>
      <c r="F105" s="102">
        <v>2</v>
      </c>
      <c r="G105" s="102">
        <v>0</v>
      </c>
      <c r="H105" s="102">
        <v>0</v>
      </c>
      <c r="I105" s="102">
        <v>0</v>
      </c>
      <c r="J105" s="102">
        <v>0</v>
      </c>
      <c r="K105" s="102"/>
      <c r="L105" s="102"/>
      <c r="M105" s="102"/>
      <c r="N105" s="102"/>
      <c r="O105" s="102"/>
      <c r="P105" s="102"/>
      <c r="Q105" s="102">
        <v>1</v>
      </c>
      <c r="R105" s="120"/>
      <c r="S105" s="120"/>
      <c r="T105" s="120"/>
      <c r="U105" s="120"/>
      <c r="V105" s="120"/>
      <c r="W105" s="120"/>
      <c r="X105" s="120"/>
      <c r="Y105" s="120"/>
      <c r="Z105" s="120"/>
      <c r="AA105" s="120"/>
      <c r="AB105" s="120"/>
    </row>
    <row r="106" spans="1:28" ht="15.75" customHeight="1" x14ac:dyDescent="0.55000000000000004">
      <c r="A106" s="118">
        <v>51</v>
      </c>
      <c r="B106" s="118" t="s">
        <v>1212</v>
      </c>
      <c r="C106" s="118" t="s">
        <v>1061</v>
      </c>
      <c r="D106" s="119">
        <v>34256</v>
      </c>
      <c r="E106" s="102" t="s">
        <v>2139</v>
      </c>
      <c r="F106" s="102">
        <v>1</v>
      </c>
      <c r="G106" s="102">
        <v>2</v>
      </c>
      <c r="H106" s="102">
        <v>1</v>
      </c>
      <c r="I106" s="102">
        <v>0</v>
      </c>
      <c r="J106" s="102" t="s">
        <v>853</v>
      </c>
      <c r="K106" s="102">
        <v>0</v>
      </c>
      <c r="L106" s="102">
        <v>1</v>
      </c>
      <c r="M106" s="102">
        <v>0</v>
      </c>
      <c r="N106" s="102">
        <v>0</v>
      </c>
      <c r="O106" s="102">
        <v>0</v>
      </c>
      <c r="P106" s="102">
        <v>0</v>
      </c>
      <c r="Q106" s="102">
        <v>0</v>
      </c>
      <c r="R106" s="120"/>
      <c r="S106" s="120"/>
      <c r="T106" s="120"/>
      <c r="U106" s="120"/>
      <c r="V106" s="120"/>
      <c r="W106" s="120"/>
      <c r="X106" s="120"/>
      <c r="Y106" s="120"/>
      <c r="Z106" s="120"/>
      <c r="AA106" s="120"/>
      <c r="AB106" s="120"/>
    </row>
    <row r="107" spans="1:28" ht="15.75" customHeight="1" x14ac:dyDescent="0.55000000000000004">
      <c r="A107" s="121">
        <v>52</v>
      </c>
      <c r="B107" s="121" t="s">
        <v>1219</v>
      </c>
      <c r="C107" s="121" t="s">
        <v>1220</v>
      </c>
      <c r="D107" s="122">
        <v>34305</v>
      </c>
      <c r="E107" s="102" t="s">
        <v>2139</v>
      </c>
      <c r="F107" s="102">
        <v>1</v>
      </c>
      <c r="G107" s="102">
        <v>2</v>
      </c>
      <c r="H107" s="102">
        <v>1</v>
      </c>
      <c r="I107" s="102">
        <v>0</v>
      </c>
      <c r="J107" s="102" t="s">
        <v>853</v>
      </c>
      <c r="K107" s="102">
        <v>1</v>
      </c>
      <c r="L107" s="102">
        <v>3</v>
      </c>
      <c r="M107" s="102">
        <v>0</v>
      </c>
      <c r="N107" s="102">
        <v>0</v>
      </c>
      <c r="O107" s="102">
        <v>0</v>
      </c>
      <c r="P107" s="102">
        <v>0</v>
      </c>
      <c r="Q107" s="102">
        <v>0</v>
      </c>
      <c r="R107" s="120"/>
      <c r="S107" s="120"/>
      <c r="T107" s="120"/>
      <c r="U107" s="120"/>
      <c r="V107" s="120"/>
      <c r="W107" s="120"/>
      <c r="X107" s="120"/>
      <c r="Y107" s="120"/>
      <c r="Z107" s="120"/>
      <c r="AA107" s="120"/>
      <c r="AB107" s="120"/>
    </row>
    <row r="108" spans="1:28" ht="15.75" customHeight="1" x14ac:dyDescent="0.55000000000000004">
      <c r="A108" s="121">
        <v>52</v>
      </c>
      <c r="B108" s="121" t="s">
        <v>1219</v>
      </c>
      <c r="C108" s="121" t="s">
        <v>1220</v>
      </c>
      <c r="D108" s="122">
        <v>34305</v>
      </c>
      <c r="E108" s="102" t="s">
        <v>2143</v>
      </c>
      <c r="F108" s="102">
        <v>0</v>
      </c>
      <c r="G108" s="102">
        <v>2</v>
      </c>
      <c r="H108" s="102">
        <v>1</v>
      </c>
      <c r="I108" s="102">
        <v>0</v>
      </c>
      <c r="J108" s="102" t="s">
        <v>853</v>
      </c>
      <c r="K108" s="102">
        <v>1</v>
      </c>
      <c r="L108" s="102">
        <v>3</v>
      </c>
      <c r="M108" s="102">
        <v>0</v>
      </c>
      <c r="N108" s="102">
        <v>0</v>
      </c>
      <c r="O108" s="102">
        <v>0</v>
      </c>
      <c r="P108" s="102">
        <v>0</v>
      </c>
      <c r="Q108" s="102">
        <v>0</v>
      </c>
      <c r="R108" s="120"/>
      <c r="S108" s="120"/>
      <c r="T108" s="120"/>
      <c r="U108" s="120"/>
      <c r="V108" s="120"/>
      <c r="W108" s="120"/>
      <c r="X108" s="120"/>
      <c r="Y108" s="120"/>
      <c r="Z108" s="120"/>
      <c r="AA108" s="120"/>
      <c r="AB108" s="120"/>
    </row>
    <row r="109" spans="1:28" ht="15.75" customHeight="1" x14ac:dyDescent="0.55000000000000004">
      <c r="A109" s="121">
        <v>52</v>
      </c>
      <c r="B109" s="121" t="s">
        <v>1219</v>
      </c>
      <c r="C109" s="121" t="s">
        <v>1220</v>
      </c>
      <c r="D109" s="122">
        <v>34305</v>
      </c>
      <c r="E109" s="102" t="s">
        <v>2144</v>
      </c>
      <c r="F109" s="102">
        <v>2</v>
      </c>
      <c r="G109" s="102">
        <v>2</v>
      </c>
      <c r="H109" s="102">
        <v>1</v>
      </c>
      <c r="I109" s="102">
        <v>1</v>
      </c>
      <c r="J109" s="102">
        <v>0</v>
      </c>
      <c r="K109" s="102">
        <v>1</v>
      </c>
      <c r="L109" s="102">
        <v>3</v>
      </c>
      <c r="M109" s="102">
        <v>0</v>
      </c>
      <c r="N109" s="102">
        <v>0</v>
      </c>
      <c r="O109" s="102">
        <v>0</v>
      </c>
      <c r="P109" s="102">
        <v>0</v>
      </c>
      <c r="Q109" s="102">
        <v>0</v>
      </c>
      <c r="R109" s="120"/>
      <c r="S109" s="120"/>
      <c r="T109" s="120"/>
      <c r="U109" s="120"/>
      <c r="V109" s="120"/>
      <c r="W109" s="120"/>
      <c r="X109" s="120"/>
      <c r="Y109" s="120"/>
      <c r="Z109" s="120"/>
      <c r="AA109" s="120"/>
      <c r="AB109" s="120"/>
    </row>
    <row r="110" spans="1:28" ht="15.75" customHeight="1" x14ac:dyDescent="0.55000000000000004">
      <c r="A110" s="121">
        <v>52</v>
      </c>
      <c r="B110" s="121" t="s">
        <v>1219</v>
      </c>
      <c r="C110" s="121" t="s">
        <v>1220</v>
      </c>
      <c r="D110" s="122">
        <v>34305</v>
      </c>
      <c r="E110" s="102" t="s">
        <v>2145</v>
      </c>
      <c r="F110" s="102">
        <v>2</v>
      </c>
      <c r="G110" s="102">
        <v>2</v>
      </c>
      <c r="H110" s="102">
        <v>0</v>
      </c>
      <c r="I110" s="102">
        <v>0</v>
      </c>
      <c r="J110" s="102">
        <v>0</v>
      </c>
      <c r="K110" s="102">
        <v>1</v>
      </c>
      <c r="L110" s="102">
        <v>3</v>
      </c>
      <c r="M110" s="102">
        <v>0</v>
      </c>
      <c r="N110" s="102">
        <v>0</v>
      </c>
      <c r="O110" s="102">
        <v>0</v>
      </c>
      <c r="P110" s="102">
        <v>0</v>
      </c>
      <c r="Q110" s="102">
        <v>0</v>
      </c>
      <c r="R110" s="120"/>
      <c r="S110" s="120"/>
      <c r="T110" s="120"/>
      <c r="U110" s="120"/>
      <c r="V110" s="120"/>
      <c r="W110" s="120"/>
      <c r="X110" s="120"/>
      <c r="Y110" s="120"/>
      <c r="Z110" s="120"/>
      <c r="AA110" s="120"/>
      <c r="AB110" s="120"/>
    </row>
    <row r="111" spans="1:28" ht="15.75" customHeight="1" x14ac:dyDescent="0.55000000000000004">
      <c r="A111" s="123">
        <v>53</v>
      </c>
      <c r="B111" s="123" t="s">
        <v>1226</v>
      </c>
      <c r="C111" s="123" t="s">
        <v>1227</v>
      </c>
      <c r="D111" s="124">
        <v>34310</v>
      </c>
      <c r="E111" s="102" t="s">
        <v>2146</v>
      </c>
      <c r="F111" s="102">
        <v>0</v>
      </c>
      <c r="G111" s="102">
        <v>1</v>
      </c>
      <c r="H111" s="102">
        <v>1</v>
      </c>
      <c r="I111" s="102">
        <v>0</v>
      </c>
      <c r="J111" s="102">
        <v>0</v>
      </c>
      <c r="K111" s="102">
        <v>1</v>
      </c>
      <c r="L111" s="102">
        <v>1</v>
      </c>
      <c r="M111" s="102">
        <v>0</v>
      </c>
      <c r="N111" s="102">
        <v>0</v>
      </c>
      <c r="O111" s="102">
        <v>0</v>
      </c>
      <c r="P111" s="102">
        <v>0</v>
      </c>
      <c r="Q111" s="102">
        <v>0</v>
      </c>
      <c r="R111" s="120"/>
      <c r="S111" s="120"/>
      <c r="T111" s="120"/>
      <c r="U111" s="120"/>
      <c r="V111" s="120"/>
      <c r="W111" s="120"/>
      <c r="X111" s="120"/>
      <c r="Y111" s="120"/>
      <c r="Z111" s="120"/>
      <c r="AA111" s="120"/>
      <c r="AB111" s="120"/>
    </row>
    <row r="112" spans="1:28" ht="15.75" customHeight="1" x14ac:dyDescent="0.55000000000000004">
      <c r="A112" s="125">
        <v>54</v>
      </c>
      <c r="B112" s="125" t="s">
        <v>1233</v>
      </c>
      <c r="C112" s="125" t="s">
        <v>1234</v>
      </c>
      <c r="D112" s="126">
        <v>34317</v>
      </c>
      <c r="E112" s="102" t="s">
        <v>2147</v>
      </c>
      <c r="F112" s="102">
        <v>0</v>
      </c>
      <c r="G112" s="102">
        <v>1</v>
      </c>
      <c r="H112" s="102">
        <v>1</v>
      </c>
      <c r="I112" s="102">
        <v>0</v>
      </c>
      <c r="J112" s="102">
        <v>0</v>
      </c>
      <c r="K112" s="102">
        <v>1</v>
      </c>
      <c r="L112" s="102"/>
      <c r="M112" s="102"/>
      <c r="N112" s="102"/>
      <c r="O112" s="102"/>
      <c r="P112" s="102"/>
      <c r="Q112" s="102">
        <v>1</v>
      </c>
      <c r="R112" s="120"/>
      <c r="S112" s="120"/>
      <c r="T112" s="120"/>
      <c r="U112" s="120"/>
      <c r="V112" s="120"/>
      <c r="W112" s="120"/>
      <c r="X112" s="120"/>
      <c r="Y112" s="120"/>
      <c r="Z112" s="120"/>
      <c r="AA112" s="120"/>
      <c r="AB112" s="120"/>
    </row>
    <row r="113" spans="1:28" ht="15.75" customHeight="1" x14ac:dyDescent="0.55000000000000004">
      <c r="A113" s="127">
        <v>55</v>
      </c>
      <c r="B113" s="127" t="s">
        <v>1241</v>
      </c>
      <c r="C113" s="127" t="s">
        <v>1242</v>
      </c>
      <c r="D113" s="128">
        <v>34505</v>
      </c>
      <c r="E113" s="102" t="s">
        <v>2148</v>
      </c>
      <c r="F113" s="102">
        <v>3</v>
      </c>
      <c r="G113" s="102">
        <v>2</v>
      </c>
      <c r="H113" s="102">
        <v>1</v>
      </c>
      <c r="I113" s="102">
        <v>0</v>
      </c>
      <c r="J113" s="102">
        <v>1</v>
      </c>
      <c r="K113" s="102">
        <v>0</v>
      </c>
      <c r="L113" s="102">
        <v>1</v>
      </c>
      <c r="M113" s="102">
        <v>0</v>
      </c>
      <c r="N113" s="102">
        <v>0</v>
      </c>
      <c r="O113" s="102">
        <v>0</v>
      </c>
      <c r="P113" s="102">
        <v>0</v>
      </c>
      <c r="Q113" s="102">
        <v>0</v>
      </c>
      <c r="R113" s="120"/>
      <c r="S113" s="120"/>
      <c r="T113" s="120"/>
      <c r="U113" s="120"/>
      <c r="V113" s="120"/>
      <c r="W113" s="120"/>
      <c r="X113" s="120"/>
      <c r="Y113" s="120"/>
      <c r="Z113" s="120"/>
      <c r="AA113" s="120"/>
      <c r="AB113" s="120"/>
    </row>
    <row r="114" spans="1:28" ht="15.75" customHeight="1" x14ac:dyDescent="0.55000000000000004">
      <c r="A114" s="118">
        <v>56</v>
      </c>
      <c r="B114" s="118" t="s">
        <v>1226</v>
      </c>
      <c r="C114" s="118" t="s">
        <v>1248</v>
      </c>
      <c r="D114" s="119">
        <v>34699</v>
      </c>
      <c r="E114" s="102" t="s">
        <v>2149</v>
      </c>
      <c r="F114" s="102">
        <v>0</v>
      </c>
      <c r="G114" s="102">
        <v>1</v>
      </c>
      <c r="H114" s="102">
        <v>1</v>
      </c>
      <c r="I114" s="102">
        <v>0</v>
      </c>
      <c r="J114" s="102">
        <v>0</v>
      </c>
      <c r="K114" s="102">
        <v>0</v>
      </c>
      <c r="L114" s="102">
        <v>0</v>
      </c>
      <c r="M114" s="102">
        <v>0</v>
      </c>
      <c r="N114" s="102">
        <v>0</v>
      </c>
      <c r="O114" s="102">
        <v>0</v>
      </c>
      <c r="P114" s="102">
        <v>1</v>
      </c>
      <c r="Q114" s="102">
        <v>0</v>
      </c>
      <c r="R114" s="120"/>
      <c r="S114" s="120"/>
      <c r="T114" s="120"/>
      <c r="U114" s="120"/>
      <c r="V114" s="120"/>
      <c r="W114" s="120"/>
      <c r="X114" s="120"/>
      <c r="Y114" s="120"/>
      <c r="Z114" s="120"/>
      <c r="AA114" s="120"/>
      <c r="AB114" s="120"/>
    </row>
    <row r="115" spans="1:28" ht="15.75" customHeight="1" x14ac:dyDescent="0.55000000000000004">
      <c r="A115" s="121">
        <v>57</v>
      </c>
      <c r="B115" s="121" t="s">
        <v>1251</v>
      </c>
      <c r="C115" s="121" t="s">
        <v>1061</v>
      </c>
      <c r="D115" s="122">
        <v>34792</v>
      </c>
      <c r="E115" s="102" t="s">
        <v>2150</v>
      </c>
      <c r="F115" s="102">
        <v>0</v>
      </c>
      <c r="G115" s="102">
        <v>1</v>
      </c>
      <c r="H115" s="102">
        <v>1</v>
      </c>
      <c r="I115" s="102">
        <v>0</v>
      </c>
      <c r="J115" s="102">
        <v>0</v>
      </c>
      <c r="K115" s="102"/>
      <c r="L115" s="102">
        <v>3</v>
      </c>
      <c r="M115" s="102">
        <v>0</v>
      </c>
      <c r="N115" s="102">
        <v>0</v>
      </c>
      <c r="O115" s="102">
        <v>0</v>
      </c>
      <c r="P115" s="102">
        <v>0</v>
      </c>
      <c r="Q115" s="102">
        <v>0</v>
      </c>
      <c r="R115" s="120"/>
      <c r="S115" s="120"/>
      <c r="T115" s="120"/>
      <c r="U115" s="120"/>
      <c r="V115" s="120"/>
      <c r="W115" s="120"/>
      <c r="X115" s="120"/>
      <c r="Y115" s="120"/>
      <c r="Z115" s="120"/>
      <c r="AA115" s="120"/>
      <c r="AB115" s="120"/>
    </row>
    <row r="116" spans="1:28" ht="15.75" customHeight="1" x14ac:dyDescent="0.55000000000000004">
      <c r="A116" s="121">
        <v>57</v>
      </c>
      <c r="B116" s="121" t="s">
        <v>1251</v>
      </c>
      <c r="C116" s="121" t="s">
        <v>1061</v>
      </c>
      <c r="D116" s="122">
        <v>34792</v>
      </c>
      <c r="E116" s="102" t="s">
        <v>2138</v>
      </c>
      <c r="F116" s="102">
        <v>0</v>
      </c>
      <c r="G116" s="102">
        <v>0</v>
      </c>
      <c r="H116" s="102">
        <v>1</v>
      </c>
      <c r="I116" s="102">
        <v>0</v>
      </c>
      <c r="J116" s="102" t="s">
        <v>853</v>
      </c>
      <c r="K116" s="102"/>
      <c r="L116" s="102">
        <v>3</v>
      </c>
      <c r="M116" s="102">
        <v>0</v>
      </c>
      <c r="N116" s="102">
        <v>0</v>
      </c>
      <c r="O116" s="102">
        <v>0</v>
      </c>
      <c r="P116" s="102">
        <v>0</v>
      </c>
      <c r="Q116" s="102">
        <v>0</v>
      </c>
      <c r="R116" s="120"/>
      <c r="S116" s="120"/>
      <c r="T116" s="120"/>
      <c r="U116" s="120"/>
      <c r="V116" s="120"/>
      <c r="W116" s="120"/>
      <c r="X116" s="120"/>
      <c r="Y116" s="120"/>
      <c r="Z116" s="120"/>
      <c r="AA116" s="120"/>
      <c r="AB116" s="120"/>
    </row>
    <row r="117" spans="1:28" ht="15.75" customHeight="1" x14ac:dyDescent="0.55000000000000004">
      <c r="A117" s="123">
        <v>58</v>
      </c>
      <c r="B117" s="123" t="s">
        <v>1255</v>
      </c>
      <c r="C117" s="123" t="s">
        <v>1256</v>
      </c>
      <c r="D117" s="124">
        <v>34899</v>
      </c>
      <c r="E117" s="102" t="s">
        <v>2151</v>
      </c>
      <c r="F117" s="102">
        <v>0</v>
      </c>
      <c r="G117" s="102">
        <v>1</v>
      </c>
      <c r="H117" s="102">
        <v>1</v>
      </c>
      <c r="I117" s="102">
        <v>0</v>
      </c>
      <c r="J117" s="102">
        <v>0</v>
      </c>
      <c r="K117" s="102">
        <v>1</v>
      </c>
      <c r="L117" s="102">
        <v>3</v>
      </c>
      <c r="M117" s="102">
        <v>0</v>
      </c>
      <c r="N117" s="102">
        <v>0</v>
      </c>
      <c r="O117" s="102">
        <v>0</v>
      </c>
      <c r="P117" s="102">
        <v>0</v>
      </c>
      <c r="Q117" s="102">
        <v>0</v>
      </c>
      <c r="R117" s="120"/>
      <c r="S117" s="120"/>
      <c r="T117" s="120"/>
      <c r="U117" s="120"/>
      <c r="V117" s="120"/>
      <c r="W117" s="120"/>
      <c r="X117" s="120"/>
      <c r="Y117" s="120"/>
      <c r="Z117" s="120"/>
      <c r="AA117" s="120"/>
      <c r="AB117" s="120"/>
    </row>
    <row r="118" spans="1:28" ht="15.75" customHeight="1" x14ac:dyDescent="0.55000000000000004">
      <c r="A118" s="125">
        <v>59</v>
      </c>
      <c r="B118" s="125" t="s">
        <v>1260</v>
      </c>
      <c r="C118" s="125" t="s">
        <v>1046</v>
      </c>
      <c r="D118" s="126">
        <v>35052</v>
      </c>
      <c r="E118" s="102" t="s">
        <v>2152</v>
      </c>
      <c r="F118" s="102">
        <v>0</v>
      </c>
      <c r="G118" s="102">
        <v>1</v>
      </c>
      <c r="H118" s="102">
        <v>1</v>
      </c>
      <c r="I118" s="102">
        <v>0</v>
      </c>
      <c r="J118" s="102">
        <v>0</v>
      </c>
      <c r="K118" s="102">
        <v>0</v>
      </c>
      <c r="L118" s="102">
        <v>0</v>
      </c>
      <c r="M118" s="102">
        <v>5</v>
      </c>
      <c r="N118" s="102">
        <v>0</v>
      </c>
      <c r="O118" s="102">
        <v>0</v>
      </c>
      <c r="P118" s="102">
        <v>0</v>
      </c>
      <c r="Q118" s="102">
        <v>0</v>
      </c>
      <c r="R118" s="120"/>
      <c r="S118" s="120"/>
      <c r="T118" s="120"/>
      <c r="U118" s="120"/>
      <c r="V118" s="120"/>
      <c r="W118" s="120"/>
      <c r="X118" s="120"/>
      <c r="Y118" s="120"/>
      <c r="Z118" s="120"/>
      <c r="AA118" s="120"/>
      <c r="AB118" s="120"/>
    </row>
    <row r="119" spans="1:28" ht="15.75" customHeight="1" x14ac:dyDescent="0.55000000000000004">
      <c r="A119" s="127">
        <v>60</v>
      </c>
      <c r="B119" s="127" t="s">
        <v>1268</v>
      </c>
      <c r="C119" s="127" t="s">
        <v>1269</v>
      </c>
      <c r="D119" s="128">
        <v>35104</v>
      </c>
      <c r="E119" s="102" t="s">
        <v>2153</v>
      </c>
      <c r="F119" s="102">
        <v>0</v>
      </c>
      <c r="G119" s="102">
        <v>1</v>
      </c>
      <c r="H119" s="102">
        <v>1</v>
      </c>
      <c r="I119" s="102">
        <v>0</v>
      </c>
      <c r="J119" s="102">
        <v>0</v>
      </c>
      <c r="K119" s="102">
        <v>1</v>
      </c>
      <c r="L119" s="102">
        <v>3</v>
      </c>
      <c r="M119" s="102">
        <v>0</v>
      </c>
      <c r="N119" s="102">
        <v>0</v>
      </c>
      <c r="O119" s="102">
        <v>0</v>
      </c>
      <c r="P119" s="102">
        <v>0</v>
      </c>
      <c r="Q119" s="102">
        <v>0</v>
      </c>
      <c r="R119" s="120"/>
      <c r="S119" s="120"/>
      <c r="T119" s="120"/>
      <c r="U119" s="120"/>
      <c r="V119" s="120"/>
      <c r="W119" s="120"/>
      <c r="X119" s="120"/>
      <c r="Y119" s="120"/>
      <c r="Z119" s="120"/>
      <c r="AA119" s="120"/>
      <c r="AB119" s="120"/>
    </row>
    <row r="120" spans="1:28" ht="15.75" customHeight="1" x14ac:dyDescent="0.55000000000000004">
      <c r="A120" s="127">
        <v>60</v>
      </c>
      <c r="B120" s="127" t="s">
        <v>1268</v>
      </c>
      <c r="C120" s="127" t="s">
        <v>1269</v>
      </c>
      <c r="D120" s="128">
        <v>35104</v>
      </c>
      <c r="E120" s="102" t="s">
        <v>2138</v>
      </c>
      <c r="F120" s="102">
        <v>0</v>
      </c>
      <c r="G120" s="102">
        <v>0</v>
      </c>
      <c r="H120" s="102">
        <v>0</v>
      </c>
      <c r="I120" s="102">
        <v>0</v>
      </c>
      <c r="J120" s="102" t="s">
        <v>853</v>
      </c>
      <c r="K120" s="102"/>
      <c r="L120" s="102"/>
      <c r="M120" s="102"/>
      <c r="N120" s="102"/>
      <c r="O120" s="102"/>
      <c r="P120" s="102"/>
      <c r="Q120" s="102">
        <v>1</v>
      </c>
      <c r="R120" s="120"/>
      <c r="S120" s="120"/>
      <c r="T120" s="120"/>
      <c r="U120" s="120"/>
      <c r="V120" s="120"/>
      <c r="W120" s="120"/>
      <c r="X120" s="120"/>
      <c r="Y120" s="120"/>
      <c r="Z120" s="120"/>
      <c r="AA120" s="120"/>
      <c r="AB120" s="120"/>
    </row>
    <row r="121" spans="1:28" ht="15.75" customHeight="1" x14ac:dyDescent="0.55000000000000004">
      <c r="A121" s="118">
        <v>61</v>
      </c>
      <c r="B121" s="118" t="s">
        <v>1273</v>
      </c>
      <c r="C121" s="118" t="s">
        <v>1207</v>
      </c>
      <c r="D121" s="119">
        <v>35179</v>
      </c>
      <c r="E121" s="102" t="s">
        <v>2154</v>
      </c>
      <c r="F121" s="102">
        <v>0</v>
      </c>
      <c r="G121" s="102">
        <v>2</v>
      </c>
      <c r="H121" s="102"/>
      <c r="I121" s="102">
        <v>0</v>
      </c>
      <c r="J121" s="102">
        <v>0</v>
      </c>
      <c r="K121" s="102"/>
      <c r="L121" s="102"/>
      <c r="M121" s="102"/>
      <c r="N121" s="102"/>
      <c r="O121" s="102"/>
      <c r="P121" s="102"/>
      <c r="Q121" s="102">
        <v>1</v>
      </c>
      <c r="R121" s="120"/>
      <c r="S121" s="120"/>
      <c r="T121" s="120"/>
      <c r="U121" s="120"/>
      <c r="V121" s="120"/>
      <c r="W121" s="120"/>
      <c r="X121" s="120"/>
      <c r="Y121" s="120"/>
      <c r="Z121" s="120"/>
      <c r="AA121" s="120"/>
      <c r="AB121" s="120"/>
    </row>
    <row r="122" spans="1:28" ht="15.75" customHeight="1" x14ac:dyDescent="0.55000000000000004">
      <c r="A122" s="118">
        <v>61</v>
      </c>
      <c r="B122" s="118" t="s">
        <v>1273</v>
      </c>
      <c r="C122" s="118" t="s">
        <v>1207</v>
      </c>
      <c r="D122" s="119">
        <v>35179</v>
      </c>
      <c r="E122" s="102" t="s">
        <v>2155</v>
      </c>
      <c r="F122" s="102">
        <v>3</v>
      </c>
      <c r="G122" s="102"/>
      <c r="H122" s="102">
        <v>1</v>
      </c>
      <c r="I122" s="102">
        <v>0</v>
      </c>
      <c r="J122" s="102">
        <v>0</v>
      </c>
      <c r="K122" s="102"/>
      <c r="L122" s="102"/>
      <c r="M122" s="102"/>
      <c r="N122" s="102"/>
      <c r="O122" s="102"/>
      <c r="P122" s="102"/>
      <c r="Q122" s="102">
        <v>1</v>
      </c>
      <c r="R122" s="120"/>
      <c r="S122" s="120"/>
      <c r="T122" s="120"/>
      <c r="U122" s="120"/>
      <c r="V122" s="120"/>
      <c r="W122" s="120"/>
      <c r="X122" s="120"/>
      <c r="Y122" s="120"/>
      <c r="Z122" s="120"/>
      <c r="AA122" s="120"/>
      <c r="AB122" s="120"/>
    </row>
    <row r="123" spans="1:28" ht="15.75" customHeight="1" x14ac:dyDescent="0.55000000000000004">
      <c r="A123" s="118">
        <v>61</v>
      </c>
      <c r="B123" s="118" t="s">
        <v>1273</v>
      </c>
      <c r="C123" s="118" t="s">
        <v>1207</v>
      </c>
      <c r="D123" s="119">
        <v>35179</v>
      </c>
      <c r="E123" s="102" t="s">
        <v>2156</v>
      </c>
      <c r="F123" s="102">
        <v>3</v>
      </c>
      <c r="G123" s="102">
        <v>1</v>
      </c>
      <c r="H123" s="102"/>
      <c r="I123" s="102">
        <v>0</v>
      </c>
      <c r="J123" s="102">
        <v>0</v>
      </c>
      <c r="K123" s="102"/>
      <c r="L123" s="102"/>
      <c r="M123" s="102"/>
      <c r="N123" s="102"/>
      <c r="O123" s="102"/>
      <c r="P123" s="102"/>
      <c r="Q123" s="102">
        <v>1</v>
      </c>
      <c r="R123" s="120"/>
      <c r="S123" s="120"/>
      <c r="T123" s="120"/>
      <c r="U123" s="120"/>
      <c r="V123" s="120"/>
      <c r="W123" s="120"/>
      <c r="X123" s="120"/>
      <c r="Y123" s="120"/>
      <c r="Z123" s="120"/>
      <c r="AA123" s="120"/>
      <c r="AB123" s="120"/>
    </row>
    <row r="124" spans="1:28" ht="15.75" customHeight="1" x14ac:dyDescent="0.55000000000000004">
      <c r="A124" s="121">
        <v>62</v>
      </c>
      <c r="B124" s="121" t="s">
        <v>1277</v>
      </c>
      <c r="C124" s="121" t="s">
        <v>1019</v>
      </c>
      <c r="D124" s="122">
        <v>35661</v>
      </c>
      <c r="E124" s="102" t="s">
        <v>2157</v>
      </c>
      <c r="F124" s="102">
        <v>3</v>
      </c>
      <c r="G124" s="102">
        <v>2</v>
      </c>
      <c r="H124" s="102">
        <v>1</v>
      </c>
      <c r="I124" s="102">
        <v>0</v>
      </c>
      <c r="J124" s="102">
        <v>0</v>
      </c>
      <c r="K124" s="102">
        <v>1</v>
      </c>
      <c r="L124" s="102">
        <v>3</v>
      </c>
      <c r="M124" s="102">
        <v>0</v>
      </c>
      <c r="N124" s="102">
        <v>0</v>
      </c>
      <c r="O124" s="102">
        <v>0</v>
      </c>
      <c r="P124" s="102">
        <v>0</v>
      </c>
      <c r="Q124" s="102">
        <v>0</v>
      </c>
      <c r="R124" s="120"/>
      <c r="S124" s="120"/>
      <c r="T124" s="120"/>
      <c r="U124" s="120"/>
      <c r="V124" s="120"/>
      <c r="W124" s="120"/>
      <c r="X124" s="120"/>
      <c r="Y124" s="120"/>
      <c r="Z124" s="120"/>
      <c r="AA124" s="120"/>
      <c r="AB124" s="120"/>
    </row>
    <row r="125" spans="1:28" ht="15.75" customHeight="1" x14ac:dyDescent="0.55000000000000004">
      <c r="A125" s="121">
        <v>62</v>
      </c>
      <c r="B125" s="121" t="s">
        <v>1277</v>
      </c>
      <c r="C125" s="121" t="s">
        <v>1019</v>
      </c>
      <c r="D125" s="122">
        <v>35661</v>
      </c>
      <c r="E125" s="102" t="s">
        <v>2158</v>
      </c>
      <c r="F125" s="102">
        <v>0</v>
      </c>
      <c r="G125" s="102">
        <v>1</v>
      </c>
      <c r="H125" s="102">
        <v>1</v>
      </c>
      <c r="I125" s="102">
        <v>0</v>
      </c>
      <c r="J125" s="102">
        <v>0</v>
      </c>
      <c r="K125" s="102"/>
      <c r="L125" s="102"/>
      <c r="M125" s="102"/>
      <c r="N125" s="102"/>
      <c r="O125" s="102"/>
      <c r="P125" s="102"/>
      <c r="Q125" s="102">
        <v>1</v>
      </c>
      <c r="R125" s="120"/>
      <c r="S125" s="120"/>
      <c r="T125" s="120"/>
      <c r="U125" s="120"/>
      <c r="V125" s="120"/>
      <c r="W125" s="120"/>
      <c r="X125" s="120"/>
      <c r="Y125" s="120"/>
      <c r="Z125" s="120"/>
      <c r="AA125" s="120"/>
      <c r="AB125" s="120"/>
    </row>
    <row r="126" spans="1:28" ht="15.75" customHeight="1" x14ac:dyDescent="0.55000000000000004">
      <c r="A126" s="123">
        <v>63</v>
      </c>
      <c r="B126" s="123" t="s">
        <v>1283</v>
      </c>
      <c r="C126" s="123" t="s">
        <v>1284</v>
      </c>
      <c r="D126" s="124">
        <v>35688</v>
      </c>
      <c r="E126" s="102" t="s">
        <v>2159</v>
      </c>
      <c r="F126" s="102">
        <v>0</v>
      </c>
      <c r="G126" s="102">
        <v>1</v>
      </c>
      <c r="H126" s="102">
        <v>1</v>
      </c>
      <c r="I126" s="102">
        <v>0</v>
      </c>
      <c r="J126" s="102">
        <v>0</v>
      </c>
      <c r="K126" s="102"/>
      <c r="L126" s="102">
        <v>0</v>
      </c>
      <c r="M126" s="102">
        <v>5</v>
      </c>
      <c r="N126" s="102">
        <v>0</v>
      </c>
      <c r="O126" s="102">
        <v>0</v>
      </c>
      <c r="P126" s="102">
        <v>0</v>
      </c>
      <c r="Q126" s="102">
        <v>0</v>
      </c>
      <c r="R126" s="120"/>
      <c r="S126" s="120"/>
      <c r="T126" s="120"/>
      <c r="U126" s="120"/>
      <c r="V126" s="120"/>
      <c r="W126" s="120"/>
      <c r="X126" s="120"/>
      <c r="Y126" s="120"/>
      <c r="Z126" s="120"/>
      <c r="AA126" s="120"/>
      <c r="AB126" s="120"/>
    </row>
    <row r="127" spans="1:28" ht="15.75" customHeight="1" x14ac:dyDescent="0.55000000000000004">
      <c r="A127" s="125">
        <v>64</v>
      </c>
      <c r="B127" s="125" t="s">
        <v>1289</v>
      </c>
      <c r="C127" s="125" t="s">
        <v>1290</v>
      </c>
      <c r="D127" s="126">
        <v>35767</v>
      </c>
      <c r="E127" s="102" t="s">
        <v>2160</v>
      </c>
      <c r="F127" s="102">
        <v>0</v>
      </c>
      <c r="G127" s="102">
        <v>0</v>
      </c>
      <c r="H127" s="102">
        <v>1</v>
      </c>
      <c r="I127" s="102">
        <v>0</v>
      </c>
      <c r="J127" s="102">
        <v>0</v>
      </c>
      <c r="K127" s="102">
        <v>1</v>
      </c>
      <c r="L127" s="102"/>
      <c r="M127" s="102"/>
      <c r="N127" s="102"/>
      <c r="O127" s="102"/>
      <c r="P127" s="102"/>
      <c r="Q127" s="102">
        <v>1</v>
      </c>
      <c r="R127" s="120"/>
      <c r="S127" s="120"/>
      <c r="T127" s="120"/>
      <c r="U127" s="120"/>
      <c r="V127" s="120"/>
      <c r="W127" s="120"/>
      <c r="X127" s="120"/>
      <c r="Y127" s="120"/>
      <c r="Z127" s="120"/>
      <c r="AA127" s="120"/>
      <c r="AB127" s="120"/>
    </row>
    <row r="128" spans="1:28" ht="15.75" customHeight="1" x14ac:dyDescent="0.55000000000000004">
      <c r="A128" s="125">
        <v>64</v>
      </c>
      <c r="B128" s="125" t="s">
        <v>1289</v>
      </c>
      <c r="C128" s="125" t="s">
        <v>1290</v>
      </c>
      <c r="D128" s="126">
        <v>35767</v>
      </c>
      <c r="E128" s="102" t="s">
        <v>2161</v>
      </c>
      <c r="F128" s="102"/>
      <c r="G128" s="102">
        <v>0</v>
      </c>
      <c r="H128" s="102">
        <v>1</v>
      </c>
      <c r="I128" s="102"/>
      <c r="J128" s="102">
        <v>0</v>
      </c>
      <c r="K128" s="102"/>
      <c r="L128" s="102"/>
      <c r="M128" s="102"/>
      <c r="N128" s="102"/>
      <c r="O128" s="102"/>
      <c r="P128" s="102"/>
      <c r="Q128" s="102">
        <v>1</v>
      </c>
      <c r="R128" s="120"/>
      <c r="S128" s="120"/>
      <c r="T128" s="120"/>
      <c r="U128" s="120"/>
      <c r="V128" s="120"/>
      <c r="W128" s="120"/>
      <c r="X128" s="120"/>
      <c r="Y128" s="120"/>
      <c r="Z128" s="120"/>
      <c r="AA128" s="120"/>
      <c r="AB128" s="120"/>
    </row>
    <row r="129" spans="1:28" ht="15.75" customHeight="1" x14ac:dyDescent="0.55000000000000004">
      <c r="A129" s="127">
        <v>65</v>
      </c>
      <c r="B129" s="127" t="s">
        <v>1294</v>
      </c>
      <c r="C129" s="127" t="s">
        <v>1295</v>
      </c>
      <c r="D129" s="128">
        <v>35782</v>
      </c>
      <c r="E129" s="102" t="s">
        <v>2162</v>
      </c>
      <c r="F129" s="102">
        <v>3</v>
      </c>
      <c r="G129" s="102">
        <v>2</v>
      </c>
      <c r="H129" s="102">
        <v>1</v>
      </c>
      <c r="I129" s="102">
        <v>1</v>
      </c>
      <c r="J129" s="102">
        <v>0</v>
      </c>
      <c r="K129" s="102">
        <v>1</v>
      </c>
      <c r="L129" s="102">
        <v>1</v>
      </c>
      <c r="M129" s="102">
        <v>0</v>
      </c>
      <c r="N129" s="102">
        <v>0</v>
      </c>
      <c r="O129" s="102">
        <v>0</v>
      </c>
      <c r="P129" s="102">
        <v>0</v>
      </c>
      <c r="Q129" s="102">
        <v>0</v>
      </c>
      <c r="R129" s="120"/>
      <c r="S129" s="120"/>
      <c r="T129" s="120"/>
      <c r="U129" s="120"/>
      <c r="V129" s="120"/>
      <c r="W129" s="120"/>
      <c r="X129" s="120"/>
      <c r="Y129" s="120"/>
      <c r="Z129" s="120"/>
      <c r="AA129" s="120"/>
      <c r="AB129" s="120"/>
    </row>
    <row r="130" spans="1:28" ht="15.75" customHeight="1" x14ac:dyDescent="0.55000000000000004">
      <c r="A130" s="127">
        <v>65</v>
      </c>
      <c r="B130" s="127" t="s">
        <v>1294</v>
      </c>
      <c r="C130" s="127" t="s">
        <v>1295</v>
      </c>
      <c r="D130" s="128">
        <v>35782</v>
      </c>
      <c r="E130" s="102" t="s">
        <v>2163</v>
      </c>
      <c r="F130" s="102">
        <v>1</v>
      </c>
      <c r="G130" s="102"/>
      <c r="H130" s="102">
        <v>0</v>
      </c>
      <c r="I130" s="102">
        <v>0</v>
      </c>
      <c r="J130" s="102" t="s">
        <v>853</v>
      </c>
      <c r="K130" s="102">
        <v>1</v>
      </c>
      <c r="L130" s="102">
        <v>3</v>
      </c>
      <c r="M130" s="102">
        <v>0</v>
      </c>
      <c r="N130" s="102">
        <v>0</v>
      </c>
      <c r="O130" s="102">
        <v>0</v>
      </c>
      <c r="P130" s="102">
        <v>0</v>
      </c>
      <c r="Q130" s="102">
        <v>0</v>
      </c>
      <c r="R130" s="120"/>
      <c r="S130" s="120"/>
      <c r="T130" s="120"/>
      <c r="U130" s="120"/>
      <c r="V130" s="120"/>
      <c r="W130" s="120"/>
      <c r="X130" s="120"/>
      <c r="Y130" s="120"/>
      <c r="Z130" s="120"/>
      <c r="AA130" s="120"/>
      <c r="AB130" s="120"/>
    </row>
    <row r="131" spans="1:28" ht="15.75" customHeight="1" x14ac:dyDescent="0.55000000000000004">
      <c r="A131" s="127">
        <v>65</v>
      </c>
      <c r="B131" s="127" t="s">
        <v>1294</v>
      </c>
      <c r="C131" s="127" t="s">
        <v>1295</v>
      </c>
      <c r="D131" s="128">
        <v>35782</v>
      </c>
      <c r="E131" s="102" t="s">
        <v>2074</v>
      </c>
      <c r="F131" s="102">
        <v>0</v>
      </c>
      <c r="G131" s="102"/>
      <c r="H131" s="102">
        <v>0</v>
      </c>
      <c r="I131" s="102">
        <v>0</v>
      </c>
      <c r="J131" s="102">
        <v>0</v>
      </c>
      <c r="K131" s="102">
        <v>1</v>
      </c>
      <c r="L131" s="102">
        <v>3</v>
      </c>
      <c r="M131" s="102">
        <v>0</v>
      </c>
      <c r="N131" s="102">
        <v>0</v>
      </c>
      <c r="O131" s="102">
        <v>0</v>
      </c>
      <c r="P131" s="102">
        <v>0</v>
      </c>
      <c r="Q131" s="102">
        <v>0</v>
      </c>
      <c r="R131" s="120"/>
      <c r="S131" s="120"/>
      <c r="T131" s="120"/>
      <c r="U131" s="120"/>
      <c r="V131" s="120"/>
      <c r="W131" s="120"/>
      <c r="X131" s="120"/>
      <c r="Y131" s="120"/>
      <c r="Z131" s="120"/>
      <c r="AA131" s="120"/>
      <c r="AB131" s="120"/>
    </row>
    <row r="132" spans="1:28" ht="15.75" customHeight="1" x14ac:dyDescent="0.55000000000000004">
      <c r="A132" s="118">
        <v>66</v>
      </c>
      <c r="B132" s="118" t="s">
        <v>1301</v>
      </c>
      <c r="C132" s="118" t="s">
        <v>1302</v>
      </c>
      <c r="D132" s="119">
        <v>35860</v>
      </c>
      <c r="E132" s="102" t="s">
        <v>2153</v>
      </c>
      <c r="F132" s="102">
        <v>0</v>
      </c>
      <c r="G132" s="102">
        <v>1</v>
      </c>
      <c r="H132" s="102">
        <v>1</v>
      </c>
      <c r="I132" s="102">
        <v>0</v>
      </c>
      <c r="J132" s="102">
        <v>0</v>
      </c>
      <c r="K132" s="102">
        <v>1</v>
      </c>
      <c r="L132" s="102">
        <v>3</v>
      </c>
      <c r="M132" s="102">
        <v>0</v>
      </c>
      <c r="N132" s="102">
        <v>0</v>
      </c>
      <c r="O132" s="102">
        <v>0</v>
      </c>
      <c r="P132" s="102">
        <v>0</v>
      </c>
      <c r="Q132" s="102">
        <v>0</v>
      </c>
      <c r="R132" s="120"/>
      <c r="S132" s="120"/>
      <c r="T132" s="120"/>
      <c r="U132" s="120"/>
      <c r="V132" s="120"/>
      <c r="W132" s="120"/>
      <c r="X132" s="120"/>
      <c r="Y132" s="120"/>
      <c r="Z132" s="120"/>
      <c r="AA132" s="120"/>
      <c r="AB132" s="120"/>
    </row>
    <row r="133" spans="1:28" ht="15.75" customHeight="1" x14ac:dyDescent="0.55000000000000004">
      <c r="A133" s="121" t="s">
        <v>2164</v>
      </c>
      <c r="B133" s="121" t="s">
        <v>2165</v>
      </c>
      <c r="C133" s="121" t="s">
        <v>2166</v>
      </c>
      <c r="D133" s="122">
        <v>35878</v>
      </c>
      <c r="E133" s="102" t="s">
        <v>2167</v>
      </c>
      <c r="F133" s="102">
        <v>0</v>
      </c>
      <c r="G133" s="102">
        <v>1</v>
      </c>
      <c r="H133" s="102">
        <v>0</v>
      </c>
      <c r="I133" s="102">
        <v>0</v>
      </c>
      <c r="J133" s="102">
        <v>0</v>
      </c>
      <c r="K133" s="102">
        <v>0</v>
      </c>
      <c r="L133" s="102">
        <v>0</v>
      </c>
      <c r="M133" s="102">
        <v>0</v>
      </c>
      <c r="N133" s="102">
        <v>0</v>
      </c>
      <c r="O133" s="102">
        <v>0</v>
      </c>
      <c r="P133" s="102">
        <v>1</v>
      </c>
      <c r="Q133" s="102">
        <v>0</v>
      </c>
      <c r="R133" s="120"/>
      <c r="S133" s="120"/>
      <c r="T133" s="120"/>
      <c r="U133" s="120"/>
      <c r="V133" s="120"/>
      <c r="W133" s="120"/>
      <c r="X133" s="120"/>
      <c r="Y133" s="120"/>
      <c r="Z133" s="120"/>
      <c r="AA133" s="120"/>
      <c r="AB133" s="120"/>
    </row>
    <row r="134" spans="1:28" ht="15.75" customHeight="1" x14ac:dyDescent="0.55000000000000004">
      <c r="A134" s="121" t="s">
        <v>2164</v>
      </c>
      <c r="B134" s="121" t="s">
        <v>2165</v>
      </c>
      <c r="C134" s="121" t="s">
        <v>2166</v>
      </c>
      <c r="D134" s="122">
        <v>35878</v>
      </c>
      <c r="E134" s="102" t="s">
        <v>2168</v>
      </c>
      <c r="F134" s="102">
        <v>2</v>
      </c>
      <c r="G134" s="102">
        <v>2</v>
      </c>
      <c r="H134" s="102">
        <v>1</v>
      </c>
      <c r="I134" s="102">
        <v>1</v>
      </c>
      <c r="J134" s="102">
        <v>0</v>
      </c>
      <c r="K134" s="102">
        <v>0</v>
      </c>
      <c r="L134" s="102">
        <v>0</v>
      </c>
      <c r="M134" s="102">
        <v>0</v>
      </c>
      <c r="N134" s="102">
        <v>0</v>
      </c>
      <c r="O134" s="102">
        <v>0</v>
      </c>
      <c r="P134" s="102">
        <v>1</v>
      </c>
      <c r="Q134" s="102">
        <v>0</v>
      </c>
      <c r="R134" s="120"/>
      <c r="S134" s="120"/>
      <c r="T134" s="120"/>
      <c r="U134" s="120"/>
      <c r="V134" s="120"/>
      <c r="W134" s="120"/>
      <c r="X134" s="120"/>
      <c r="Y134" s="120"/>
      <c r="Z134" s="120"/>
      <c r="AA134" s="120"/>
      <c r="AB134" s="120"/>
    </row>
    <row r="135" spans="1:28" ht="15.75" customHeight="1" x14ac:dyDescent="0.55000000000000004">
      <c r="A135" s="121" t="s">
        <v>2164</v>
      </c>
      <c r="B135" s="121" t="s">
        <v>2165</v>
      </c>
      <c r="C135" s="121" t="s">
        <v>2166</v>
      </c>
      <c r="D135" s="122">
        <v>35878</v>
      </c>
      <c r="E135" s="102" t="s">
        <v>2169</v>
      </c>
      <c r="F135" s="102">
        <v>0</v>
      </c>
      <c r="G135" s="102">
        <v>1</v>
      </c>
      <c r="H135" s="102"/>
      <c r="I135" s="102">
        <v>0</v>
      </c>
      <c r="J135" s="102" t="s">
        <v>853</v>
      </c>
      <c r="K135" s="102">
        <v>0</v>
      </c>
      <c r="L135" s="102">
        <v>0</v>
      </c>
      <c r="M135" s="102">
        <v>0</v>
      </c>
      <c r="N135" s="102">
        <v>0</v>
      </c>
      <c r="O135" s="102">
        <v>0</v>
      </c>
      <c r="P135" s="102">
        <v>1</v>
      </c>
      <c r="Q135" s="102">
        <v>0</v>
      </c>
      <c r="R135" s="120"/>
      <c r="S135" s="120"/>
      <c r="T135" s="120"/>
      <c r="U135" s="120"/>
      <c r="V135" s="120"/>
      <c r="W135" s="120"/>
      <c r="X135" s="120"/>
      <c r="Y135" s="120"/>
      <c r="Z135" s="120"/>
      <c r="AA135" s="120"/>
      <c r="AB135" s="120"/>
    </row>
    <row r="136" spans="1:28" ht="15.75" customHeight="1" x14ac:dyDescent="0.55000000000000004">
      <c r="A136" s="121" t="s">
        <v>2164</v>
      </c>
      <c r="B136" s="121" t="s">
        <v>2165</v>
      </c>
      <c r="C136" s="121" t="s">
        <v>2166</v>
      </c>
      <c r="D136" s="122">
        <v>35878</v>
      </c>
      <c r="E136" s="102" t="s">
        <v>2063</v>
      </c>
      <c r="F136" s="102">
        <v>0</v>
      </c>
      <c r="G136" s="102">
        <v>1</v>
      </c>
      <c r="H136" s="102"/>
      <c r="I136" s="102">
        <v>0</v>
      </c>
      <c r="J136" s="102" t="s">
        <v>853</v>
      </c>
      <c r="K136" s="102">
        <v>0</v>
      </c>
      <c r="L136" s="102">
        <v>0</v>
      </c>
      <c r="M136" s="102">
        <v>0</v>
      </c>
      <c r="N136" s="102">
        <v>0</v>
      </c>
      <c r="O136" s="102">
        <v>0</v>
      </c>
      <c r="P136" s="102">
        <v>1</v>
      </c>
      <c r="Q136" s="102">
        <v>0</v>
      </c>
      <c r="R136" s="120"/>
      <c r="S136" s="120"/>
      <c r="T136" s="120"/>
      <c r="U136" s="120"/>
      <c r="V136" s="120"/>
      <c r="W136" s="120"/>
      <c r="X136" s="120"/>
      <c r="Y136" s="120"/>
      <c r="Z136" s="120"/>
      <c r="AA136" s="120"/>
      <c r="AB136" s="120"/>
    </row>
    <row r="137" spans="1:28" ht="15.75" customHeight="1" x14ac:dyDescent="0.55000000000000004">
      <c r="A137" s="121" t="s">
        <v>2164</v>
      </c>
      <c r="B137" s="121" t="s">
        <v>2165</v>
      </c>
      <c r="C137" s="121" t="s">
        <v>2166</v>
      </c>
      <c r="D137" s="122">
        <v>35878</v>
      </c>
      <c r="E137" s="102" t="s">
        <v>2170</v>
      </c>
      <c r="F137" s="102">
        <v>0</v>
      </c>
      <c r="G137" s="102">
        <v>1</v>
      </c>
      <c r="H137" s="102">
        <v>0</v>
      </c>
      <c r="I137" s="102">
        <v>0</v>
      </c>
      <c r="J137" s="102">
        <v>0</v>
      </c>
      <c r="K137" s="102">
        <v>0</v>
      </c>
      <c r="L137" s="102">
        <v>0</v>
      </c>
      <c r="M137" s="102">
        <v>0</v>
      </c>
      <c r="N137" s="102">
        <v>0</v>
      </c>
      <c r="O137" s="102">
        <v>0</v>
      </c>
      <c r="P137" s="102">
        <v>1</v>
      </c>
      <c r="Q137" s="102">
        <v>0</v>
      </c>
      <c r="R137" s="120"/>
      <c r="S137" s="120"/>
      <c r="T137" s="120"/>
      <c r="U137" s="120"/>
      <c r="V137" s="120"/>
      <c r="W137" s="120"/>
      <c r="X137" s="120"/>
      <c r="Y137" s="120"/>
      <c r="Z137" s="120"/>
      <c r="AA137" s="120"/>
      <c r="AB137" s="120"/>
    </row>
    <row r="138" spans="1:28" ht="15.75" customHeight="1" x14ac:dyDescent="0.55000000000000004">
      <c r="A138" s="121" t="s">
        <v>2164</v>
      </c>
      <c r="B138" s="121" t="s">
        <v>2165</v>
      </c>
      <c r="C138" s="121" t="s">
        <v>2166</v>
      </c>
      <c r="D138" s="122">
        <v>35878</v>
      </c>
      <c r="E138" s="102" t="s">
        <v>2171</v>
      </c>
      <c r="F138" s="102">
        <v>2</v>
      </c>
      <c r="G138" s="102">
        <v>2</v>
      </c>
      <c r="H138" s="102">
        <v>1</v>
      </c>
      <c r="I138" s="102">
        <v>0</v>
      </c>
      <c r="J138" s="102">
        <v>0</v>
      </c>
      <c r="K138" s="102">
        <v>0</v>
      </c>
      <c r="L138" s="102">
        <v>0</v>
      </c>
      <c r="M138" s="102">
        <v>0</v>
      </c>
      <c r="N138" s="102">
        <v>0</v>
      </c>
      <c r="O138" s="102">
        <v>0</v>
      </c>
      <c r="P138" s="102">
        <v>1</v>
      </c>
      <c r="Q138" s="102">
        <v>0</v>
      </c>
      <c r="R138" s="120"/>
      <c r="S138" s="120"/>
      <c r="T138" s="120"/>
      <c r="U138" s="120"/>
      <c r="V138" s="120"/>
      <c r="W138" s="120"/>
      <c r="X138" s="120"/>
      <c r="Y138" s="120"/>
      <c r="Z138" s="120"/>
      <c r="AA138" s="120"/>
      <c r="AB138" s="120"/>
    </row>
    <row r="139" spans="1:28" ht="15.75" customHeight="1" x14ac:dyDescent="0.55000000000000004">
      <c r="A139" s="121" t="s">
        <v>2164</v>
      </c>
      <c r="B139" s="121" t="s">
        <v>2165</v>
      </c>
      <c r="C139" s="121" t="s">
        <v>2166</v>
      </c>
      <c r="D139" s="122">
        <v>35878</v>
      </c>
      <c r="E139" s="102" t="s">
        <v>2172</v>
      </c>
      <c r="F139" s="102">
        <v>0</v>
      </c>
      <c r="G139" s="102">
        <v>1</v>
      </c>
      <c r="H139" s="102">
        <v>0</v>
      </c>
      <c r="I139" s="102">
        <v>0</v>
      </c>
      <c r="J139" s="102" t="s">
        <v>853</v>
      </c>
      <c r="K139" s="102">
        <v>0</v>
      </c>
      <c r="L139" s="102">
        <v>0</v>
      </c>
      <c r="M139" s="102">
        <v>0</v>
      </c>
      <c r="N139" s="102">
        <v>0</v>
      </c>
      <c r="O139" s="102">
        <v>0</v>
      </c>
      <c r="P139" s="102">
        <v>1</v>
      </c>
      <c r="Q139" s="102">
        <v>0</v>
      </c>
      <c r="R139" s="120"/>
      <c r="S139" s="120"/>
      <c r="T139" s="120"/>
      <c r="U139" s="120"/>
      <c r="V139" s="120"/>
      <c r="W139" s="120"/>
      <c r="X139" s="120"/>
      <c r="Y139" s="120"/>
      <c r="Z139" s="120"/>
      <c r="AA139" s="120"/>
      <c r="AB139" s="120"/>
    </row>
    <row r="140" spans="1:28" ht="15.75" customHeight="1" x14ac:dyDescent="0.55000000000000004">
      <c r="A140" s="121" t="s">
        <v>2164</v>
      </c>
      <c r="B140" s="121" t="s">
        <v>2165</v>
      </c>
      <c r="C140" s="121" t="s">
        <v>2166</v>
      </c>
      <c r="D140" s="122">
        <v>35878</v>
      </c>
      <c r="E140" s="102" t="s">
        <v>2173</v>
      </c>
      <c r="F140" s="102">
        <v>0</v>
      </c>
      <c r="G140" s="102">
        <v>0</v>
      </c>
      <c r="H140" s="102">
        <v>0</v>
      </c>
      <c r="I140" s="102">
        <v>0</v>
      </c>
      <c r="J140" s="102" t="s">
        <v>853</v>
      </c>
      <c r="K140" s="102">
        <v>0</v>
      </c>
      <c r="L140" s="102">
        <v>0</v>
      </c>
      <c r="M140" s="102">
        <v>0</v>
      </c>
      <c r="N140" s="102">
        <v>0</v>
      </c>
      <c r="O140" s="102">
        <v>0</v>
      </c>
      <c r="P140" s="102">
        <v>1</v>
      </c>
      <c r="Q140" s="102">
        <v>0</v>
      </c>
      <c r="R140" s="120"/>
      <c r="S140" s="120"/>
      <c r="T140" s="120"/>
      <c r="U140" s="120"/>
      <c r="V140" s="120"/>
      <c r="W140" s="120"/>
      <c r="X140" s="120"/>
      <c r="Y140" s="120"/>
      <c r="Z140" s="120"/>
      <c r="AA140" s="120"/>
      <c r="AB140" s="120"/>
    </row>
    <row r="141" spans="1:28" ht="15.75" customHeight="1" x14ac:dyDescent="0.55000000000000004">
      <c r="A141" s="121" t="s">
        <v>2164</v>
      </c>
      <c r="B141" s="121" t="s">
        <v>2165</v>
      </c>
      <c r="C141" s="121" t="s">
        <v>2166</v>
      </c>
      <c r="D141" s="122">
        <v>35878</v>
      </c>
      <c r="E141" s="102" t="s">
        <v>2174</v>
      </c>
      <c r="F141" s="102">
        <v>2</v>
      </c>
      <c r="G141" s="102">
        <v>2</v>
      </c>
      <c r="H141" s="102">
        <v>1</v>
      </c>
      <c r="I141" s="102">
        <v>0</v>
      </c>
      <c r="J141" s="102">
        <v>0</v>
      </c>
      <c r="K141" s="102">
        <v>0</v>
      </c>
      <c r="L141" s="102">
        <v>0</v>
      </c>
      <c r="M141" s="102">
        <v>0</v>
      </c>
      <c r="N141" s="102">
        <v>0</v>
      </c>
      <c r="O141" s="102">
        <v>0</v>
      </c>
      <c r="P141" s="102">
        <v>1</v>
      </c>
      <c r="Q141" s="102">
        <v>0</v>
      </c>
      <c r="R141" s="120"/>
      <c r="S141" s="120"/>
      <c r="T141" s="120"/>
      <c r="U141" s="120"/>
      <c r="V141" s="120"/>
      <c r="W141" s="120"/>
      <c r="X141" s="120"/>
      <c r="Y141" s="120"/>
      <c r="Z141" s="120"/>
      <c r="AA141" s="120"/>
      <c r="AB141" s="120"/>
    </row>
    <row r="142" spans="1:28" ht="15.75" customHeight="1" x14ac:dyDescent="0.55000000000000004">
      <c r="A142" s="121" t="s">
        <v>2164</v>
      </c>
      <c r="B142" s="121" t="s">
        <v>2165</v>
      </c>
      <c r="C142" s="121" t="s">
        <v>2166</v>
      </c>
      <c r="D142" s="122">
        <v>35878</v>
      </c>
      <c r="E142" s="102" t="s">
        <v>2175</v>
      </c>
      <c r="F142" s="102">
        <v>0</v>
      </c>
      <c r="G142" s="102">
        <v>1</v>
      </c>
      <c r="H142" s="102">
        <v>0</v>
      </c>
      <c r="I142" s="102">
        <v>0</v>
      </c>
      <c r="J142" s="102" t="s">
        <v>853</v>
      </c>
      <c r="K142" s="102">
        <v>0</v>
      </c>
      <c r="L142" s="102">
        <v>0</v>
      </c>
      <c r="M142" s="102">
        <v>0</v>
      </c>
      <c r="N142" s="102">
        <v>0</v>
      </c>
      <c r="O142" s="102">
        <v>0</v>
      </c>
      <c r="P142" s="102">
        <v>1</v>
      </c>
      <c r="Q142" s="102">
        <v>0</v>
      </c>
      <c r="R142" s="120"/>
      <c r="S142" s="120"/>
      <c r="T142" s="120"/>
      <c r="U142" s="120"/>
      <c r="V142" s="120"/>
      <c r="W142" s="120"/>
      <c r="X142" s="120"/>
      <c r="Y142" s="120"/>
      <c r="Z142" s="120"/>
      <c r="AA142" s="120"/>
      <c r="AB142" s="120"/>
    </row>
    <row r="143" spans="1:28" ht="15.75" customHeight="1" x14ac:dyDescent="0.55000000000000004">
      <c r="A143" s="123">
        <v>69</v>
      </c>
      <c r="B143" s="123" t="s">
        <v>1326</v>
      </c>
      <c r="C143" s="123" t="s">
        <v>1327</v>
      </c>
      <c r="D143" s="124">
        <v>35935</v>
      </c>
      <c r="E143" s="102" t="s">
        <v>2176</v>
      </c>
      <c r="F143" s="102">
        <v>2</v>
      </c>
      <c r="G143" s="102">
        <v>0</v>
      </c>
      <c r="H143" s="102">
        <v>1</v>
      </c>
      <c r="I143" s="102">
        <v>0</v>
      </c>
      <c r="J143" s="102">
        <v>1</v>
      </c>
      <c r="K143" s="102">
        <v>1</v>
      </c>
      <c r="L143" s="102">
        <v>0</v>
      </c>
      <c r="M143" s="102">
        <v>0</v>
      </c>
      <c r="N143" s="102">
        <v>0</v>
      </c>
      <c r="O143" s="102">
        <v>1</v>
      </c>
      <c r="P143" s="102">
        <v>0</v>
      </c>
      <c r="Q143" s="102">
        <v>0</v>
      </c>
      <c r="R143" s="120"/>
      <c r="S143" s="120"/>
      <c r="T143" s="120"/>
      <c r="U143" s="120"/>
      <c r="V143" s="120"/>
      <c r="W143" s="120"/>
      <c r="X143" s="120"/>
      <c r="Y143" s="120"/>
      <c r="Z143" s="120"/>
      <c r="AA143" s="120"/>
      <c r="AB143" s="120"/>
    </row>
    <row r="144" spans="1:28" ht="15.75" customHeight="1" x14ac:dyDescent="0.55000000000000004">
      <c r="A144" s="123">
        <v>69</v>
      </c>
      <c r="B144" s="123" t="s">
        <v>1326</v>
      </c>
      <c r="C144" s="123" t="s">
        <v>1327</v>
      </c>
      <c r="D144" s="124">
        <v>35935</v>
      </c>
      <c r="E144" s="102" t="s">
        <v>2177</v>
      </c>
      <c r="F144" s="102">
        <v>0</v>
      </c>
      <c r="G144" s="102">
        <v>0</v>
      </c>
      <c r="H144" s="102">
        <v>0</v>
      </c>
      <c r="I144" s="102">
        <v>0</v>
      </c>
      <c r="J144" s="102">
        <v>0</v>
      </c>
      <c r="K144" s="102">
        <v>1</v>
      </c>
      <c r="L144" s="102">
        <v>0</v>
      </c>
      <c r="M144" s="102">
        <v>4</v>
      </c>
      <c r="N144" s="102">
        <v>0</v>
      </c>
      <c r="O144" s="102">
        <v>0</v>
      </c>
      <c r="P144" s="102">
        <v>0</v>
      </c>
      <c r="Q144" s="102">
        <v>0</v>
      </c>
      <c r="R144" s="120"/>
      <c r="S144" s="120"/>
      <c r="T144" s="120"/>
      <c r="U144" s="120"/>
      <c r="V144" s="120"/>
      <c r="W144" s="120"/>
      <c r="X144" s="120"/>
      <c r="Y144" s="120"/>
      <c r="Z144" s="120"/>
      <c r="AA144" s="120"/>
      <c r="AB144" s="120"/>
    </row>
    <row r="145" spans="1:28" ht="15.75" customHeight="1" x14ac:dyDescent="0.55000000000000004">
      <c r="A145" s="123">
        <v>69</v>
      </c>
      <c r="B145" s="123" t="s">
        <v>1326</v>
      </c>
      <c r="C145" s="123" t="s">
        <v>1327</v>
      </c>
      <c r="D145" s="124">
        <v>35935</v>
      </c>
      <c r="E145" s="102" t="s">
        <v>2178</v>
      </c>
      <c r="F145" s="102">
        <v>0</v>
      </c>
      <c r="G145" s="102">
        <v>1</v>
      </c>
      <c r="H145" s="102">
        <v>1</v>
      </c>
      <c r="I145" s="102">
        <v>0</v>
      </c>
      <c r="J145" s="102">
        <v>0</v>
      </c>
      <c r="K145" s="102">
        <v>1</v>
      </c>
      <c r="L145" s="102">
        <v>0</v>
      </c>
      <c r="M145" s="102">
        <v>0</v>
      </c>
      <c r="N145" s="102">
        <v>0</v>
      </c>
      <c r="O145" s="102">
        <v>0</v>
      </c>
      <c r="P145" s="102">
        <v>1</v>
      </c>
      <c r="Q145" s="102">
        <v>0</v>
      </c>
      <c r="R145" s="120"/>
      <c r="S145" s="120"/>
      <c r="T145" s="120"/>
      <c r="U145" s="120"/>
      <c r="V145" s="120"/>
      <c r="W145" s="120"/>
      <c r="X145" s="120"/>
      <c r="Y145" s="120"/>
      <c r="Z145" s="120"/>
      <c r="AA145" s="120"/>
      <c r="AB145" s="120"/>
    </row>
    <row r="146" spans="1:28" ht="15.75" customHeight="1" x14ac:dyDescent="0.55000000000000004">
      <c r="A146" s="125">
        <v>70</v>
      </c>
      <c r="B146" s="125" t="s">
        <v>1189</v>
      </c>
      <c r="C146" s="125" t="s">
        <v>1334</v>
      </c>
      <c r="D146" s="126">
        <v>36229</v>
      </c>
      <c r="E146" s="102" t="s">
        <v>2179</v>
      </c>
      <c r="F146" s="102">
        <v>0</v>
      </c>
      <c r="G146" s="102">
        <v>1</v>
      </c>
      <c r="H146" s="102">
        <v>1</v>
      </c>
      <c r="I146" s="102">
        <v>0</v>
      </c>
      <c r="J146" s="102">
        <v>0</v>
      </c>
      <c r="K146" s="102">
        <v>0</v>
      </c>
      <c r="L146" s="102">
        <v>0</v>
      </c>
      <c r="M146" s="102">
        <v>3</v>
      </c>
      <c r="N146" s="102">
        <v>0</v>
      </c>
      <c r="O146" s="102">
        <v>0</v>
      </c>
      <c r="P146" s="102">
        <v>0</v>
      </c>
      <c r="Q146" s="102">
        <v>0</v>
      </c>
      <c r="R146" s="120"/>
      <c r="S146" s="120"/>
      <c r="T146" s="120"/>
      <c r="U146" s="120"/>
      <c r="V146" s="120"/>
      <c r="W146" s="120"/>
      <c r="X146" s="120"/>
      <c r="Y146" s="120"/>
      <c r="Z146" s="120"/>
      <c r="AA146" s="120"/>
      <c r="AB146" s="120"/>
    </row>
    <row r="147" spans="1:28" ht="15.75" customHeight="1" x14ac:dyDescent="0.55000000000000004">
      <c r="A147" s="127" t="s">
        <v>2180</v>
      </c>
      <c r="B147" s="127" t="s">
        <v>2181</v>
      </c>
      <c r="C147" s="127" t="s">
        <v>2182</v>
      </c>
      <c r="D147" s="128">
        <v>36270</v>
      </c>
      <c r="E147" s="102" t="s">
        <v>2183</v>
      </c>
      <c r="F147" s="102">
        <v>1</v>
      </c>
      <c r="G147" s="102">
        <v>2</v>
      </c>
      <c r="H147" s="102">
        <v>1</v>
      </c>
      <c r="I147" s="102">
        <v>1</v>
      </c>
      <c r="J147" s="102" t="s">
        <v>853</v>
      </c>
      <c r="K147" s="102">
        <v>1</v>
      </c>
      <c r="L147" s="102">
        <v>0</v>
      </c>
      <c r="M147" s="102">
        <v>2</v>
      </c>
      <c r="N147" s="102">
        <v>0</v>
      </c>
      <c r="O147" s="102">
        <v>0</v>
      </c>
      <c r="P147" s="102">
        <v>0</v>
      </c>
      <c r="Q147" s="102">
        <v>0</v>
      </c>
      <c r="R147" s="120"/>
      <c r="S147" s="120"/>
      <c r="T147" s="120"/>
      <c r="U147" s="120"/>
      <c r="V147" s="120"/>
      <c r="W147" s="120"/>
      <c r="X147" s="120"/>
      <c r="Y147" s="120"/>
      <c r="Z147" s="120"/>
      <c r="AA147" s="120"/>
      <c r="AB147" s="120"/>
    </row>
    <row r="148" spans="1:28" ht="15.75" customHeight="1" x14ac:dyDescent="0.55000000000000004">
      <c r="A148" s="127" t="s">
        <v>2180</v>
      </c>
      <c r="B148" s="127" t="s">
        <v>2181</v>
      </c>
      <c r="C148" s="127" t="s">
        <v>2182</v>
      </c>
      <c r="D148" s="128">
        <v>36270</v>
      </c>
      <c r="E148" s="102" t="s">
        <v>2184</v>
      </c>
      <c r="F148" s="102">
        <v>1</v>
      </c>
      <c r="G148" s="102">
        <v>2</v>
      </c>
      <c r="H148" s="102">
        <v>1</v>
      </c>
      <c r="I148" s="102">
        <v>1</v>
      </c>
      <c r="J148" s="102" t="s">
        <v>853</v>
      </c>
      <c r="K148" s="102">
        <v>1</v>
      </c>
      <c r="L148" s="102">
        <v>0</v>
      </c>
      <c r="M148" s="102">
        <v>2</v>
      </c>
      <c r="N148" s="102">
        <v>0</v>
      </c>
      <c r="O148" s="102">
        <v>0</v>
      </c>
      <c r="P148" s="102">
        <v>0</v>
      </c>
      <c r="Q148" s="102">
        <v>0</v>
      </c>
      <c r="R148" s="120"/>
      <c r="S148" s="120"/>
      <c r="T148" s="120"/>
      <c r="U148" s="120"/>
      <c r="V148" s="120"/>
      <c r="W148" s="120"/>
      <c r="X148" s="120"/>
      <c r="Y148" s="120"/>
      <c r="Z148" s="120"/>
      <c r="AA148" s="120"/>
      <c r="AB148" s="120"/>
    </row>
    <row r="149" spans="1:28" ht="15.75" customHeight="1" x14ac:dyDescent="0.55000000000000004">
      <c r="A149" s="127" t="s">
        <v>2180</v>
      </c>
      <c r="B149" s="127" t="s">
        <v>2181</v>
      </c>
      <c r="C149" s="127" t="s">
        <v>2182</v>
      </c>
      <c r="D149" s="128">
        <v>36270</v>
      </c>
      <c r="E149" s="102" t="s">
        <v>2185</v>
      </c>
      <c r="F149" s="102">
        <v>3</v>
      </c>
      <c r="G149" s="102">
        <v>1</v>
      </c>
      <c r="H149" s="102">
        <v>1</v>
      </c>
      <c r="I149" s="102">
        <v>0</v>
      </c>
      <c r="J149" s="102">
        <v>0</v>
      </c>
      <c r="K149" s="102">
        <v>1</v>
      </c>
      <c r="L149" s="102">
        <v>0</v>
      </c>
      <c r="M149" s="102">
        <v>2</v>
      </c>
      <c r="N149" s="102">
        <v>0</v>
      </c>
      <c r="O149" s="102">
        <v>0</v>
      </c>
      <c r="P149" s="102">
        <v>0</v>
      </c>
      <c r="Q149" s="102">
        <v>0</v>
      </c>
      <c r="R149" s="120"/>
      <c r="S149" s="120"/>
      <c r="T149" s="120"/>
      <c r="U149" s="120"/>
      <c r="V149" s="120"/>
      <c r="W149" s="120"/>
      <c r="X149" s="120"/>
      <c r="Y149" s="120"/>
      <c r="Z149" s="120"/>
      <c r="AA149" s="120"/>
      <c r="AB149" s="120"/>
    </row>
    <row r="150" spans="1:28" ht="15.75" customHeight="1" x14ac:dyDescent="0.55000000000000004">
      <c r="A150" s="127" t="s">
        <v>2180</v>
      </c>
      <c r="B150" s="127" t="s">
        <v>2181</v>
      </c>
      <c r="C150" s="127" t="s">
        <v>2182</v>
      </c>
      <c r="D150" s="128">
        <v>36270</v>
      </c>
      <c r="E150" s="102" t="s">
        <v>2186</v>
      </c>
      <c r="F150" s="102">
        <v>3</v>
      </c>
      <c r="G150" s="102">
        <v>1</v>
      </c>
      <c r="H150" s="102">
        <v>1</v>
      </c>
      <c r="I150" s="102">
        <v>0</v>
      </c>
      <c r="J150" s="102">
        <v>0</v>
      </c>
      <c r="K150" s="102">
        <v>1</v>
      </c>
      <c r="L150" s="102">
        <v>0</v>
      </c>
      <c r="M150" s="102">
        <v>4</v>
      </c>
      <c r="N150" s="102">
        <v>0</v>
      </c>
      <c r="O150" s="102">
        <v>0</v>
      </c>
      <c r="P150" s="102">
        <v>0</v>
      </c>
      <c r="Q150" s="102">
        <v>0</v>
      </c>
      <c r="R150" s="120"/>
      <c r="S150" s="120"/>
      <c r="T150" s="120"/>
      <c r="U150" s="120"/>
      <c r="V150" s="120"/>
      <c r="W150" s="120"/>
      <c r="X150" s="120"/>
      <c r="Y150" s="120"/>
      <c r="Z150" s="120"/>
      <c r="AA150" s="120"/>
      <c r="AB150" s="120"/>
    </row>
    <row r="151" spans="1:28" ht="15.75" customHeight="1" x14ac:dyDescent="0.55000000000000004">
      <c r="A151" s="118">
        <v>73</v>
      </c>
      <c r="B151" s="118" t="s">
        <v>1354</v>
      </c>
      <c r="C151" s="118" t="s">
        <v>1355</v>
      </c>
      <c r="D151" s="119">
        <v>36314</v>
      </c>
      <c r="E151" s="102" t="s">
        <v>2142</v>
      </c>
      <c r="F151" s="102">
        <v>1</v>
      </c>
      <c r="G151" s="102">
        <v>2</v>
      </c>
      <c r="H151" s="102">
        <v>1</v>
      </c>
      <c r="I151" s="102">
        <v>0</v>
      </c>
      <c r="J151" s="102" t="s">
        <v>853</v>
      </c>
      <c r="K151" s="102">
        <v>1</v>
      </c>
      <c r="L151" s="102">
        <v>1</v>
      </c>
      <c r="M151" s="102">
        <v>0</v>
      </c>
      <c r="N151" s="102">
        <v>0</v>
      </c>
      <c r="O151" s="102">
        <v>0</v>
      </c>
      <c r="P151" s="102">
        <v>0</v>
      </c>
      <c r="Q151" s="102">
        <v>0</v>
      </c>
      <c r="R151" s="120"/>
      <c r="S151" s="120"/>
      <c r="T151" s="120"/>
      <c r="U151" s="120"/>
      <c r="V151" s="120"/>
      <c r="W151" s="120"/>
      <c r="X151" s="120"/>
      <c r="Y151" s="120"/>
      <c r="Z151" s="120"/>
      <c r="AA151" s="120"/>
      <c r="AB151" s="120"/>
    </row>
    <row r="152" spans="1:28" ht="15.75" customHeight="1" x14ac:dyDescent="0.55000000000000004">
      <c r="A152" s="121">
        <v>74</v>
      </c>
      <c r="B152" s="121" t="s">
        <v>1364</v>
      </c>
      <c r="C152" s="121" t="s">
        <v>913</v>
      </c>
      <c r="D152" s="122">
        <v>36370</v>
      </c>
      <c r="E152" s="102" t="s">
        <v>2187</v>
      </c>
      <c r="F152" s="102">
        <v>0</v>
      </c>
      <c r="G152" s="102">
        <v>2</v>
      </c>
      <c r="H152" s="102">
        <v>1</v>
      </c>
      <c r="I152" s="102">
        <v>0</v>
      </c>
      <c r="J152" s="102">
        <v>0</v>
      </c>
      <c r="K152" s="102"/>
      <c r="L152" s="102">
        <v>2</v>
      </c>
      <c r="M152" s="102">
        <v>0</v>
      </c>
      <c r="N152" s="102">
        <v>0</v>
      </c>
      <c r="O152" s="102">
        <v>0</v>
      </c>
      <c r="P152" s="102">
        <v>0</v>
      </c>
      <c r="Q152" s="102">
        <v>0</v>
      </c>
      <c r="R152" s="120"/>
      <c r="S152" s="120"/>
      <c r="T152" s="120"/>
      <c r="U152" s="120"/>
      <c r="V152" s="120"/>
      <c r="W152" s="120"/>
      <c r="X152" s="120"/>
      <c r="Y152" s="120"/>
      <c r="Z152" s="120"/>
      <c r="AA152" s="120"/>
      <c r="AB152" s="120"/>
    </row>
    <row r="153" spans="1:28" ht="15.75" customHeight="1" x14ac:dyDescent="0.55000000000000004">
      <c r="A153" s="121">
        <v>74</v>
      </c>
      <c r="B153" s="121" t="s">
        <v>1364</v>
      </c>
      <c r="C153" s="121" t="s">
        <v>913</v>
      </c>
      <c r="D153" s="122">
        <v>36370</v>
      </c>
      <c r="E153" s="102" t="s">
        <v>2188</v>
      </c>
      <c r="F153" s="102">
        <v>0</v>
      </c>
      <c r="G153" s="102">
        <v>0</v>
      </c>
      <c r="H153" s="102">
        <v>0</v>
      </c>
      <c r="I153" s="102">
        <v>0</v>
      </c>
      <c r="J153" s="102" t="s">
        <v>853</v>
      </c>
      <c r="K153" s="102">
        <v>1</v>
      </c>
      <c r="L153" s="102">
        <v>1</v>
      </c>
      <c r="M153" s="102">
        <v>0</v>
      </c>
      <c r="N153" s="102">
        <v>0</v>
      </c>
      <c r="O153" s="102">
        <v>0</v>
      </c>
      <c r="P153" s="102">
        <v>0</v>
      </c>
      <c r="Q153" s="102">
        <v>0</v>
      </c>
      <c r="R153" s="120"/>
      <c r="S153" s="120"/>
      <c r="T153" s="120"/>
      <c r="U153" s="120"/>
      <c r="V153" s="120"/>
      <c r="W153" s="120"/>
      <c r="X153" s="120"/>
      <c r="Y153" s="120"/>
      <c r="Z153" s="120"/>
      <c r="AA153" s="120"/>
      <c r="AB153" s="120"/>
    </row>
    <row r="154" spans="1:28" ht="15.75" customHeight="1" x14ac:dyDescent="0.55000000000000004">
      <c r="A154" s="121">
        <v>74</v>
      </c>
      <c r="B154" s="121" t="s">
        <v>1364</v>
      </c>
      <c r="C154" s="121" t="s">
        <v>913</v>
      </c>
      <c r="D154" s="122">
        <v>36370</v>
      </c>
      <c r="E154" s="102" t="s">
        <v>2189</v>
      </c>
      <c r="F154" s="102">
        <v>0</v>
      </c>
      <c r="G154" s="102">
        <v>1</v>
      </c>
      <c r="H154" s="102">
        <v>1</v>
      </c>
      <c r="I154" s="102">
        <v>0</v>
      </c>
      <c r="J154" s="102">
        <v>0</v>
      </c>
      <c r="K154" s="102">
        <v>1</v>
      </c>
      <c r="L154" s="102">
        <v>1</v>
      </c>
      <c r="M154" s="102">
        <v>0</v>
      </c>
      <c r="N154" s="102">
        <v>0</v>
      </c>
      <c r="O154" s="102">
        <v>0</v>
      </c>
      <c r="P154" s="102">
        <v>0</v>
      </c>
      <c r="Q154" s="102">
        <v>0</v>
      </c>
      <c r="R154" s="120"/>
      <c r="S154" s="120"/>
      <c r="T154" s="120"/>
      <c r="U154" s="120"/>
      <c r="V154" s="120"/>
      <c r="W154" s="120"/>
      <c r="X154" s="120"/>
      <c r="Y154" s="120"/>
      <c r="Z154" s="120"/>
      <c r="AA154" s="120"/>
      <c r="AB154" s="120"/>
    </row>
    <row r="155" spans="1:28" ht="15.75" customHeight="1" x14ac:dyDescent="0.55000000000000004">
      <c r="A155" s="121">
        <v>74</v>
      </c>
      <c r="B155" s="121" t="s">
        <v>1364</v>
      </c>
      <c r="C155" s="121" t="s">
        <v>913</v>
      </c>
      <c r="D155" s="122">
        <v>36370</v>
      </c>
      <c r="E155" s="102" t="s">
        <v>2190</v>
      </c>
      <c r="F155" s="102">
        <v>0</v>
      </c>
      <c r="G155" s="102">
        <v>0</v>
      </c>
      <c r="H155" s="102">
        <v>0</v>
      </c>
      <c r="I155" s="102">
        <v>0</v>
      </c>
      <c r="J155" s="102">
        <v>0</v>
      </c>
      <c r="K155" s="102"/>
      <c r="L155" s="102"/>
      <c r="M155" s="102"/>
      <c r="N155" s="102"/>
      <c r="O155" s="102"/>
      <c r="P155" s="102"/>
      <c r="Q155" s="102">
        <v>1</v>
      </c>
      <c r="R155" s="120"/>
      <c r="S155" s="120"/>
      <c r="T155" s="120"/>
      <c r="U155" s="120"/>
      <c r="V155" s="120"/>
      <c r="W155" s="120"/>
      <c r="X155" s="120"/>
      <c r="Y155" s="120"/>
      <c r="Z155" s="120"/>
      <c r="AA155" s="120"/>
      <c r="AB155" s="120"/>
    </row>
    <row r="156" spans="1:28" ht="15.75" customHeight="1" x14ac:dyDescent="0.55000000000000004">
      <c r="A156" s="123">
        <v>75</v>
      </c>
      <c r="B156" s="123" t="s">
        <v>1371</v>
      </c>
      <c r="C156" s="123" t="s">
        <v>1372</v>
      </c>
      <c r="D156" s="124">
        <v>36418</v>
      </c>
      <c r="E156" s="102" t="s">
        <v>2191</v>
      </c>
      <c r="F156" s="102">
        <v>0</v>
      </c>
      <c r="G156" s="102">
        <v>1</v>
      </c>
      <c r="H156" s="102">
        <v>0</v>
      </c>
      <c r="I156" s="102">
        <v>0</v>
      </c>
      <c r="J156" s="102">
        <v>0</v>
      </c>
      <c r="K156" s="102">
        <v>1</v>
      </c>
      <c r="L156" s="102">
        <v>1</v>
      </c>
      <c r="M156" s="102">
        <v>0</v>
      </c>
      <c r="N156" s="102">
        <v>0</v>
      </c>
      <c r="O156" s="102">
        <v>0</v>
      </c>
      <c r="P156" s="102">
        <v>0</v>
      </c>
      <c r="Q156" s="102">
        <v>0</v>
      </c>
      <c r="R156" s="120"/>
      <c r="S156" s="120"/>
      <c r="T156" s="120"/>
      <c r="U156" s="120"/>
      <c r="V156" s="120"/>
      <c r="W156" s="120"/>
      <c r="X156" s="120"/>
      <c r="Y156" s="120"/>
      <c r="Z156" s="120"/>
      <c r="AA156" s="120"/>
      <c r="AB156" s="120"/>
    </row>
    <row r="157" spans="1:28" ht="15.75" customHeight="1" x14ac:dyDescent="0.55000000000000004">
      <c r="A157" s="123">
        <v>75</v>
      </c>
      <c r="B157" s="123" t="s">
        <v>1371</v>
      </c>
      <c r="C157" s="123" t="s">
        <v>1372</v>
      </c>
      <c r="D157" s="124">
        <v>36418</v>
      </c>
      <c r="E157" s="102" t="s">
        <v>2192</v>
      </c>
      <c r="F157" s="102">
        <v>0</v>
      </c>
      <c r="G157" s="102">
        <v>1</v>
      </c>
      <c r="H157" s="102">
        <v>1</v>
      </c>
      <c r="I157" s="102">
        <v>0</v>
      </c>
      <c r="J157" s="102">
        <v>0</v>
      </c>
      <c r="K157" s="102">
        <v>1</v>
      </c>
      <c r="L157" s="102">
        <v>1</v>
      </c>
      <c r="M157" s="102">
        <v>0</v>
      </c>
      <c r="N157" s="102">
        <v>0</v>
      </c>
      <c r="O157" s="102">
        <v>0</v>
      </c>
      <c r="P157" s="102">
        <v>0</v>
      </c>
      <c r="Q157" s="102">
        <v>0</v>
      </c>
      <c r="R157" s="120"/>
      <c r="S157" s="120"/>
      <c r="T157" s="120"/>
      <c r="U157" s="120"/>
      <c r="V157" s="120"/>
      <c r="W157" s="120"/>
      <c r="X157" s="120"/>
      <c r="Y157" s="120"/>
      <c r="Z157" s="120"/>
      <c r="AA157" s="120"/>
      <c r="AB157" s="120"/>
    </row>
    <row r="158" spans="1:28" ht="15.75" customHeight="1" x14ac:dyDescent="0.55000000000000004">
      <c r="A158" s="125">
        <v>76</v>
      </c>
      <c r="B158" s="125" t="s">
        <v>1378</v>
      </c>
      <c r="C158" s="125" t="s">
        <v>1379</v>
      </c>
      <c r="D158" s="126">
        <v>36466</v>
      </c>
      <c r="E158" s="102" t="s">
        <v>2189</v>
      </c>
      <c r="F158" s="102">
        <v>0</v>
      </c>
      <c r="G158" s="102">
        <v>1</v>
      </c>
      <c r="H158" s="102">
        <v>1</v>
      </c>
      <c r="I158" s="102">
        <v>0</v>
      </c>
      <c r="J158" s="102">
        <v>0</v>
      </c>
      <c r="K158" s="102">
        <v>1</v>
      </c>
      <c r="L158" s="102">
        <v>1</v>
      </c>
      <c r="M158" s="102">
        <v>0</v>
      </c>
      <c r="N158" s="102">
        <v>0</v>
      </c>
      <c r="O158" s="102">
        <v>0</v>
      </c>
      <c r="P158" s="102">
        <v>0</v>
      </c>
      <c r="Q158" s="102">
        <v>0</v>
      </c>
      <c r="R158" s="120"/>
      <c r="S158" s="120"/>
      <c r="T158" s="120"/>
      <c r="U158" s="120"/>
      <c r="V158" s="120"/>
      <c r="W158" s="120"/>
      <c r="X158" s="120"/>
      <c r="Y158" s="120"/>
      <c r="Z158" s="120"/>
      <c r="AA158" s="120"/>
      <c r="AB158" s="120"/>
    </row>
    <row r="159" spans="1:28" ht="15.75" customHeight="1" x14ac:dyDescent="0.55000000000000004">
      <c r="A159" s="127">
        <v>77</v>
      </c>
      <c r="B159" s="127" t="s">
        <v>1386</v>
      </c>
      <c r="C159" s="127" t="s">
        <v>1387</v>
      </c>
      <c r="D159" s="128">
        <v>36524</v>
      </c>
      <c r="E159" s="102" t="s">
        <v>2193</v>
      </c>
      <c r="F159" s="102">
        <v>0</v>
      </c>
      <c r="G159" s="102">
        <v>1</v>
      </c>
      <c r="H159" s="102">
        <v>1</v>
      </c>
      <c r="I159" s="102">
        <v>0</v>
      </c>
      <c r="J159" s="102">
        <v>0</v>
      </c>
      <c r="K159" s="102">
        <v>1</v>
      </c>
      <c r="L159" s="102">
        <v>0</v>
      </c>
      <c r="M159" s="102">
        <v>1</v>
      </c>
      <c r="N159" s="102">
        <v>0</v>
      </c>
      <c r="O159" s="102">
        <v>0</v>
      </c>
      <c r="P159" s="102">
        <v>0</v>
      </c>
      <c r="Q159" s="102">
        <v>0</v>
      </c>
      <c r="R159" s="120"/>
      <c r="S159" s="120"/>
      <c r="T159" s="120"/>
      <c r="U159" s="120"/>
      <c r="V159" s="120"/>
      <c r="W159" s="120"/>
      <c r="X159" s="120"/>
      <c r="Y159" s="120"/>
      <c r="Z159" s="120"/>
      <c r="AA159" s="120"/>
      <c r="AB159" s="120"/>
    </row>
    <row r="160" spans="1:28" ht="15.75" customHeight="1" x14ac:dyDescent="0.55000000000000004">
      <c r="A160" s="127">
        <v>77</v>
      </c>
      <c r="B160" s="127" t="s">
        <v>1386</v>
      </c>
      <c r="C160" s="127" t="s">
        <v>1387</v>
      </c>
      <c r="D160" s="128">
        <v>36524</v>
      </c>
      <c r="E160" s="102" t="s">
        <v>2169</v>
      </c>
      <c r="F160" s="102">
        <v>0</v>
      </c>
      <c r="G160" s="102">
        <v>1</v>
      </c>
      <c r="H160" s="102">
        <v>1</v>
      </c>
      <c r="I160" s="102">
        <v>0</v>
      </c>
      <c r="J160" s="102" t="s">
        <v>853</v>
      </c>
      <c r="K160" s="102"/>
      <c r="L160" s="102">
        <v>3</v>
      </c>
      <c r="M160" s="102">
        <v>0</v>
      </c>
      <c r="N160" s="102">
        <v>0</v>
      </c>
      <c r="O160" s="102">
        <v>0</v>
      </c>
      <c r="P160" s="102">
        <v>0</v>
      </c>
      <c r="Q160" s="102">
        <v>0</v>
      </c>
      <c r="R160" s="120"/>
      <c r="S160" s="120"/>
      <c r="T160" s="120"/>
      <c r="U160" s="120"/>
      <c r="V160" s="120"/>
      <c r="W160" s="120"/>
      <c r="X160" s="120"/>
      <c r="Y160" s="120"/>
      <c r="Z160" s="120"/>
      <c r="AA160" s="120"/>
      <c r="AB160" s="120"/>
    </row>
    <row r="161" spans="1:28" ht="15.75" customHeight="1" x14ac:dyDescent="0.55000000000000004">
      <c r="A161" s="118">
        <v>78</v>
      </c>
      <c r="B161" s="118" t="s">
        <v>1139</v>
      </c>
      <c r="C161" s="118" t="s">
        <v>859</v>
      </c>
      <c r="D161" s="119">
        <v>36605</v>
      </c>
      <c r="E161" s="102" t="s">
        <v>2159</v>
      </c>
      <c r="F161" s="102">
        <v>0</v>
      </c>
      <c r="G161" s="102">
        <v>1</v>
      </c>
      <c r="H161" s="102">
        <v>1</v>
      </c>
      <c r="I161" s="102">
        <v>0</v>
      </c>
      <c r="J161" s="102">
        <v>0</v>
      </c>
      <c r="K161" s="102">
        <v>0</v>
      </c>
      <c r="L161" s="102">
        <v>0</v>
      </c>
      <c r="M161" s="102">
        <v>0</v>
      </c>
      <c r="N161" s="102">
        <v>0</v>
      </c>
      <c r="O161" s="102">
        <v>0</v>
      </c>
      <c r="P161" s="102">
        <v>1</v>
      </c>
      <c r="Q161" s="102">
        <v>0</v>
      </c>
      <c r="R161" s="120"/>
      <c r="S161" s="120"/>
      <c r="T161" s="120"/>
      <c r="U161" s="120"/>
      <c r="V161" s="120"/>
      <c r="W161" s="120"/>
      <c r="X161" s="120"/>
      <c r="Y161" s="120"/>
      <c r="Z161" s="120"/>
      <c r="AA161" s="120"/>
      <c r="AB161" s="120"/>
    </row>
    <row r="162" spans="1:28" ht="15.75" customHeight="1" x14ac:dyDescent="0.55000000000000004">
      <c r="A162" s="121">
        <v>79</v>
      </c>
      <c r="B162" s="121" t="s">
        <v>1394</v>
      </c>
      <c r="C162" s="121" t="s">
        <v>1095</v>
      </c>
      <c r="D162" s="122">
        <v>36644</v>
      </c>
      <c r="E162" s="102" t="s">
        <v>2111</v>
      </c>
      <c r="F162" s="102">
        <v>0</v>
      </c>
      <c r="G162" s="102">
        <v>1</v>
      </c>
      <c r="H162" s="102">
        <v>1</v>
      </c>
      <c r="I162" s="102">
        <v>0</v>
      </c>
      <c r="J162" s="102" t="s">
        <v>853</v>
      </c>
      <c r="K162" s="102">
        <v>1</v>
      </c>
      <c r="L162" s="102">
        <v>1</v>
      </c>
      <c r="M162" s="102">
        <v>0</v>
      </c>
      <c r="N162" s="102">
        <v>0</v>
      </c>
      <c r="O162" s="102">
        <v>0</v>
      </c>
      <c r="P162" s="102">
        <v>0</v>
      </c>
      <c r="Q162" s="102">
        <v>0</v>
      </c>
      <c r="R162" s="120"/>
      <c r="S162" s="120"/>
      <c r="T162" s="120"/>
      <c r="U162" s="120"/>
      <c r="V162" s="120"/>
      <c r="W162" s="120"/>
      <c r="X162" s="120"/>
      <c r="Y162" s="120"/>
      <c r="Z162" s="120"/>
      <c r="AA162" s="120"/>
      <c r="AB162" s="120"/>
    </row>
    <row r="163" spans="1:28" ht="15.75" customHeight="1" x14ac:dyDescent="0.55000000000000004">
      <c r="A163" s="123">
        <v>80</v>
      </c>
      <c r="B163" s="123" t="s">
        <v>1401</v>
      </c>
      <c r="C163" s="123" t="s">
        <v>1046</v>
      </c>
      <c r="D163" s="124">
        <v>36886</v>
      </c>
      <c r="E163" s="102" t="s">
        <v>2194</v>
      </c>
      <c r="F163" s="102">
        <v>1</v>
      </c>
      <c r="G163" s="102">
        <v>2</v>
      </c>
      <c r="H163" s="102">
        <v>1</v>
      </c>
      <c r="I163" s="102">
        <v>0</v>
      </c>
      <c r="J163" s="102" t="s">
        <v>853</v>
      </c>
      <c r="K163" s="102">
        <v>1</v>
      </c>
      <c r="L163" s="102">
        <v>0</v>
      </c>
      <c r="M163" s="102">
        <v>5</v>
      </c>
      <c r="N163" s="102">
        <v>0</v>
      </c>
      <c r="O163" s="102">
        <v>0</v>
      </c>
      <c r="P163" s="102">
        <v>0</v>
      </c>
      <c r="Q163" s="102">
        <v>0</v>
      </c>
      <c r="R163" s="120"/>
      <c r="S163" s="120"/>
      <c r="T163" s="120"/>
      <c r="U163" s="120"/>
      <c r="V163" s="120"/>
      <c r="W163" s="120"/>
      <c r="X163" s="120"/>
      <c r="Y163" s="120"/>
      <c r="Z163" s="120"/>
      <c r="AA163" s="120"/>
      <c r="AB163" s="120"/>
    </row>
    <row r="164" spans="1:28" ht="15.75" customHeight="1" x14ac:dyDescent="0.55000000000000004">
      <c r="A164" s="123">
        <v>80</v>
      </c>
      <c r="B164" s="123" t="s">
        <v>1401</v>
      </c>
      <c r="C164" s="123" t="s">
        <v>1046</v>
      </c>
      <c r="D164" s="124">
        <v>36886</v>
      </c>
      <c r="E164" s="102" t="s">
        <v>2195</v>
      </c>
      <c r="F164" s="102">
        <v>3</v>
      </c>
      <c r="G164" s="102"/>
      <c r="H164" s="102">
        <v>1</v>
      </c>
      <c r="I164" s="102">
        <v>0</v>
      </c>
      <c r="J164" s="102">
        <v>0</v>
      </c>
      <c r="K164" s="102">
        <v>1</v>
      </c>
      <c r="L164" s="102">
        <v>0</v>
      </c>
      <c r="M164" s="102">
        <v>5</v>
      </c>
      <c r="N164" s="102">
        <v>0</v>
      </c>
      <c r="O164" s="102">
        <v>0</v>
      </c>
      <c r="P164" s="102">
        <v>0</v>
      </c>
      <c r="Q164" s="102">
        <v>0</v>
      </c>
      <c r="R164" s="120"/>
      <c r="S164" s="120"/>
      <c r="T164" s="120"/>
      <c r="U164" s="120"/>
      <c r="V164" s="120"/>
      <c r="W164" s="120"/>
      <c r="X164" s="120"/>
      <c r="Y164" s="120"/>
      <c r="Z164" s="120"/>
      <c r="AA164" s="120"/>
      <c r="AB164" s="120"/>
    </row>
    <row r="165" spans="1:28" ht="15.75" customHeight="1" x14ac:dyDescent="0.55000000000000004">
      <c r="A165" s="123">
        <v>80</v>
      </c>
      <c r="B165" s="123" t="s">
        <v>1401</v>
      </c>
      <c r="C165" s="123" t="s">
        <v>1046</v>
      </c>
      <c r="D165" s="124">
        <v>36886</v>
      </c>
      <c r="E165" s="102" t="s">
        <v>2196</v>
      </c>
      <c r="F165" s="102">
        <v>0</v>
      </c>
      <c r="G165" s="102">
        <v>0</v>
      </c>
      <c r="H165" s="102">
        <v>0</v>
      </c>
      <c r="I165" s="102">
        <v>0</v>
      </c>
      <c r="J165" s="102">
        <v>0</v>
      </c>
      <c r="K165" s="102">
        <v>1</v>
      </c>
      <c r="L165" s="102">
        <v>0</v>
      </c>
      <c r="M165" s="102">
        <v>5</v>
      </c>
      <c r="N165" s="102">
        <v>0</v>
      </c>
      <c r="O165" s="102">
        <v>0</v>
      </c>
      <c r="P165" s="102">
        <v>0</v>
      </c>
      <c r="Q165" s="102">
        <v>0</v>
      </c>
      <c r="R165" s="120"/>
      <c r="S165" s="120"/>
      <c r="T165" s="120"/>
      <c r="U165" s="120"/>
      <c r="V165" s="120"/>
      <c r="W165" s="120"/>
      <c r="X165" s="120"/>
      <c r="Y165" s="120"/>
      <c r="Z165" s="120"/>
      <c r="AA165" s="120"/>
      <c r="AB165" s="120"/>
    </row>
    <row r="166" spans="1:28" ht="15.75" customHeight="1" x14ac:dyDescent="0.55000000000000004">
      <c r="A166" s="123">
        <v>80</v>
      </c>
      <c r="B166" s="123" t="s">
        <v>1401</v>
      </c>
      <c r="C166" s="123" t="s">
        <v>1046</v>
      </c>
      <c r="D166" s="124">
        <v>36886</v>
      </c>
      <c r="E166" s="102" t="s">
        <v>2197</v>
      </c>
      <c r="F166" s="102">
        <v>2</v>
      </c>
      <c r="G166" s="102">
        <v>2</v>
      </c>
      <c r="H166" s="102">
        <v>0</v>
      </c>
      <c r="I166" s="102">
        <v>1</v>
      </c>
      <c r="J166" s="102">
        <v>0</v>
      </c>
      <c r="K166" s="102">
        <v>1</v>
      </c>
      <c r="L166" s="102">
        <v>0</v>
      </c>
      <c r="M166" s="102">
        <v>5</v>
      </c>
      <c r="N166" s="102">
        <v>0</v>
      </c>
      <c r="O166" s="102">
        <v>0</v>
      </c>
      <c r="P166" s="102">
        <v>0</v>
      </c>
      <c r="Q166" s="102">
        <v>0</v>
      </c>
      <c r="R166" s="120"/>
      <c r="S166" s="120"/>
      <c r="T166" s="120"/>
      <c r="U166" s="120"/>
      <c r="V166" s="120"/>
      <c r="W166" s="120"/>
      <c r="X166" s="120"/>
      <c r="Y166" s="120"/>
      <c r="Z166" s="120"/>
      <c r="AA166" s="120"/>
      <c r="AB166" s="120"/>
    </row>
    <row r="167" spans="1:28" ht="15.75" customHeight="1" x14ac:dyDescent="0.55000000000000004">
      <c r="A167" s="125">
        <v>81</v>
      </c>
      <c r="B167" s="125" t="s">
        <v>1410</v>
      </c>
      <c r="C167" s="125" t="s">
        <v>1411</v>
      </c>
      <c r="D167" s="126">
        <v>36900</v>
      </c>
      <c r="E167" s="102" t="s">
        <v>2198</v>
      </c>
      <c r="F167" s="102">
        <v>0</v>
      </c>
      <c r="G167" s="102"/>
      <c r="H167" s="102">
        <v>1</v>
      </c>
      <c r="I167" s="102">
        <v>0</v>
      </c>
      <c r="J167" s="102" t="s">
        <v>853</v>
      </c>
      <c r="K167" s="102"/>
      <c r="L167" s="102"/>
      <c r="M167" s="102"/>
      <c r="N167" s="102"/>
      <c r="O167" s="102"/>
      <c r="P167" s="102"/>
      <c r="Q167" s="102">
        <v>1</v>
      </c>
      <c r="R167" s="120"/>
      <c r="S167" s="120"/>
      <c r="T167" s="120"/>
      <c r="U167" s="120"/>
      <c r="V167" s="120"/>
      <c r="W167" s="120"/>
      <c r="X167" s="120"/>
      <c r="Y167" s="120"/>
      <c r="Z167" s="120"/>
      <c r="AA167" s="120"/>
      <c r="AB167" s="120"/>
    </row>
    <row r="168" spans="1:28" ht="15.75" customHeight="1" x14ac:dyDescent="0.55000000000000004">
      <c r="A168" s="125">
        <v>81</v>
      </c>
      <c r="B168" s="125" t="s">
        <v>1410</v>
      </c>
      <c r="C168" s="125" t="s">
        <v>1411</v>
      </c>
      <c r="D168" s="126">
        <v>36900</v>
      </c>
      <c r="E168" s="102" t="s">
        <v>2117</v>
      </c>
      <c r="F168" s="102">
        <v>0</v>
      </c>
      <c r="G168" s="102"/>
      <c r="H168" s="102">
        <v>1</v>
      </c>
      <c r="I168" s="102">
        <v>0</v>
      </c>
      <c r="J168" s="102">
        <v>0</v>
      </c>
      <c r="K168" s="102"/>
      <c r="L168" s="102"/>
      <c r="M168" s="102"/>
      <c r="N168" s="102"/>
      <c r="O168" s="102"/>
      <c r="P168" s="102"/>
      <c r="Q168" s="102">
        <v>1</v>
      </c>
      <c r="R168" s="120"/>
      <c r="S168" s="120"/>
      <c r="T168" s="120"/>
      <c r="U168" s="120"/>
      <c r="V168" s="120"/>
      <c r="W168" s="120"/>
      <c r="X168" s="120"/>
      <c r="Y168" s="120"/>
      <c r="Z168" s="120"/>
      <c r="AA168" s="120"/>
      <c r="AB168" s="120"/>
    </row>
    <row r="169" spans="1:28" ht="15.75" customHeight="1" x14ac:dyDescent="0.55000000000000004">
      <c r="A169" s="127">
        <v>82</v>
      </c>
      <c r="B169" s="127" t="s">
        <v>1414</v>
      </c>
      <c r="C169" s="127" t="s">
        <v>999</v>
      </c>
      <c r="D169" s="128">
        <v>36927</v>
      </c>
      <c r="E169" s="102" t="s">
        <v>2199</v>
      </c>
      <c r="F169" s="102">
        <v>2</v>
      </c>
      <c r="G169" s="102">
        <v>2</v>
      </c>
      <c r="H169" s="102">
        <v>0</v>
      </c>
      <c r="I169" s="102">
        <v>1</v>
      </c>
      <c r="J169" s="102">
        <v>0</v>
      </c>
      <c r="K169" s="102">
        <v>1</v>
      </c>
      <c r="L169" s="102">
        <v>1</v>
      </c>
      <c r="M169" s="102">
        <v>0</v>
      </c>
      <c r="N169" s="102">
        <v>0</v>
      </c>
      <c r="O169" s="102">
        <v>0</v>
      </c>
      <c r="P169" s="102">
        <v>0</v>
      </c>
      <c r="Q169" s="102">
        <v>0</v>
      </c>
      <c r="R169" s="120"/>
      <c r="S169" s="120"/>
      <c r="T169" s="120"/>
      <c r="U169" s="120"/>
      <c r="V169" s="120"/>
      <c r="W169" s="120"/>
      <c r="X169" s="120"/>
      <c r="Y169" s="120"/>
      <c r="Z169" s="120"/>
      <c r="AA169" s="120"/>
      <c r="AB169" s="120"/>
    </row>
    <row r="170" spans="1:28" ht="15.75" customHeight="1" x14ac:dyDescent="0.55000000000000004">
      <c r="A170" s="127">
        <v>82</v>
      </c>
      <c r="B170" s="127" t="s">
        <v>1414</v>
      </c>
      <c r="C170" s="127" t="s">
        <v>999</v>
      </c>
      <c r="D170" s="128">
        <v>36927</v>
      </c>
      <c r="E170" s="102" t="s">
        <v>2200</v>
      </c>
      <c r="F170" s="102">
        <v>3</v>
      </c>
      <c r="G170" s="102">
        <v>2</v>
      </c>
      <c r="H170" s="102">
        <v>1</v>
      </c>
      <c r="I170" s="102">
        <v>0</v>
      </c>
      <c r="J170" s="102">
        <v>0</v>
      </c>
      <c r="K170" s="102"/>
      <c r="L170" s="102"/>
      <c r="M170" s="102"/>
      <c r="N170" s="102"/>
      <c r="O170" s="102"/>
      <c r="P170" s="102"/>
      <c r="Q170" s="102">
        <v>1</v>
      </c>
      <c r="R170" s="120"/>
      <c r="S170" s="120"/>
      <c r="T170" s="120"/>
      <c r="U170" s="120"/>
      <c r="V170" s="120"/>
      <c r="W170" s="120"/>
      <c r="X170" s="120"/>
      <c r="Y170" s="120"/>
      <c r="Z170" s="120"/>
      <c r="AA170" s="120"/>
      <c r="AB170" s="120"/>
    </row>
    <row r="171" spans="1:28" ht="15.75" customHeight="1" x14ac:dyDescent="0.55000000000000004">
      <c r="A171" s="127">
        <v>82</v>
      </c>
      <c r="B171" s="127" t="s">
        <v>1414</v>
      </c>
      <c r="C171" s="127" t="s">
        <v>999</v>
      </c>
      <c r="D171" s="128">
        <v>36927</v>
      </c>
      <c r="E171" s="102" t="s">
        <v>2201</v>
      </c>
      <c r="F171" s="102">
        <v>0</v>
      </c>
      <c r="G171" s="102">
        <v>1</v>
      </c>
      <c r="H171" s="102">
        <v>1</v>
      </c>
      <c r="I171" s="102">
        <v>0</v>
      </c>
      <c r="J171" s="102" t="s">
        <v>853</v>
      </c>
      <c r="K171" s="102"/>
      <c r="L171" s="102"/>
      <c r="M171" s="102"/>
      <c r="N171" s="102"/>
      <c r="O171" s="102"/>
      <c r="P171" s="102"/>
      <c r="Q171" s="102">
        <v>1</v>
      </c>
      <c r="R171" s="120"/>
      <c r="S171" s="120"/>
      <c r="T171" s="120"/>
      <c r="U171" s="120"/>
      <c r="V171" s="120"/>
      <c r="W171" s="120"/>
      <c r="X171" s="120"/>
      <c r="Y171" s="120"/>
      <c r="Z171" s="120"/>
      <c r="AA171" s="120"/>
      <c r="AB171" s="120"/>
    </row>
    <row r="172" spans="1:28" ht="15.75" customHeight="1" x14ac:dyDescent="0.55000000000000004">
      <c r="A172" s="127">
        <v>82</v>
      </c>
      <c r="B172" s="127" t="s">
        <v>1414</v>
      </c>
      <c r="C172" s="127" t="s">
        <v>999</v>
      </c>
      <c r="D172" s="128">
        <v>36927</v>
      </c>
      <c r="E172" s="102" t="s">
        <v>2202</v>
      </c>
      <c r="F172" s="102">
        <v>1</v>
      </c>
      <c r="G172" s="102">
        <v>2</v>
      </c>
      <c r="H172" s="102">
        <v>0</v>
      </c>
      <c r="I172" s="102">
        <v>0</v>
      </c>
      <c r="J172" s="102" t="s">
        <v>853</v>
      </c>
      <c r="K172" s="102">
        <v>1</v>
      </c>
      <c r="L172" s="102">
        <v>1</v>
      </c>
      <c r="M172" s="102">
        <v>0</v>
      </c>
      <c r="N172" s="102">
        <v>0</v>
      </c>
      <c r="O172" s="102">
        <v>0</v>
      </c>
      <c r="P172" s="102">
        <v>0</v>
      </c>
      <c r="Q172" s="102">
        <v>0</v>
      </c>
      <c r="R172" s="120"/>
      <c r="S172" s="120"/>
      <c r="T172" s="120"/>
      <c r="U172" s="120"/>
      <c r="V172" s="120"/>
      <c r="W172" s="120"/>
      <c r="X172" s="120"/>
      <c r="Y172" s="120"/>
      <c r="Z172" s="120"/>
      <c r="AA172" s="120"/>
      <c r="AB172" s="120"/>
    </row>
    <row r="173" spans="1:28" ht="15.75" customHeight="1" x14ac:dyDescent="0.55000000000000004">
      <c r="A173" s="118">
        <v>83</v>
      </c>
      <c r="B173" s="118" t="s">
        <v>1418</v>
      </c>
      <c r="C173" s="118" t="s">
        <v>1419</v>
      </c>
      <c r="D173" s="119">
        <v>37075</v>
      </c>
      <c r="E173" s="102" t="s">
        <v>2169</v>
      </c>
      <c r="F173" s="102">
        <v>0</v>
      </c>
      <c r="G173" s="102">
        <v>1</v>
      </c>
      <c r="H173" s="102">
        <v>1</v>
      </c>
      <c r="I173" s="102">
        <v>0</v>
      </c>
      <c r="J173" s="102" t="s">
        <v>853</v>
      </c>
      <c r="K173" s="102"/>
      <c r="L173" s="102"/>
      <c r="M173" s="102"/>
      <c r="N173" s="102"/>
      <c r="O173" s="102"/>
      <c r="P173" s="102"/>
      <c r="Q173" s="102">
        <v>1</v>
      </c>
      <c r="R173" s="120"/>
      <c r="S173" s="120"/>
      <c r="T173" s="120"/>
      <c r="U173" s="120"/>
      <c r="V173" s="120"/>
      <c r="W173" s="120"/>
      <c r="X173" s="120"/>
      <c r="Y173" s="120"/>
      <c r="Z173" s="120"/>
      <c r="AA173" s="120"/>
      <c r="AB173" s="120"/>
    </row>
    <row r="174" spans="1:28" ht="15.75" customHeight="1" x14ac:dyDescent="0.55000000000000004">
      <c r="A174" s="121">
        <v>84</v>
      </c>
      <c r="B174" s="121" t="s">
        <v>1226</v>
      </c>
      <c r="C174" s="121" t="s">
        <v>890</v>
      </c>
      <c r="D174" s="122">
        <v>37142</v>
      </c>
      <c r="E174" s="102" t="s">
        <v>2203</v>
      </c>
      <c r="F174" s="102">
        <v>3</v>
      </c>
      <c r="G174" s="102"/>
      <c r="H174" s="102">
        <v>1</v>
      </c>
      <c r="I174" s="102">
        <v>1</v>
      </c>
      <c r="J174" s="102"/>
      <c r="K174" s="102">
        <v>0</v>
      </c>
      <c r="L174" s="102">
        <v>0</v>
      </c>
      <c r="M174" s="102">
        <v>0</v>
      </c>
      <c r="N174" s="102">
        <v>0</v>
      </c>
      <c r="O174" s="102">
        <v>0</v>
      </c>
      <c r="P174" s="102">
        <v>1</v>
      </c>
      <c r="Q174" s="102">
        <v>0</v>
      </c>
      <c r="R174" s="120"/>
      <c r="S174" s="120"/>
      <c r="T174" s="120"/>
      <c r="U174" s="120"/>
      <c r="V174" s="120"/>
      <c r="W174" s="120"/>
      <c r="X174" s="120"/>
      <c r="Y174" s="120"/>
      <c r="Z174" s="120"/>
      <c r="AA174" s="120"/>
      <c r="AB174" s="120"/>
    </row>
    <row r="175" spans="1:28" ht="15.75" customHeight="1" x14ac:dyDescent="0.55000000000000004">
      <c r="A175" s="121">
        <v>84</v>
      </c>
      <c r="B175" s="121" t="s">
        <v>1226</v>
      </c>
      <c r="C175" s="121" t="s">
        <v>890</v>
      </c>
      <c r="D175" s="122">
        <v>37142</v>
      </c>
      <c r="E175" s="102" t="s">
        <v>2159</v>
      </c>
      <c r="F175" s="102">
        <v>0</v>
      </c>
      <c r="G175" s="102">
        <v>1</v>
      </c>
      <c r="H175" s="102">
        <v>1</v>
      </c>
      <c r="I175" s="102">
        <v>0</v>
      </c>
      <c r="J175" s="102">
        <v>0</v>
      </c>
      <c r="K175" s="102">
        <v>0</v>
      </c>
      <c r="L175" s="102">
        <v>0</v>
      </c>
      <c r="M175" s="102">
        <v>0</v>
      </c>
      <c r="N175" s="102">
        <v>0</v>
      </c>
      <c r="O175" s="102">
        <v>0</v>
      </c>
      <c r="P175" s="102">
        <v>1</v>
      </c>
      <c r="Q175" s="102">
        <v>0</v>
      </c>
      <c r="R175" s="120"/>
      <c r="S175" s="120"/>
      <c r="T175" s="120"/>
      <c r="U175" s="120"/>
      <c r="V175" s="120"/>
      <c r="W175" s="120"/>
      <c r="X175" s="120"/>
      <c r="Y175" s="120"/>
      <c r="Z175" s="120"/>
      <c r="AA175" s="120"/>
      <c r="AB175" s="120"/>
    </row>
    <row r="176" spans="1:28" ht="15.75" customHeight="1" x14ac:dyDescent="0.55000000000000004">
      <c r="A176" s="121">
        <v>84</v>
      </c>
      <c r="B176" s="121" t="s">
        <v>1226</v>
      </c>
      <c r="C176" s="121" t="s">
        <v>890</v>
      </c>
      <c r="D176" s="122">
        <v>37142</v>
      </c>
      <c r="E176" s="102" t="s">
        <v>2159</v>
      </c>
      <c r="F176" s="102">
        <v>0</v>
      </c>
      <c r="G176" s="102">
        <v>1</v>
      </c>
      <c r="H176" s="102"/>
      <c r="I176" s="102">
        <v>0</v>
      </c>
      <c r="J176" s="102">
        <v>0</v>
      </c>
      <c r="K176" s="102">
        <v>0</v>
      </c>
      <c r="L176" s="102">
        <v>0</v>
      </c>
      <c r="M176" s="102">
        <v>0</v>
      </c>
      <c r="N176" s="102">
        <v>0</v>
      </c>
      <c r="O176" s="102">
        <v>0</v>
      </c>
      <c r="P176" s="102">
        <v>1</v>
      </c>
      <c r="Q176" s="102">
        <v>0</v>
      </c>
      <c r="R176" s="120"/>
      <c r="S176" s="120"/>
      <c r="T176" s="120"/>
      <c r="U176" s="120"/>
      <c r="V176" s="120"/>
      <c r="W176" s="120"/>
      <c r="X176" s="120"/>
      <c r="Y176" s="120"/>
      <c r="Z176" s="120"/>
      <c r="AA176" s="120"/>
      <c r="AB176" s="120"/>
    </row>
    <row r="177" spans="1:28" ht="15.75" customHeight="1" x14ac:dyDescent="0.55000000000000004">
      <c r="A177" s="121">
        <v>84</v>
      </c>
      <c r="B177" s="121" t="s">
        <v>1226</v>
      </c>
      <c r="C177" s="121" t="s">
        <v>890</v>
      </c>
      <c r="D177" s="122">
        <v>37142</v>
      </c>
      <c r="E177" s="102" t="s">
        <v>2163</v>
      </c>
      <c r="F177" s="102">
        <v>1</v>
      </c>
      <c r="G177" s="102"/>
      <c r="H177" s="102">
        <v>1</v>
      </c>
      <c r="I177" s="102">
        <v>0</v>
      </c>
      <c r="J177" s="102" t="s">
        <v>853</v>
      </c>
      <c r="K177" s="102">
        <v>0</v>
      </c>
      <c r="L177" s="102">
        <v>0</v>
      </c>
      <c r="M177" s="102">
        <v>0</v>
      </c>
      <c r="N177" s="102">
        <v>0</v>
      </c>
      <c r="O177" s="102">
        <v>0</v>
      </c>
      <c r="P177" s="102">
        <v>1</v>
      </c>
      <c r="Q177" s="102">
        <v>0</v>
      </c>
      <c r="R177" s="120"/>
      <c r="S177" s="120"/>
      <c r="T177" s="120"/>
      <c r="U177" s="120"/>
      <c r="V177" s="120"/>
      <c r="W177" s="120"/>
      <c r="X177" s="120"/>
      <c r="Y177" s="120"/>
      <c r="Z177" s="120"/>
      <c r="AA177" s="120"/>
      <c r="AB177" s="120"/>
    </row>
    <row r="178" spans="1:28" ht="15.75" customHeight="1" x14ac:dyDescent="0.55000000000000004">
      <c r="A178" s="121">
        <v>84</v>
      </c>
      <c r="B178" s="121" t="s">
        <v>1226</v>
      </c>
      <c r="C178" s="121" t="s">
        <v>890</v>
      </c>
      <c r="D178" s="122">
        <v>37142</v>
      </c>
      <c r="E178" s="102" t="s">
        <v>2204</v>
      </c>
      <c r="F178" s="102">
        <v>3</v>
      </c>
      <c r="G178" s="102"/>
      <c r="H178" s="102"/>
      <c r="I178" s="102">
        <v>1</v>
      </c>
      <c r="J178" s="102"/>
      <c r="K178" s="102">
        <v>0</v>
      </c>
      <c r="L178" s="102">
        <v>0</v>
      </c>
      <c r="M178" s="102">
        <v>0</v>
      </c>
      <c r="N178" s="102">
        <v>0</v>
      </c>
      <c r="O178" s="102">
        <v>0</v>
      </c>
      <c r="P178" s="102">
        <v>1</v>
      </c>
      <c r="Q178" s="102">
        <v>0</v>
      </c>
      <c r="R178" s="120"/>
      <c r="S178" s="120"/>
      <c r="T178" s="120"/>
      <c r="U178" s="120"/>
      <c r="V178" s="120"/>
      <c r="W178" s="120"/>
      <c r="X178" s="120"/>
      <c r="Y178" s="120"/>
      <c r="Z178" s="120"/>
      <c r="AA178" s="120"/>
      <c r="AB178" s="120"/>
    </row>
    <row r="179" spans="1:28" ht="15.75" customHeight="1" x14ac:dyDescent="0.55000000000000004">
      <c r="A179" s="123">
        <v>85</v>
      </c>
      <c r="B179" s="123" t="s">
        <v>1430</v>
      </c>
      <c r="C179" s="123" t="s">
        <v>999</v>
      </c>
      <c r="D179" s="124">
        <v>37337</v>
      </c>
      <c r="E179" s="102" t="s">
        <v>2205</v>
      </c>
      <c r="F179" s="102">
        <v>1</v>
      </c>
      <c r="G179" s="102">
        <v>2</v>
      </c>
      <c r="H179" s="102">
        <v>1</v>
      </c>
      <c r="I179" s="102">
        <v>1</v>
      </c>
      <c r="J179" s="102" t="s">
        <v>853</v>
      </c>
      <c r="K179" s="102">
        <v>1</v>
      </c>
      <c r="L179" s="102">
        <v>3</v>
      </c>
      <c r="M179" s="102">
        <v>0</v>
      </c>
      <c r="N179" s="102">
        <v>0</v>
      </c>
      <c r="O179" s="102">
        <v>0</v>
      </c>
      <c r="P179" s="102">
        <v>0</v>
      </c>
      <c r="Q179" s="102">
        <v>0</v>
      </c>
      <c r="R179" s="120"/>
      <c r="S179" s="120"/>
      <c r="T179" s="120"/>
      <c r="U179" s="120"/>
      <c r="V179" s="120"/>
      <c r="W179" s="120"/>
      <c r="X179" s="120"/>
      <c r="Y179" s="120"/>
      <c r="Z179" s="120"/>
      <c r="AA179" s="120"/>
      <c r="AB179" s="120"/>
    </row>
    <row r="180" spans="1:28" ht="15.75" customHeight="1" x14ac:dyDescent="0.55000000000000004">
      <c r="A180" s="123">
        <v>85</v>
      </c>
      <c r="B180" s="123" t="s">
        <v>1430</v>
      </c>
      <c r="C180" s="123" t="s">
        <v>999</v>
      </c>
      <c r="D180" s="124">
        <v>37337</v>
      </c>
      <c r="E180" s="102" t="s">
        <v>2118</v>
      </c>
      <c r="F180" s="102">
        <v>2</v>
      </c>
      <c r="G180" s="102">
        <v>0</v>
      </c>
      <c r="H180" s="102">
        <v>1</v>
      </c>
      <c r="I180" s="102">
        <v>0</v>
      </c>
      <c r="J180" s="102">
        <v>0</v>
      </c>
      <c r="K180" s="102">
        <v>1</v>
      </c>
      <c r="L180" s="102">
        <v>3</v>
      </c>
      <c r="M180" s="102">
        <v>0</v>
      </c>
      <c r="N180" s="102">
        <v>0</v>
      </c>
      <c r="O180" s="102">
        <v>0</v>
      </c>
      <c r="P180" s="102">
        <v>0</v>
      </c>
      <c r="Q180" s="102">
        <v>0</v>
      </c>
      <c r="R180" s="120"/>
      <c r="S180" s="120"/>
      <c r="T180" s="120"/>
      <c r="U180" s="120"/>
      <c r="V180" s="120"/>
      <c r="W180" s="120"/>
      <c r="X180" s="120"/>
      <c r="Y180" s="120"/>
      <c r="Z180" s="120"/>
      <c r="AA180" s="120"/>
      <c r="AB180" s="120"/>
    </row>
    <row r="181" spans="1:28" ht="15.75" customHeight="1" x14ac:dyDescent="0.55000000000000004">
      <c r="A181" s="125">
        <v>86</v>
      </c>
      <c r="B181" s="125" t="s">
        <v>1435</v>
      </c>
      <c r="C181" s="125" t="s">
        <v>1436</v>
      </c>
      <c r="D181" s="126">
        <v>37677</v>
      </c>
      <c r="E181" s="102" t="s">
        <v>2206</v>
      </c>
      <c r="F181" s="102">
        <v>0</v>
      </c>
      <c r="G181" s="102">
        <v>1</v>
      </c>
      <c r="H181" s="102">
        <v>1</v>
      </c>
      <c r="I181" s="102">
        <v>0</v>
      </c>
      <c r="J181" s="102">
        <v>0</v>
      </c>
      <c r="K181" s="102"/>
      <c r="L181" s="102"/>
      <c r="M181" s="102"/>
      <c r="N181" s="102"/>
      <c r="O181" s="102"/>
      <c r="P181" s="102"/>
      <c r="Q181" s="102">
        <v>1</v>
      </c>
      <c r="R181" s="120"/>
      <c r="S181" s="120"/>
      <c r="T181" s="120"/>
      <c r="U181" s="120"/>
      <c r="V181" s="120"/>
      <c r="W181" s="120"/>
      <c r="X181" s="120"/>
      <c r="Y181" s="120"/>
      <c r="Z181" s="120"/>
      <c r="AA181" s="120"/>
      <c r="AB181" s="120"/>
    </row>
    <row r="182" spans="1:28" ht="15.75" customHeight="1" x14ac:dyDescent="0.55000000000000004">
      <c r="A182" s="125">
        <v>87</v>
      </c>
      <c r="B182" s="125" t="s">
        <v>1441</v>
      </c>
      <c r="C182" s="125" t="s">
        <v>1442</v>
      </c>
      <c r="D182" s="126">
        <v>37810</v>
      </c>
      <c r="E182" s="102" t="s">
        <v>2139</v>
      </c>
      <c r="F182" s="102">
        <v>1</v>
      </c>
      <c r="G182" s="102">
        <v>2</v>
      </c>
      <c r="H182" s="102">
        <v>1</v>
      </c>
      <c r="I182" s="102">
        <v>0</v>
      </c>
      <c r="J182" s="102" t="s">
        <v>853</v>
      </c>
      <c r="K182" s="102"/>
      <c r="L182" s="102">
        <v>2</v>
      </c>
      <c r="M182" s="102">
        <v>0</v>
      </c>
      <c r="N182" s="102">
        <v>0</v>
      </c>
      <c r="O182" s="102">
        <v>0</v>
      </c>
      <c r="P182" s="102">
        <v>0</v>
      </c>
      <c r="Q182" s="102">
        <v>0</v>
      </c>
      <c r="R182" s="120"/>
      <c r="S182" s="120"/>
      <c r="T182" s="120"/>
      <c r="U182" s="120"/>
      <c r="V182" s="120"/>
      <c r="W182" s="120"/>
      <c r="X182" s="120"/>
      <c r="Y182" s="120"/>
      <c r="Z182" s="120"/>
      <c r="AA182" s="120"/>
      <c r="AB182" s="120"/>
    </row>
    <row r="183" spans="1:28" ht="15.75" customHeight="1" x14ac:dyDescent="0.55000000000000004">
      <c r="A183" s="125">
        <v>87</v>
      </c>
      <c r="B183" s="125" t="s">
        <v>1441</v>
      </c>
      <c r="C183" s="125" t="s">
        <v>1442</v>
      </c>
      <c r="D183" s="126">
        <v>37810</v>
      </c>
      <c r="E183" s="102" t="s">
        <v>2145</v>
      </c>
      <c r="F183" s="102">
        <v>2</v>
      </c>
      <c r="G183" s="102">
        <v>2</v>
      </c>
      <c r="H183" s="102">
        <v>0</v>
      </c>
      <c r="I183" s="102">
        <v>0</v>
      </c>
      <c r="J183" s="102">
        <v>0</v>
      </c>
      <c r="K183" s="102"/>
      <c r="L183" s="102">
        <v>2</v>
      </c>
      <c r="M183" s="102">
        <v>0</v>
      </c>
      <c r="N183" s="102">
        <v>0</v>
      </c>
      <c r="O183" s="102">
        <v>0</v>
      </c>
      <c r="P183" s="102">
        <v>0</v>
      </c>
      <c r="Q183" s="102">
        <v>0</v>
      </c>
      <c r="R183" s="120"/>
      <c r="S183" s="120"/>
      <c r="T183" s="120"/>
      <c r="U183" s="120"/>
      <c r="V183" s="120"/>
      <c r="W183" s="120"/>
      <c r="X183" s="120"/>
      <c r="Y183" s="120"/>
      <c r="Z183" s="120"/>
      <c r="AA183" s="120"/>
      <c r="AB183" s="120"/>
    </row>
    <row r="184" spans="1:28" ht="15.75" customHeight="1" x14ac:dyDescent="0.55000000000000004">
      <c r="A184" s="125">
        <v>87</v>
      </c>
      <c r="B184" s="125" t="s">
        <v>1441</v>
      </c>
      <c r="C184" s="125" t="s">
        <v>1442</v>
      </c>
      <c r="D184" s="126">
        <v>37810</v>
      </c>
      <c r="E184" s="102" t="s">
        <v>2207</v>
      </c>
      <c r="F184" s="102">
        <v>0</v>
      </c>
      <c r="G184" s="102">
        <v>0</v>
      </c>
      <c r="H184" s="102">
        <v>0</v>
      </c>
      <c r="I184" s="102">
        <v>0</v>
      </c>
      <c r="J184" s="102" t="s">
        <v>853</v>
      </c>
      <c r="K184" s="102"/>
      <c r="L184" s="102">
        <v>2</v>
      </c>
      <c r="M184" s="102">
        <v>0</v>
      </c>
      <c r="N184" s="102">
        <v>0</v>
      </c>
      <c r="O184" s="102">
        <v>0</v>
      </c>
      <c r="P184" s="102">
        <v>0</v>
      </c>
      <c r="Q184" s="102">
        <v>0</v>
      </c>
      <c r="R184" s="120"/>
      <c r="S184" s="120"/>
      <c r="T184" s="120"/>
      <c r="U184" s="120"/>
      <c r="V184" s="120"/>
      <c r="W184" s="120"/>
      <c r="X184" s="120"/>
      <c r="Y184" s="120"/>
      <c r="Z184" s="120"/>
      <c r="AA184" s="120"/>
      <c r="AB184" s="120"/>
    </row>
    <row r="185" spans="1:28" ht="15.75" customHeight="1" x14ac:dyDescent="0.55000000000000004">
      <c r="A185" s="125">
        <v>87</v>
      </c>
      <c r="B185" s="125" t="s">
        <v>1441</v>
      </c>
      <c r="C185" s="125" t="s">
        <v>1442</v>
      </c>
      <c r="D185" s="126">
        <v>37810</v>
      </c>
      <c r="E185" s="102" t="s">
        <v>2208</v>
      </c>
      <c r="F185" s="102">
        <v>0</v>
      </c>
      <c r="G185" s="102">
        <v>2</v>
      </c>
      <c r="H185" s="102">
        <v>0</v>
      </c>
      <c r="I185" s="102">
        <v>0</v>
      </c>
      <c r="J185" s="102">
        <v>0</v>
      </c>
      <c r="K185" s="102"/>
      <c r="L185" s="102">
        <v>2</v>
      </c>
      <c r="M185" s="102">
        <v>0</v>
      </c>
      <c r="N185" s="102">
        <v>0</v>
      </c>
      <c r="O185" s="102">
        <v>0</v>
      </c>
      <c r="P185" s="102">
        <v>0</v>
      </c>
      <c r="Q185" s="102">
        <v>0</v>
      </c>
      <c r="R185" s="120"/>
      <c r="S185" s="120"/>
      <c r="T185" s="120"/>
      <c r="U185" s="120"/>
      <c r="V185" s="120"/>
      <c r="W185" s="120"/>
      <c r="X185" s="120"/>
      <c r="Y185" s="120"/>
      <c r="Z185" s="120"/>
      <c r="AA185" s="120"/>
      <c r="AB185" s="120"/>
    </row>
    <row r="186" spans="1:28" ht="15.75" customHeight="1" x14ac:dyDescent="0.55000000000000004">
      <c r="A186" s="125">
        <v>87</v>
      </c>
      <c r="B186" s="125" t="s">
        <v>1441</v>
      </c>
      <c r="C186" s="125" t="s">
        <v>1442</v>
      </c>
      <c r="D186" s="126">
        <v>37810</v>
      </c>
      <c r="E186" s="102" t="s">
        <v>2209</v>
      </c>
      <c r="F186" s="102">
        <v>2</v>
      </c>
      <c r="G186" s="102">
        <v>0</v>
      </c>
      <c r="H186" s="102">
        <v>0</v>
      </c>
      <c r="I186" s="102">
        <v>1</v>
      </c>
      <c r="J186" s="102">
        <v>0</v>
      </c>
      <c r="K186" s="102"/>
      <c r="L186" s="102">
        <v>2</v>
      </c>
      <c r="M186" s="102">
        <v>0</v>
      </c>
      <c r="N186" s="102">
        <v>0</v>
      </c>
      <c r="O186" s="102">
        <v>0</v>
      </c>
      <c r="P186" s="102">
        <v>0</v>
      </c>
      <c r="Q186" s="102">
        <v>0</v>
      </c>
      <c r="R186" s="120"/>
      <c r="S186" s="120"/>
      <c r="T186" s="120"/>
      <c r="U186" s="120"/>
      <c r="V186" s="120"/>
      <c r="W186" s="120"/>
      <c r="X186" s="120"/>
      <c r="Y186" s="120"/>
      <c r="Z186" s="120"/>
      <c r="AA186" s="120"/>
      <c r="AB186" s="120"/>
    </row>
    <row r="187" spans="1:28" ht="15.75" customHeight="1" x14ac:dyDescent="0.55000000000000004">
      <c r="A187" s="127">
        <v>88</v>
      </c>
      <c r="B187" s="127" t="s">
        <v>1448</v>
      </c>
      <c r="C187" s="127" t="s">
        <v>1449</v>
      </c>
      <c r="D187" s="128">
        <v>37860</v>
      </c>
      <c r="E187" s="102" t="s">
        <v>2210</v>
      </c>
      <c r="F187" s="102">
        <v>0</v>
      </c>
      <c r="G187" s="102">
        <v>1</v>
      </c>
      <c r="H187" s="102">
        <v>1</v>
      </c>
      <c r="I187" s="102">
        <v>0</v>
      </c>
      <c r="J187" s="102">
        <v>0</v>
      </c>
      <c r="K187" s="102"/>
      <c r="L187" s="102">
        <v>0</v>
      </c>
      <c r="M187" s="102">
        <v>5</v>
      </c>
      <c r="N187" s="102">
        <v>0</v>
      </c>
      <c r="O187" s="102">
        <v>0</v>
      </c>
      <c r="P187" s="102">
        <v>0</v>
      </c>
      <c r="Q187" s="102">
        <v>0</v>
      </c>
      <c r="R187" s="120"/>
      <c r="S187" s="120"/>
      <c r="T187" s="120"/>
      <c r="U187" s="120"/>
      <c r="V187" s="120"/>
      <c r="W187" s="120"/>
      <c r="X187" s="120"/>
      <c r="Y187" s="120"/>
      <c r="Z187" s="120"/>
      <c r="AA187" s="120"/>
      <c r="AB187" s="120"/>
    </row>
    <row r="188" spans="1:28" ht="15.75" customHeight="1" x14ac:dyDescent="0.55000000000000004">
      <c r="A188" s="118">
        <v>89</v>
      </c>
      <c r="B188" s="118" t="s">
        <v>1454</v>
      </c>
      <c r="C188" s="118" t="s">
        <v>1455</v>
      </c>
      <c r="D188" s="119">
        <v>37918</v>
      </c>
      <c r="E188" s="102" t="s">
        <v>2153</v>
      </c>
      <c r="F188" s="102">
        <v>0</v>
      </c>
      <c r="G188" s="102">
        <v>1</v>
      </c>
      <c r="H188" s="102">
        <v>1</v>
      </c>
      <c r="I188" s="102">
        <v>0</v>
      </c>
      <c r="J188" s="102">
        <v>0</v>
      </c>
      <c r="K188" s="102"/>
      <c r="L188" s="102"/>
      <c r="M188" s="102"/>
      <c r="N188" s="102"/>
      <c r="O188" s="102"/>
      <c r="P188" s="102"/>
      <c r="Q188" s="102">
        <v>1</v>
      </c>
      <c r="R188" s="120"/>
      <c r="S188" s="120"/>
      <c r="T188" s="120"/>
      <c r="U188" s="120"/>
      <c r="V188" s="120"/>
      <c r="W188" s="120"/>
      <c r="X188" s="120"/>
      <c r="Y188" s="120"/>
      <c r="Z188" s="120"/>
      <c r="AA188" s="120"/>
      <c r="AB188" s="120"/>
    </row>
    <row r="189" spans="1:28" ht="15.75" customHeight="1" x14ac:dyDescent="0.55000000000000004">
      <c r="A189" s="121">
        <v>90</v>
      </c>
      <c r="B189" s="121" t="s">
        <v>1018</v>
      </c>
      <c r="C189" s="121" t="s">
        <v>1461</v>
      </c>
      <c r="D189" s="122">
        <v>38170</v>
      </c>
      <c r="E189" s="102" t="s">
        <v>2198</v>
      </c>
      <c r="F189" s="102">
        <v>0</v>
      </c>
      <c r="G189" s="102"/>
      <c r="H189" s="102">
        <v>1</v>
      </c>
      <c r="I189" s="102">
        <v>0</v>
      </c>
      <c r="J189" s="102" t="s">
        <v>853</v>
      </c>
      <c r="K189" s="102"/>
      <c r="L189" s="102"/>
      <c r="M189" s="102"/>
      <c r="N189" s="102"/>
      <c r="O189" s="102"/>
      <c r="P189" s="102"/>
      <c r="Q189" s="102">
        <v>1</v>
      </c>
      <c r="R189" s="120"/>
      <c r="S189" s="120"/>
      <c r="T189" s="120"/>
      <c r="U189" s="120"/>
      <c r="V189" s="120"/>
      <c r="W189" s="120"/>
      <c r="X189" s="120"/>
      <c r="Y189" s="120"/>
      <c r="Z189" s="120"/>
      <c r="AA189" s="120"/>
      <c r="AB189" s="120"/>
    </row>
    <row r="190" spans="1:28" ht="15.75" customHeight="1" x14ac:dyDescent="0.55000000000000004">
      <c r="A190" s="121">
        <v>90</v>
      </c>
      <c r="B190" s="121" t="s">
        <v>1018</v>
      </c>
      <c r="C190" s="121" t="s">
        <v>1461</v>
      </c>
      <c r="D190" s="122">
        <v>38170</v>
      </c>
      <c r="E190" s="102" t="s">
        <v>2206</v>
      </c>
      <c r="F190" s="102">
        <v>0</v>
      </c>
      <c r="G190" s="102">
        <v>1</v>
      </c>
      <c r="H190" s="102">
        <v>1</v>
      </c>
      <c r="I190" s="102">
        <v>0</v>
      </c>
      <c r="J190" s="102">
        <v>0</v>
      </c>
      <c r="K190" s="102"/>
      <c r="L190" s="102"/>
      <c r="M190" s="102"/>
      <c r="N190" s="102"/>
      <c r="O190" s="102"/>
      <c r="P190" s="102"/>
      <c r="Q190" s="102">
        <v>1</v>
      </c>
      <c r="R190" s="120"/>
      <c r="S190" s="120"/>
      <c r="T190" s="120"/>
      <c r="U190" s="120"/>
      <c r="V190" s="120"/>
      <c r="W190" s="120"/>
      <c r="X190" s="120"/>
      <c r="Y190" s="120"/>
      <c r="Z190" s="120"/>
      <c r="AA190" s="120"/>
      <c r="AB190" s="120"/>
    </row>
    <row r="191" spans="1:28" ht="15.75" customHeight="1" x14ac:dyDescent="0.55000000000000004">
      <c r="A191" s="123">
        <v>91</v>
      </c>
      <c r="B191" s="123" t="s">
        <v>1467</v>
      </c>
      <c r="C191" s="123" t="s">
        <v>1468</v>
      </c>
      <c r="D191" s="124">
        <v>38312</v>
      </c>
      <c r="E191" s="102" t="s">
        <v>2211</v>
      </c>
      <c r="F191" s="102">
        <v>3</v>
      </c>
      <c r="G191" s="102">
        <v>2</v>
      </c>
      <c r="H191" s="102">
        <v>1</v>
      </c>
      <c r="I191" s="102">
        <v>0</v>
      </c>
      <c r="J191" s="102">
        <v>0</v>
      </c>
      <c r="K191" s="102">
        <v>1</v>
      </c>
      <c r="L191" s="102"/>
      <c r="M191" s="102"/>
      <c r="N191" s="102"/>
      <c r="O191" s="102"/>
      <c r="P191" s="102"/>
      <c r="Q191" s="102">
        <v>1</v>
      </c>
      <c r="R191" s="120"/>
      <c r="S191" s="120"/>
      <c r="T191" s="120"/>
      <c r="U191" s="120"/>
      <c r="V191" s="120"/>
      <c r="W191" s="120"/>
      <c r="X191" s="120"/>
      <c r="Y191" s="120"/>
      <c r="Z191" s="120"/>
      <c r="AA191" s="120"/>
      <c r="AB191" s="120"/>
    </row>
    <row r="192" spans="1:28" ht="15.75" customHeight="1" x14ac:dyDescent="0.55000000000000004">
      <c r="A192" s="125">
        <v>92</v>
      </c>
      <c r="B192" s="125" t="s">
        <v>1475</v>
      </c>
      <c r="C192" s="125" t="s">
        <v>1234</v>
      </c>
      <c r="D192" s="126">
        <v>38329</v>
      </c>
      <c r="E192" s="102" t="s">
        <v>2212</v>
      </c>
      <c r="F192" s="102">
        <v>0</v>
      </c>
      <c r="G192" s="102">
        <v>1</v>
      </c>
      <c r="H192" s="102">
        <v>1</v>
      </c>
      <c r="I192" s="102">
        <v>0</v>
      </c>
      <c r="J192" s="102">
        <v>0</v>
      </c>
      <c r="K192" s="102">
        <v>1</v>
      </c>
      <c r="L192" s="102">
        <v>0</v>
      </c>
      <c r="M192" s="102">
        <v>0</v>
      </c>
      <c r="N192" s="102">
        <v>0</v>
      </c>
      <c r="O192" s="102">
        <v>1</v>
      </c>
      <c r="P192" s="102">
        <v>0</v>
      </c>
      <c r="Q192" s="102">
        <v>0</v>
      </c>
      <c r="R192" s="120"/>
      <c r="S192" s="120"/>
      <c r="T192" s="120"/>
      <c r="U192" s="120"/>
      <c r="V192" s="120"/>
      <c r="W192" s="120"/>
      <c r="X192" s="120"/>
      <c r="Y192" s="120"/>
      <c r="Z192" s="120"/>
      <c r="AA192" s="120"/>
      <c r="AB192" s="120"/>
    </row>
    <row r="193" spans="1:28" ht="15.75" customHeight="1" x14ac:dyDescent="0.55000000000000004">
      <c r="A193" s="127">
        <v>93</v>
      </c>
      <c r="B193" s="127" t="s">
        <v>1484</v>
      </c>
      <c r="C193" s="127" t="s">
        <v>1485</v>
      </c>
      <c r="D193" s="128">
        <v>38422</v>
      </c>
      <c r="E193" s="102" t="s">
        <v>2092</v>
      </c>
      <c r="F193" s="102">
        <v>0</v>
      </c>
      <c r="G193" s="102"/>
      <c r="H193" s="102">
        <v>1</v>
      </c>
      <c r="I193" s="102">
        <v>0</v>
      </c>
      <c r="J193" s="102">
        <v>0</v>
      </c>
      <c r="K193" s="102">
        <v>0</v>
      </c>
      <c r="L193" s="102">
        <v>0</v>
      </c>
      <c r="M193" s="102">
        <v>0</v>
      </c>
      <c r="N193" s="102">
        <v>0</v>
      </c>
      <c r="O193" s="102">
        <v>0</v>
      </c>
      <c r="P193" s="102">
        <v>3</v>
      </c>
      <c r="Q193" s="102">
        <v>0</v>
      </c>
      <c r="R193" s="120"/>
      <c r="S193" s="120"/>
      <c r="T193" s="120"/>
      <c r="U193" s="120"/>
      <c r="V193" s="120"/>
      <c r="W193" s="120"/>
      <c r="X193" s="120"/>
      <c r="Y193" s="120"/>
      <c r="Z193" s="120"/>
      <c r="AA193" s="120"/>
      <c r="AB193" s="120"/>
    </row>
    <row r="194" spans="1:28" ht="15.75" customHeight="1" x14ac:dyDescent="0.55000000000000004">
      <c r="A194" s="127">
        <v>93</v>
      </c>
      <c r="B194" s="127" t="s">
        <v>1484</v>
      </c>
      <c r="C194" s="127" t="s">
        <v>1485</v>
      </c>
      <c r="D194" s="128">
        <v>38422</v>
      </c>
      <c r="E194" s="102" t="s">
        <v>2092</v>
      </c>
      <c r="F194" s="102">
        <v>0</v>
      </c>
      <c r="G194" s="102"/>
      <c r="H194" s="102"/>
      <c r="I194" s="102">
        <v>0</v>
      </c>
      <c r="J194" s="102">
        <v>0</v>
      </c>
      <c r="K194" s="102">
        <v>0</v>
      </c>
      <c r="L194" s="102">
        <v>0</v>
      </c>
      <c r="M194" s="102">
        <v>0</v>
      </c>
      <c r="N194" s="102">
        <v>0</v>
      </c>
      <c r="O194" s="102">
        <v>0</v>
      </c>
      <c r="P194" s="102">
        <v>3</v>
      </c>
      <c r="Q194" s="102">
        <v>0</v>
      </c>
      <c r="R194" s="120"/>
      <c r="S194" s="120"/>
      <c r="T194" s="120"/>
      <c r="U194" s="120"/>
      <c r="V194" s="120"/>
      <c r="W194" s="120"/>
      <c r="X194" s="120"/>
      <c r="Y194" s="120"/>
      <c r="Z194" s="120"/>
      <c r="AA194" s="120"/>
      <c r="AB194" s="120"/>
    </row>
    <row r="195" spans="1:28" ht="15.75" customHeight="1" x14ac:dyDescent="0.55000000000000004">
      <c r="A195" s="118">
        <v>93</v>
      </c>
      <c r="B195" s="118" t="s">
        <v>1484</v>
      </c>
      <c r="C195" s="118" t="s">
        <v>1485</v>
      </c>
      <c r="D195" s="119">
        <v>38422</v>
      </c>
      <c r="E195" s="102" t="s">
        <v>2213</v>
      </c>
      <c r="F195" s="102">
        <v>0</v>
      </c>
      <c r="G195" s="102"/>
      <c r="H195" s="102">
        <v>0</v>
      </c>
      <c r="I195" s="102">
        <v>0</v>
      </c>
      <c r="J195" s="102">
        <v>0</v>
      </c>
      <c r="K195" s="102">
        <v>0</v>
      </c>
      <c r="L195" s="102">
        <v>0</v>
      </c>
      <c r="M195" s="102">
        <v>0</v>
      </c>
      <c r="N195" s="102">
        <v>0</v>
      </c>
      <c r="O195" s="102">
        <v>0</v>
      </c>
      <c r="P195" s="102">
        <v>3</v>
      </c>
      <c r="Q195" s="102">
        <v>0</v>
      </c>
      <c r="R195" s="120"/>
      <c r="S195" s="120"/>
      <c r="T195" s="120"/>
      <c r="U195" s="120"/>
      <c r="V195" s="120"/>
      <c r="W195" s="120"/>
      <c r="X195" s="120"/>
      <c r="Y195" s="120"/>
      <c r="Z195" s="120"/>
      <c r="AA195" s="120"/>
      <c r="AB195" s="120"/>
    </row>
    <row r="196" spans="1:28" ht="15.75" customHeight="1" x14ac:dyDescent="0.55000000000000004">
      <c r="A196" s="121">
        <v>94</v>
      </c>
      <c r="B196" s="121" t="s">
        <v>1489</v>
      </c>
      <c r="C196" s="121" t="s">
        <v>1490</v>
      </c>
      <c r="D196" s="122">
        <v>38423</v>
      </c>
      <c r="E196" s="102" t="s">
        <v>2212</v>
      </c>
      <c r="F196" s="102">
        <v>0</v>
      </c>
      <c r="G196" s="102">
        <v>1</v>
      </c>
      <c r="H196" s="102">
        <v>1</v>
      </c>
      <c r="I196" s="102">
        <v>0</v>
      </c>
      <c r="J196" s="102">
        <v>0</v>
      </c>
      <c r="K196" s="102">
        <v>1</v>
      </c>
      <c r="L196" s="102">
        <v>1</v>
      </c>
      <c r="M196" s="102">
        <v>0</v>
      </c>
      <c r="N196" s="102">
        <v>0</v>
      </c>
      <c r="O196" s="102">
        <v>0</v>
      </c>
      <c r="P196" s="102">
        <v>0</v>
      </c>
      <c r="Q196" s="102">
        <v>0</v>
      </c>
      <c r="R196" s="120"/>
      <c r="S196" s="120"/>
      <c r="T196" s="120"/>
      <c r="U196" s="120"/>
      <c r="V196" s="120"/>
      <c r="W196" s="120"/>
      <c r="X196" s="120"/>
      <c r="Y196" s="120"/>
      <c r="Z196" s="120"/>
      <c r="AA196" s="120"/>
      <c r="AB196" s="120"/>
    </row>
    <row r="197" spans="1:28" ht="15.75" customHeight="1" x14ac:dyDescent="0.55000000000000004">
      <c r="A197" s="123">
        <v>95</v>
      </c>
      <c r="B197" s="123" t="s">
        <v>1496</v>
      </c>
      <c r="C197" s="123" t="s">
        <v>1497</v>
      </c>
      <c r="D197" s="124">
        <v>38432</v>
      </c>
      <c r="E197" s="102" t="s">
        <v>2214</v>
      </c>
      <c r="F197" s="102">
        <v>0</v>
      </c>
      <c r="G197" s="102">
        <v>2</v>
      </c>
      <c r="H197" s="102">
        <v>1</v>
      </c>
      <c r="I197" s="102">
        <v>0</v>
      </c>
      <c r="J197" s="102">
        <v>0</v>
      </c>
      <c r="K197" s="102">
        <v>0</v>
      </c>
      <c r="L197" s="102">
        <v>0</v>
      </c>
      <c r="M197" s="102">
        <v>0</v>
      </c>
      <c r="N197" s="102">
        <v>0</v>
      </c>
      <c r="O197" s="102">
        <v>0</v>
      </c>
      <c r="P197" s="102">
        <v>1</v>
      </c>
      <c r="Q197" s="102">
        <v>0</v>
      </c>
      <c r="R197" s="120"/>
      <c r="S197" s="120"/>
      <c r="T197" s="120"/>
      <c r="U197" s="120"/>
      <c r="V197" s="120"/>
      <c r="W197" s="120"/>
      <c r="X197" s="120"/>
      <c r="Y197" s="120"/>
      <c r="Z197" s="120"/>
      <c r="AA197" s="120"/>
      <c r="AB197" s="120"/>
    </row>
    <row r="198" spans="1:28" ht="15.75" customHeight="1" x14ac:dyDescent="0.55000000000000004">
      <c r="A198" s="123">
        <v>95</v>
      </c>
      <c r="B198" s="123" t="s">
        <v>1496</v>
      </c>
      <c r="C198" s="123" t="s">
        <v>1497</v>
      </c>
      <c r="D198" s="124">
        <v>38432</v>
      </c>
      <c r="E198" s="102" t="s">
        <v>2215</v>
      </c>
      <c r="F198" s="102">
        <v>1</v>
      </c>
      <c r="G198" s="102">
        <v>2</v>
      </c>
      <c r="H198" s="102">
        <v>1</v>
      </c>
      <c r="I198" s="102">
        <v>0</v>
      </c>
      <c r="J198" s="102" t="s">
        <v>853</v>
      </c>
      <c r="K198" s="102">
        <v>0</v>
      </c>
      <c r="L198" s="102">
        <v>0</v>
      </c>
      <c r="M198" s="102">
        <v>0</v>
      </c>
      <c r="N198" s="102">
        <v>0</v>
      </c>
      <c r="O198" s="102">
        <v>0</v>
      </c>
      <c r="P198" s="102">
        <v>1</v>
      </c>
      <c r="Q198" s="102">
        <v>0</v>
      </c>
      <c r="R198" s="120"/>
      <c r="S198" s="120"/>
      <c r="T198" s="120"/>
      <c r="U198" s="120"/>
      <c r="V198" s="120"/>
      <c r="W198" s="120"/>
      <c r="X198" s="120"/>
      <c r="Y198" s="120"/>
      <c r="Z198" s="120"/>
      <c r="AA198" s="120"/>
      <c r="AB198" s="120"/>
    </row>
    <row r="199" spans="1:28" ht="15.75" customHeight="1" x14ac:dyDescent="0.55000000000000004">
      <c r="A199" s="123">
        <v>95</v>
      </c>
      <c r="B199" s="123" t="s">
        <v>1496</v>
      </c>
      <c r="C199" s="123" t="s">
        <v>1497</v>
      </c>
      <c r="D199" s="124">
        <v>38432</v>
      </c>
      <c r="E199" s="102" t="s">
        <v>2216</v>
      </c>
      <c r="F199" s="102">
        <v>0</v>
      </c>
      <c r="G199" s="102">
        <v>0</v>
      </c>
      <c r="H199" s="102">
        <v>1</v>
      </c>
      <c r="I199" s="102">
        <v>0</v>
      </c>
      <c r="J199" s="102">
        <v>0</v>
      </c>
      <c r="K199" s="102">
        <v>1</v>
      </c>
      <c r="L199" s="102">
        <v>0</v>
      </c>
      <c r="M199" s="102">
        <v>4</v>
      </c>
      <c r="N199" s="102">
        <v>0</v>
      </c>
      <c r="O199" s="102">
        <v>0</v>
      </c>
      <c r="P199" s="102">
        <v>0</v>
      </c>
      <c r="Q199" s="102">
        <v>0</v>
      </c>
      <c r="R199" s="120"/>
      <c r="S199" s="120"/>
      <c r="T199" s="120"/>
      <c r="U199" s="120"/>
      <c r="V199" s="120"/>
      <c r="W199" s="120"/>
      <c r="X199" s="120"/>
      <c r="Y199" s="120"/>
      <c r="Z199" s="120"/>
      <c r="AA199" s="120"/>
      <c r="AB199" s="120"/>
    </row>
    <row r="200" spans="1:28" ht="15.75" customHeight="1" x14ac:dyDescent="0.55000000000000004">
      <c r="A200" s="125">
        <v>96</v>
      </c>
      <c r="B200" s="125" t="s">
        <v>1505</v>
      </c>
      <c r="C200" s="125" t="s">
        <v>1506</v>
      </c>
      <c r="D200" s="126">
        <v>38592</v>
      </c>
      <c r="E200" s="102" t="s">
        <v>2206</v>
      </c>
      <c r="F200" s="102">
        <v>0</v>
      </c>
      <c r="G200" s="102">
        <v>1</v>
      </c>
      <c r="H200" s="102">
        <v>1</v>
      </c>
      <c r="I200" s="102">
        <v>0</v>
      </c>
      <c r="J200" s="102">
        <v>0</v>
      </c>
      <c r="K200" s="102"/>
      <c r="L200" s="102"/>
      <c r="M200" s="102"/>
      <c r="N200" s="102"/>
      <c r="O200" s="102"/>
      <c r="P200" s="102"/>
      <c r="Q200" s="102">
        <v>1</v>
      </c>
      <c r="R200" s="120"/>
      <c r="S200" s="120"/>
      <c r="T200" s="120"/>
      <c r="U200" s="120"/>
      <c r="V200" s="120"/>
      <c r="W200" s="120"/>
      <c r="X200" s="120"/>
      <c r="Y200" s="120"/>
      <c r="Z200" s="120"/>
      <c r="AA200" s="120"/>
      <c r="AB200" s="120"/>
    </row>
    <row r="201" spans="1:28" ht="15.75" customHeight="1" x14ac:dyDescent="0.55000000000000004">
      <c r="A201" s="125">
        <v>96</v>
      </c>
      <c r="B201" s="125" t="s">
        <v>1505</v>
      </c>
      <c r="C201" s="125" t="s">
        <v>1506</v>
      </c>
      <c r="D201" s="126">
        <v>38592</v>
      </c>
      <c r="E201" s="102" t="s">
        <v>2088</v>
      </c>
      <c r="F201" s="102">
        <v>0</v>
      </c>
      <c r="G201" s="102">
        <v>1</v>
      </c>
      <c r="H201" s="102">
        <v>1</v>
      </c>
      <c r="I201" s="102">
        <v>0</v>
      </c>
      <c r="J201" s="102" t="s">
        <v>853</v>
      </c>
      <c r="K201" s="102"/>
      <c r="L201" s="102"/>
      <c r="M201" s="102"/>
      <c r="N201" s="102"/>
      <c r="O201" s="102"/>
      <c r="P201" s="102"/>
      <c r="Q201" s="102">
        <v>1</v>
      </c>
      <c r="R201" s="120"/>
      <c r="S201" s="120"/>
      <c r="T201" s="120"/>
      <c r="U201" s="120"/>
      <c r="V201" s="120"/>
      <c r="W201" s="120"/>
      <c r="X201" s="120"/>
      <c r="Y201" s="120"/>
      <c r="Z201" s="120"/>
      <c r="AA201" s="120"/>
      <c r="AB201" s="120"/>
    </row>
    <row r="202" spans="1:28" ht="15.75" customHeight="1" x14ac:dyDescent="0.55000000000000004">
      <c r="A202" s="127">
        <v>97</v>
      </c>
      <c r="B202" s="127" t="s">
        <v>1511</v>
      </c>
      <c r="C202" s="127" t="s">
        <v>1512</v>
      </c>
      <c r="D202" s="128">
        <v>38747</v>
      </c>
      <c r="E202" s="102" t="s">
        <v>2217</v>
      </c>
      <c r="F202" s="102">
        <v>0</v>
      </c>
      <c r="G202" s="102">
        <v>1</v>
      </c>
      <c r="H202" s="102">
        <v>1</v>
      </c>
      <c r="I202" s="102">
        <v>0</v>
      </c>
      <c r="J202" s="102">
        <v>0</v>
      </c>
      <c r="K202" s="102">
        <v>1</v>
      </c>
      <c r="L202" s="102">
        <v>1</v>
      </c>
      <c r="M202" s="102">
        <v>0</v>
      </c>
      <c r="N202" s="102">
        <v>0</v>
      </c>
      <c r="O202" s="102">
        <v>0</v>
      </c>
      <c r="P202" s="102">
        <v>0</v>
      </c>
      <c r="Q202" s="102">
        <v>0</v>
      </c>
      <c r="R202" s="120"/>
      <c r="S202" s="120"/>
      <c r="T202" s="120"/>
      <c r="U202" s="120"/>
      <c r="V202" s="120"/>
      <c r="W202" s="120"/>
      <c r="X202" s="120"/>
      <c r="Y202" s="120"/>
      <c r="Z202" s="120"/>
      <c r="AA202" s="120"/>
      <c r="AB202" s="120"/>
    </row>
    <row r="203" spans="1:28" ht="15.75" customHeight="1" x14ac:dyDescent="0.55000000000000004">
      <c r="A203" s="118">
        <v>98</v>
      </c>
      <c r="B203" s="118" t="s">
        <v>1516</v>
      </c>
      <c r="C203" s="118" t="s">
        <v>1517</v>
      </c>
      <c r="D203" s="119">
        <v>38801</v>
      </c>
      <c r="E203" s="102" t="s">
        <v>2218</v>
      </c>
      <c r="F203" s="102">
        <v>0</v>
      </c>
      <c r="G203" s="102">
        <v>2</v>
      </c>
      <c r="H203" s="102">
        <v>1</v>
      </c>
      <c r="I203" s="102">
        <v>0</v>
      </c>
      <c r="J203" s="102">
        <v>0</v>
      </c>
      <c r="K203" s="102">
        <v>1</v>
      </c>
      <c r="L203" s="102">
        <v>1</v>
      </c>
      <c r="M203" s="102"/>
      <c r="N203" s="102"/>
      <c r="O203" s="102"/>
      <c r="P203" s="102"/>
      <c r="Q203" s="102"/>
      <c r="R203" s="120"/>
      <c r="S203" s="120"/>
      <c r="T203" s="120"/>
      <c r="U203" s="120"/>
      <c r="V203" s="120"/>
      <c r="W203" s="120"/>
      <c r="X203" s="120"/>
      <c r="Y203" s="120"/>
      <c r="Z203" s="120"/>
      <c r="AA203" s="120"/>
      <c r="AB203" s="120"/>
    </row>
    <row r="204" spans="1:28" ht="15.75" customHeight="1" x14ac:dyDescent="0.55000000000000004">
      <c r="A204" s="118">
        <v>98</v>
      </c>
      <c r="B204" s="118" t="s">
        <v>1516</v>
      </c>
      <c r="C204" s="118" t="s">
        <v>1517</v>
      </c>
      <c r="D204" s="119">
        <v>38801</v>
      </c>
      <c r="E204" s="102" t="s">
        <v>2219</v>
      </c>
      <c r="F204" s="102">
        <v>3</v>
      </c>
      <c r="G204" s="102">
        <v>2</v>
      </c>
      <c r="H204" s="102">
        <v>0</v>
      </c>
      <c r="I204" s="102">
        <v>0</v>
      </c>
      <c r="J204" s="102">
        <v>0</v>
      </c>
      <c r="K204" s="102"/>
      <c r="L204" s="102"/>
      <c r="M204" s="102"/>
      <c r="N204" s="102"/>
      <c r="O204" s="102"/>
      <c r="P204" s="102"/>
      <c r="Q204" s="102">
        <v>1</v>
      </c>
      <c r="R204" s="120"/>
      <c r="S204" s="120"/>
      <c r="T204" s="120"/>
      <c r="U204" s="120"/>
      <c r="V204" s="120"/>
      <c r="W204" s="120"/>
      <c r="X204" s="120"/>
      <c r="Y204" s="120"/>
      <c r="Z204" s="120"/>
      <c r="AA204" s="120"/>
      <c r="AB204" s="120"/>
    </row>
    <row r="205" spans="1:28" ht="15.75" customHeight="1" x14ac:dyDescent="0.55000000000000004">
      <c r="A205" s="118">
        <v>98</v>
      </c>
      <c r="B205" s="118" t="s">
        <v>1516</v>
      </c>
      <c r="C205" s="118" t="s">
        <v>1517</v>
      </c>
      <c r="D205" s="119">
        <v>38801</v>
      </c>
      <c r="E205" s="102" t="s">
        <v>2220</v>
      </c>
      <c r="F205" s="102">
        <v>1</v>
      </c>
      <c r="G205" s="102">
        <v>2</v>
      </c>
      <c r="H205" s="102">
        <v>1</v>
      </c>
      <c r="I205" s="102">
        <v>1</v>
      </c>
      <c r="J205" s="102" t="s">
        <v>853</v>
      </c>
      <c r="K205" s="102">
        <v>1</v>
      </c>
      <c r="L205" s="102">
        <v>1</v>
      </c>
      <c r="M205" s="102"/>
      <c r="N205" s="102"/>
      <c r="O205" s="102"/>
      <c r="P205" s="102"/>
      <c r="Q205" s="102"/>
      <c r="R205" s="120"/>
      <c r="S205" s="120"/>
      <c r="T205" s="120"/>
      <c r="U205" s="120"/>
      <c r="V205" s="120"/>
      <c r="W205" s="120"/>
      <c r="X205" s="120"/>
      <c r="Y205" s="120"/>
      <c r="Z205" s="120"/>
      <c r="AA205" s="120"/>
      <c r="AB205" s="120"/>
    </row>
    <row r="206" spans="1:28" ht="15.75" customHeight="1" x14ac:dyDescent="0.55000000000000004">
      <c r="A206" s="121">
        <v>99</v>
      </c>
      <c r="B206" s="121" t="s">
        <v>1523</v>
      </c>
      <c r="C206" s="121" t="s">
        <v>1524</v>
      </c>
      <c r="D206" s="122">
        <v>38858</v>
      </c>
      <c r="E206" s="102" t="s">
        <v>2198</v>
      </c>
      <c r="F206" s="102">
        <v>0</v>
      </c>
      <c r="G206" s="102"/>
      <c r="H206" s="102">
        <v>1</v>
      </c>
      <c r="I206" s="102">
        <v>0</v>
      </c>
      <c r="J206" s="102" t="s">
        <v>853</v>
      </c>
      <c r="K206" s="102"/>
      <c r="L206" s="102"/>
      <c r="M206" s="102"/>
      <c r="N206" s="102"/>
      <c r="O206" s="102"/>
      <c r="P206" s="102"/>
      <c r="Q206" s="102">
        <v>1</v>
      </c>
      <c r="R206" s="120"/>
      <c r="S206" s="120"/>
      <c r="T206" s="120"/>
      <c r="U206" s="120"/>
      <c r="V206" s="120"/>
      <c r="W206" s="120"/>
      <c r="X206" s="120"/>
      <c r="Y206" s="120"/>
      <c r="Z206" s="120"/>
      <c r="AA206" s="120"/>
      <c r="AB206" s="120"/>
    </row>
    <row r="207" spans="1:28" ht="15.75" customHeight="1" x14ac:dyDescent="0.55000000000000004">
      <c r="A207" s="123">
        <v>100</v>
      </c>
      <c r="B207" s="123" t="s">
        <v>1530</v>
      </c>
      <c r="C207" s="123" t="s">
        <v>845</v>
      </c>
      <c r="D207" s="124">
        <v>38992</v>
      </c>
      <c r="E207" s="102" t="s">
        <v>2221</v>
      </c>
      <c r="F207" s="102">
        <v>1</v>
      </c>
      <c r="G207" s="102">
        <v>2</v>
      </c>
      <c r="H207" s="102">
        <v>1</v>
      </c>
      <c r="I207" s="102">
        <v>0</v>
      </c>
      <c r="J207" s="102" t="s">
        <v>853</v>
      </c>
      <c r="K207" s="102"/>
      <c r="L207" s="102">
        <v>3</v>
      </c>
      <c r="M207" s="102">
        <v>0</v>
      </c>
      <c r="N207" s="102">
        <v>0</v>
      </c>
      <c r="O207" s="102">
        <v>0</v>
      </c>
      <c r="P207" s="102">
        <v>0</v>
      </c>
      <c r="Q207" s="102">
        <v>0</v>
      </c>
      <c r="R207" s="120"/>
      <c r="S207" s="120"/>
      <c r="T207" s="120"/>
      <c r="U207" s="120"/>
      <c r="V207" s="120"/>
      <c r="W207" s="120"/>
      <c r="X207" s="120"/>
      <c r="Y207" s="120"/>
      <c r="Z207" s="120"/>
      <c r="AA207" s="120"/>
      <c r="AB207" s="120"/>
    </row>
    <row r="208" spans="1:28" ht="15.75" customHeight="1" x14ac:dyDescent="0.55000000000000004">
      <c r="A208" s="123">
        <v>100</v>
      </c>
      <c r="B208" s="123" t="s">
        <v>1530</v>
      </c>
      <c r="C208" s="123" t="s">
        <v>845</v>
      </c>
      <c r="D208" s="124">
        <v>38992</v>
      </c>
      <c r="E208" s="102" t="s">
        <v>2222</v>
      </c>
      <c r="F208" s="102">
        <v>0</v>
      </c>
      <c r="G208" s="102">
        <v>1</v>
      </c>
      <c r="H208" s="102">
        <v>1</v>
      </c>
      <c r="I208" s="102">
        <v>0</v>
      </c>
      <c r="J208" s="102">
        <v>0</v>
      </c>
      <c r="K208" s="102">
        <v>1</v>
      </c>
      <c r="L208" s="102">
        <v>1</v>
      </c>
      <c r="M208" s="102">
        <v>0</v>
      </c>
      <c r="N208" s="102">
        <v>0</v>
      </c>
      <c r="O208" s="102">
        <v>0</v>
      </c>
      <c r="P208" s="102">
        <v>0</v>
      </c>
      <c r="Q208" s="102">
        <v>0</v>
      </c>
      <c r="R208" s="120"/>
      <c r="S208" s="120"/>
      <c r="T208" s="120"/>
      <c r="U208" s="120"/>
      <c r="V208" s="120"/>
      <c r="W208" s="120"/>
      <c r="X208" s="120"/>
      <c r="Y208" s="120"/>
      <c r="Z208" s="120"/>
      <c r="AA208" s="120"/>
      <c r="AB208" s="120"/>
    </row>
    <row r="209" spans="1:28" ht="15.75" customHeight="1" x14ac:dyDescent="0.55000000000000004">
      <c r="A209" s="123">
        <v>100</v>
      </c>
      <c r="B209" s="123" t="s">
        <v>1530</v>
      </c>
      <c r="C209" s="123" t="s">
        <v>845</v>
      </c>
      <c r="D209" s="124">
        <v>38992</v>
      </c>
      <c r="E209" s="102" t="s">
        <v>2223</v>
      </c>
      <c r="F209" s="102">
        <v>2</v>
      </c>
      <c r="G209" s="102">
        <v>2</v>
      </c>
      <c r="H209" s="102">
        <v>0</v>
      </c>
      <c r="I209" s="102">
        <v>0</v>
      </c>
      <c r="J209" s="102">
        <v>0</v>
      </c>
      <c r="K209" s="102"/>
      <c r="L209" s="102">
        <v>3</v>
      </c>
      <c r="M209" s="102">
        <v>0</v>
      </c>
      <c r="N209" s="102">
        <v>0</v>
      </c>
      <c r="O209" s="102">
        <v>0</v>
      </c>
      <c r="P209" s="102">
        <v>0</v>
      </c>
      <c r="Q209" s="102">
        <v>0</v>
      </c>
      <c r="R209" s="120"/>
      <c r="S209" s="120"/>
      <c r="T209" s="120"/>
      <c r="U209" s="120"/>
      <c r="V209" s="120"/>
      <c r="W209" s="120"/>
      <c r="X209" s="120"/>
      <c r="Y209" s="120"/>
      <c r="Z209" s="120"/>
      <c r="AA209" s="120"/>
      <c r="AB209" s="120"/>
    </row>
    <row r="210" spans="1:28" ht="15.75" customHeight="1" x14ac:dyDescent="0.55000000000000004">
      <c r="A210" s="125">
        <v>101</v>
      </c>
      <c r="B210" s="125" t="s">
        <v>1536</v>
      </c>
      <c r="C210" s="125" t="s">
        <v>1537</v>
      </c>
      <c r="D210" s="126">
        <v>39125</v>
      </c>
      <c r="E210" s="102" t="s">
        <v>2224</v>
      </c>
      <c r="F210" s="102">
        <v>1</v>
      </c>
      <c r="G210" s="102">
        <v>2</v>
      </c>
      <c r="H210" s="102">
        <v>1</v>
      </c>
      <c r="I210" s="102">
        <v>1</v>
      </c>
      <c r="J210" s="102" t="s">
        <v>853</v>
      </c>
      <c r="K210" s="102">
        <v>1</v>
      </c>
      <c r="L210" s="102">
        <v>0</v>
      </c>
      <c r="M210" s="102">
        <v>1</v>
      </c>
      <c r="N210" s="102">
        <v>0</v>
      </c>
      <c r="O210" s="102">
        <v>0</v>
      </c>
      <c r="P210" s="102">
        <v>0</v>
      </c>
      <c r="Q210" s="102">
        <v>0</v>
      </c>
      <c r="R210" s="120"/>
      <c r="S210" s="120"/>
      <c r="T210" s="120"/>
      <c r="U210" s="120"/>
      <c r="V210" s="120"/>
      <c r="W210" s="120"/>
      <c r="X210" s="120"/>
      <c r="Y210" s="120"/>
      <c r="Z210" s="120"/>
      <c r="AA210" s="120"/>
      <c r="AB210" s="120"/>
    </row>
    <row r="211" spans="1:28" ht="15.75" customHeight="1" x14ac:dyDescent="0.55000000000000004">
      <c r="A211" s="125">
        <v>101</v>
      </c>
      <c r="B211" s="125" t="s">
        <v>1536</v>
      </c>
      <c r="C211" s="125" t="s">
        <v>1537</v>
      </c>
      <c r="D211" s="126">
        <v>39125</v>
      </c>
      <c r="E211" s="102" t="s">
        <v>2225</v>
      </c>
      <c r="F211" s="102">
        <v>0</v>
      </c>
      <c r="G211" s="102">
        <v>1</v>
      </c>
      <c r="H211" s="102">
        <v>1</v>
      </c>
      <c r="I211" s="102">
        <v>0</v>
      </c>
      <c r="J211" s="102" t="s">
        <v>853</v>
      </c>
      <c r="K211" s="102">
        <v>1</v>
      </c>
      <c r="L211" s="102">
        <v>0</v>
      </c>
      <c r="M211" s="102">
        <v>4</v>
      </c>
      <c r="N211" s="102">
        <v>0</v>
      </c>
      <c r="O211" s="102">
        <v>0</v>
      </c>
      <c r="P211" s="102">
        <v>0</v>
      </c>
      <c r="Q211" s="102">
        <v>0</v>
      </c>
      <c r="R211" s="120"/>
      <c r="S211" s="120"/>
      <c r="T211" s="120"/>
      <c r="U211" s="120"/>
      <c r="V211" s="120"/>
      <c r="W211" s="120"/>
      <c r="X211" s="120"/>
      <c r="Y211" s="120"/>
      <c r="Z211" s="120"/>
      <c r="AA211" s="120"/>
      <c r="AB211" s="120"/>
    </row>
    <row r="212" spans="1:28" ht="15.75" customHeight="1" x14ac:dyDescent="0.55000000000000004">
      <c r="A212" s="127">
        <v>102</v>
      </c>
      <c r="B212" s="127" t="s">
        <v>1543</v>
      </c>
      <c r="C212" s="127" t="s">
        <v>1544</v>
      </c>
      <c r="D212" s="128">
        <v>39188</v>
      </c>
      <c r="E212" s="102" t="s">
        <v>2178</v>
      </c>
      <c r="F212" s="102">
        <v>0</v>
      </c>
      <c r="G212" s="102">
        <v>1</v>
      </c>
      <c r="H212" s="102">
        <v>1</v>
      </c>
      <c r="I212" s="102">
        <v>0</v>
      </c>
      <c r="J212" s="102">
        <v>0</v>
      </c>
      <c r="K212" s="102">
        <v>1</v>
      </c>
      <c r="L212" s="102">
        <v>0</v>
      </c>
      <c r="M212" s="102">
        <v>1</v>
      </c>
      <c r="N212" s="102">
        <v>0</v>
      </c>
      <c r="O212" s="102">
        <v>0</v>
      </c>
      <c r="P212" s="102">
        <v>0</v>
      </c>
      <c r="Q212" s="102">
        <v>0</v>
      </c>
      <c r="R212" s="120"/>
      <c r="S212" s="120"/>
      <c r="T212" s="120"/>
      <c r="U212" s="120"/>
      <c r="V212" s="120"/>
      <c r="W212" s="120"/>
      <c r="X212" s="120"/>
      <c r="Y212" s="120"/>
      <c r="Z212" s="120"/>
      <c r="AA212" s="120"/>
      <c r="AB212" s="120"/>
    </row>
    <row r="213" spans="1:28" ht="15.75" customHeight="1" x14ac:dyDescent="0.55000000000000004">
      <c r="A213" s="127">
        <v>102</v>
      </c>
      <c r="B213" s="127" t="s">
        <v>1543</v>
      </c>
      <c r="C213" s="127" t="s">
        <v>1544</v>
      </c>
      <c r="D213" s="128">
        <v>39188</v>
      </c>
      <c r="E213" s="102" t="s">
        <v>2226</v>
      </c>
      <c r="F213" s="102">
        <v>0</v>
      </c>
      <c r="G213" s="102">
        <v>0</v>
      </c>
      <c r="H213" s="102">
        <v>1</v>
      </c>
      <c r="I213" s="102">
        <v>0</v>
      </c>
      <c r="J213" s="102">
        <v>0</v>
      </c>
      <c r="K213" s="102">
        <v>1</v>
      </c>
      <c r="L213" s="102">
        <v>0</v>
      </c>
      <c r="M213" s="102">
        <v>1</v>
      </c>
      <c r="N213" s="102">
        <v>0</v>
      </c>
      <c r="O213" s="102">
        <v>0</v>
      </c>
      <c r="P213" s="102">
        <v>0</v>
      </c>
      <c r="Q213" s="102">
        <v>0</v>
      </c>
      <c r="R213" s="120"/>
      <c r="S213" s="120"/>
      <c r="T213" s="120"/>
      <c r="U213" s="120"/>
      <c r="V213" s="120"/>
      <c r="W213" s="120"/>
      <c r="X213" s="120"/>
      <c r="Y213" s="120"/>
      <c r="Z213" s="120"/>
      <c r="AA213" s="120"/>
      <c r="AB213" s="120"/>
    </row>
    <row r="214" spans="1:28" ht="15.75" customHeight="1" x14ac:dyDescent="0.55000000000000004">
      <c r="A214" s="118">
        <v>103</v>
      </c>
      <c r="B214" s="118" t="s">
        <v>1555</v>
      </c>
      <c r="C214" s="118" t="s">
        <v>859</v>
      </c>
      <c r="D214" s="119">
        <v>39421</v>
      </c>
      <c r="E214" s="102" t="s">
        <v>2227</v>
      </c>
      <c r="F214" s="102">
        <v>3</v>
      </c>
      <c r="G214" s="102">
        <v>2</v>
      </c>
      <c r="H214" s="102">
        <v>1</v>
      </c>
      <c r="I214" s="102">
        <v>0</v>
      </c>
      <c r="J214" s="102">
        <v>0</v>
      </c>
      <c r="K214" s="102">
        <v>0</v>
      </c>
      <c r="L214" s="102">
        <v>0</v>
      </c>
      <c r="M214" s="102">
        <v>0</v>
      </c>
      <c r="N214" s="102">
        <v>0</v>
      </c>
      <c r="O214" s="102">
        <v>0</v>
      </c>
      <c r="P214" s="102">
        <v>1</v>
      </c>
      <c r="Q214" s="102">
        <v>0</v>
      </c>
      <c r="R214" s="120"/>
      <c r="S214" s="120"/>
      <c r="T214" s="120"/>
      <c r="U214" s="120"/>
      <c r="V214" s="120"/>
      <c r="W214" s="120"/>
      <c r="X214" s="120"/>
      <c r="Y214" s="120"/>
      <c r="Z214" s="120"/>
      <c r="AA214" s="120"/>
      <c r="AB214" s="120"/>
    </row>
    <row r="215" spans="1:28" ht="15.75" customHeight="1" x14ac:dyDescent="0.55000000000000004">
      <c r="A215" s="121">
        <v>104</v>
      </c>
      <c r="B215" s="121" t="s">
        <v>1563</v>
      </c>
      <c r="C215" s="121" t="s">
        <v>1302</v>
      </c>
      <c r="D215" s="122">
        <v>39425</v>
      </c>
      <c r="E215" s="102" t="s">
        <v>2228</v>
      </c>
      <c r="F215" s="102">
        <v>0</v>
      </c>
      <c r="G215" s="102">
        <v>2</v>
      </c>
      <c r="H215" s="102">
        <v>0</v>
      </c>
      <c r="I215" s="102">
        <v>0</v>
      </c>
      <c r="J215" s="102">
        <v>0</v>
      </c>
      <c r="K215" s="102">
        <v>1</v>
      </c>
      <c r="L215" s="102">
        <v>1</v>
      </c>
      <c r="M215" s="102">
        <v>0</v>
      </c>
      <c r="N215" s="102">
        <v>0</v>
      </c>
      <c r="O215" s="102">
        <v>0</v>
      </c>
      <c r="P215" s="102">
        <v>0</v>
      </c>
      <c r="Q215" s="102">
        <v>0</v>
      </c>
      <c r="R215" s="120"/>
      <c r="S215" s="120"/>
      <c r="T215" s="120"/>
      <c r="U215" s="120"/>
      <c r="V215" s="120"/>
      <c r="W215" s="120"/>
      <c r="X215" s="120"/>
      <c r="Y215" s="120"/>
      <c r="Z215" s="120"/>
      <c r="AA215" s="120"/>
      <c r="AB215" s="120"/>
    </row>
    <row r="216" spans="1:28" ht="15.75" customHeight="1" x14ac:dyDescent="0.55000000000000004">
      <c r="A216" s="121">
        <v>104</v>
      </c>
      <c r="B216" s="121" t="s">
        <v>1563</v>
      </c>
      <c r="C216" s="121" t="s">
        <v>1302</v>
      </c>
      <c r="D216" s="122">
        <v>39425</v>
      </c>
      <c r="E216" s="102" t="s">
        <v>2229</v>
      </c>
      <c r="F216" s="102">
        <v>0</v>
      </c>
      <c r="G216" s="102">
        <v>1</v>
      </c>
      <c r="H216" s="102">
        <v>2</v>
      </c>
      <c r="I216" s="102">
        <v>0</v>
      </c>
      <c r="J216" s="102">
        <v>0</v>
      </c>
      <c r="K216" s="102">
        <v>1</v>
      </c>
      <c r="L216" s="102">
        <v>1</v>
      </c>
      <c r="M216" s="102">
        <v>0</v>
      </c>
      <c r="N216" s="102">
        <v>0</v>
      </c>
      <c r="O216" s="102">
        <v>0</v>
      </c>
      <c r="P216" s="102">
        <v>0</v>
      </c>
      <c r="Q216" s="102">
        <v>0</v>
      </c>
      <c r="R216" s="120"/>
      <c r="S216" s="120"/>
      <c r="T216" s="120"/>
      <c r="U216" s="120"/>
      <c r="V216" s="120"/>
      <c r="W216" s="120"/>
      <c r="X216" s="120"/>
      <c r="Y216" s="120"/>
      <c r="Z216" s="120"/>
      <c r="AA216" s="120"/>
      <c r="AB216" s="120"/>
    </row>
    <row r="217" spans="1:28" ht="15.75" customHeight="1" x14ac:dyDescent="0.55000000000000004">
      <c r="A217" s="121">
        <v>104</v>
      </c>
      <c r="B217" s="121" t="s">
        <v>1563</v>
      </c>
      <c r="C217" s="121" t="s">
        <v>1302</v>
      </c>
      <c r="D217" s="122">
        <v>39425</v>
      </c>
      <c r="E217" s="102" t="s">
        <v>2230</v>
      </c>
      <c r="F217" s="102">
        <v>3</v>
      </c>
      <c r="G217" s="102">
        <v>2</v>
      </c>
      <c r="H217" s="102">
        <v>1</v>
      </c>
      <c r="I217" s="102">
        <v>1</v>
      </c>
      <c r="J217" s="102">
        <v>0</v>
      </c>
      <c r="K217" s="102">
        <v>1</v>
      </c>
      <c r="L217" s="102">
        <v>1</v>
      </c>
      <c r="M217" s="102">
        <v>0</v>
      </c>
      <c r="N217" s="102">
        <v>0</v>
      </c>
      <c r="O217" s="102">
        <v>0</v>
      </c>
      <c r="P217" s="102">
        <v>0</v>
      </c>
      <c r="Q217" s="102">
        <v>0</v>
      </c>
      <c r="R217" s="120"/>
      <c r="S217" s="120"/>
      <c r="T217" s="120"/>
      <c r="U217" s="120"/>
      <c r="V217" s="120"/>
      <c r="W217" s="120"/>
      <c r="X217" s="120"/>
      <c r="Y217" s="120"/>
      <c r="Z217" s="120"/>
      <c r="AA217" s="120"/>
      <c r="AB217" s="120"/>
    </row>
    <row r="218" spans="1:28" ht="15.75" customHeight="1" x14ac:dyDescent="0.55000000000000004">
      <c r="A218" s="121">
        <v>104</v>
      </c>
      <c r="B218" s="121" t="s">
        <v>1563</v>
      </c>
      <c r="C218" s="121" t="s">
        <v>1302</v>
      </c>
      <c r="D218" s="122">
        <v>39425</v>
      </c>
      <c r="E218" s="102" t="s">
        <v>2231</v>
      </c>
      <c r="F218" s="102">
        <v>3</v>
      </c>
      <c r="G218" s="102"/>
      <c r="H218" s="102">
        <v>0</v>
      </c>
      <c r="I218" s="102">
        <v>0</v>
      </c>
      <c r="J218" s="102">
        <v>0</v>
      </c>
      <c r="K218" s="102">
        <v>1</v>
      </c>
      <c r="L218" s="102">
        <v>1</v>
      </c>
      <c r="M218" s="102">
        <v>0</v>
      </c>
      <c r="N218" s="102">
        <v>0</v>
      </c>
      <c r="O218" s="102">
        <v>0</v>
      </c>
      <c r="P218" s="102">
        <v>0</v>
      </c>
      <c r="Q218" s="102">
        <v>0</v>
      </c>
      <c r="R218" s="120"/>
      <c r="S218" s="120"/>
      <c r="T218" s="120"/>
      <c r="U218" s="120"/>
      <c r="V218" s="120"/>
      <c r="W218" s="120"/>
      <c r="X218" s="120"/>
      <c r="Y218" s="120"/>
      <c r="Z218" s="120"/>
      <c r="AA218" s="120"/>
      <c r="AB218" s="120"/>
    </row>
    <row r="219" spans="1:28" ht="15.75" customHeight="1" x14ac:dyDescent="0.55000000000000004">
      <c r="A219" s="123">
        <v>105</v>
      </c>
      <c r="B219" s="123" t="s">
        <v>1570</v>
      </c>
      <c r="C219" s="123" t="s">
        <v>845</v>
      </c>
      <c r="D219" s="124">
        <v>39485</v>
      </c>
      <c r="E219" s="102" t="s">
        <v>2232</v>
      </c>
      <c r="F219" s="102">
        <v>0</v>
      </c>
      <c r="G219" s="102">
        <v>2</v>
      </c>
      <c r="H219" s="102">
        <v>1</v>
      </c>
      <c r="I219" s="102">
        <v>0</v>
      </c>
      <c r="J219" s="102">
        <v>0</v>
      </c>
      <c r="K219" s="102">
        <v>0</v>
      </c>
      <c r="L219" s="102">
        <v>0</v>
      </c>
      <c r="M219" s="102">
        <v>0</v>
      </c>
      <c r="N219" s="102">
        <v>0</v>
      </c>
      <c r="O219" s="102">
        <v>0</v>
      </c>
      <c r="P219" s="102">
        <v>3</v>
      </c>
      <c r="Q219" s="102">
        <v>0</v>
      </c>
      <c r="R219" s="120"/>
      <c r="S219" s="120"/>
      <c r="T219" s="120"/>
      <c r="U219" s="120"/>
      <c r="V219" s="120"/>
      <c r="W219" s="120"/>
      <c r="X219" s="120"/>
      <c r="Y219" s="120"/>
      <c r="Z219" s="120"/>
      <c r="AA219" s="120"/>
      <c r="AB219" s="120"/>
    </row>
    <row r="220" spans="1:28" ht="15.75" customHeight="1" x14ac:dyDescent="0.55000000000000004">
      <c r="A220" s="123">
        <v>105</v>
      </c>
      <c r="B220" s="123" t="s">
        <v>1570</v>
      </c>
      <c r="C220" s="123" t="s">
        <v>845</v>
      </c>
      <c r="D220" s="124">
        <v>39485</v>
      </c>
      <c r="E220" s="102" t="s">
        <v>2233</v>
      </c>
      <c r="F220" s="102">
        <v>0</v>
      </c>
      <c r="G220" s="102">
        <v>2</v>
      </c>
      <c r="H220" s="102">
        <v>1</v>
      </c>
      <c r="I220" s="102">
        <v>0</v>
      </c>
      <c r="J220" s="102" t="s">
        <v>853</v>
      </c>
      <c r="K220" s="102">
        <v>0</v>
      </c>
      <c r="L220" s="102"/>
      <c r="M220" s="102"/>
      <c r="N220" s="102"/>
      <c r="O220" s="102"/>
      <c r="P220" s="102"/>
      <c r="Q220" s="102">
        <v>1</v>
      </c>
      <c r="R220" s="120"/>
      <c r="S220" s="120"/>
      <c r="T220" s="120"/>
      <c r="U220" s="120"/>
      <c r="V220" s="120"/>
      <c r="W220" s="120"/>
      <c r="X220" s="120"/>
      <c r="Y220" s="120"/>
      <c r="Z220" s="120"/>
      <c r="AA220" s="120"/>
      <c r="AB220" s="120"/>
    </row>
    <row r="221" spans="1:28" ht="15.75" customHeight="1" x14ac:dyDescent="0.55000000000000004">
      <c r="A221" s="125">
        <v>106</v>
      </c>
      <c r="B221" s="125" t="s">
        <v>1578</v>
      </c>
      <c r="C221" s="125" t="s">
        <v>1419</v>
      </c>
      <c r="D221" s="126">
        <v>39492</v>
      </c>
      <c r="E221" s="102" t="s">
        <v>2178</v>
      </c>
      <c r="F221" s="102">
        <v>0</v>
      </c>
      <c r="G221" s="102">
        <v>1</v>
      </c>
      <c r="H221" s="102">
        <v>1</v>
      </c>
      <c r="I221" s="102">
        <v>0</v>
      </c>
      <c r="J221" s="102">
        <v>0</v>
      </c>
      <c r="K221" s="102">
        <v>0</v>
      </c>
      <c r="L221" s="102">
        <v>1</v>
      </c>
      <c r="M221" s="102">
        <v>0</v>
      </c>
      <c r="N221" s="102">
        <v>0</v>
      </c>
      <c r="O221" s="102">
        <v>0</v>
      </c>
      <c r="P221" s="102">
        <v>0</v>
      </c>
      <c r="Q221" s="102">
        <v>0</v>
      </c>
      <c r="R221" s="120"/>
      <c r="S221" s="120"/>
      <c r="T221" s="120"/>
      <c r="U221" s="120"/>
      <c r="V221" s="120"/>
      <c r="W221" s="120"/>
      <c r="X221" s="120"/>
      <c r="Y221" s="120"/>
      <c r="Z221" s="120"/>
      <c r="AA221" s="120"/>
      <c r="AB221" s="120"/>
    </row>
    <row r="222" spans="1:28" ht="15.75" customHeight="1" x14ac:dyDescent="0.55000000000000004">
      <c r="A222" s="125">
        <v>106</v>
      </c>
      <c r="B222" s="125" t="s">
        <v>1578</v>
      </c>
      <c r="C222" s="125" t="s">
        <v>1419</v>
      </c>
      <c r="D222" s="126">
        <v>39492</v>
      </c>
      <c r="E222" s="102" t="s">
        <v>2234</v>
      </c>
      <c r="F222" s="102">
        <v>0</v>
      </c>
      <c r="G222" s="102">
        <v>1</v>
      </c>
      <c r="H222" s="102">
        <v>0</v>
      </c>
      <c r="I222" s="102">
        <v>0</v>
      </c>
      <c r="J222" s="102">
        <v>0</v>
      </c>
      <c r="K222" s="102">
        <v>1</v>
      </c>
      <c r="L222" s="102">
        <v>1</v>
      </c>
      <c r="M222" s="102">
        <v>0</v>
      </c>
      <c r="N222" s="102">
        <v>0</v>
      </c>
      <c r="O222" s="102">
        <v>0</v>
      </c>
      <c r="P222" s="102">
        <v>0</v>
      </c>
      <c r="Q222" s="102">
        <v>0</v>
      </c>
      <c r="R222" s="120"/>
      <c r="S222" s="120"/>
      <c r="T222" s="120"/>
      <c r="U222" s="120"/>
      <c r="V222" s="120"/>
      <c r="W222" s="120"/>
      <c r="X222" s="120"/>
      <c r="Y222" s="120"/>
      <c r="Z222" s="120"/>
      <c r="AA222" s="120"/>
      <c r="AB222" s="120"/>
    </row>
    <row r="223" spans="1:28" ht="15.75" customHeight="1" x14ac:dyDescent="0.55000000000000004">
      <c r="A223" s="125">
        <v>106</v>
      </c>
      <c r="B223" s="125" t="s">
        <v>1578</v>
      </c>
      <c r="C223" s="125" t="s">
        <v>1419</v>
      </c>
      <c r="D223" s="126">
        <v>39492</v>
      </c>
      <c r="E223" s="102" t="s">
        <v>2235</v>
      </c>
      <c r="F223" s="102">
        <v>1</v>
      </c>
      <c r="G223" s="102">
        <v>2</v>
      </c>
      <c r="H223" s="102">
        <v>1</v>
      </c>
      <c r="I223" s="102">
        <v>1</v>
      </c>
      <c r="J223" s="102" t="s">
        <v>853</v>
      </c>
      <c r="K223" s="102">
        <v>0</v>
      </c>
      <c r="L223" s="102">
        <v>1</v>
      </c>
      <c r="M223" s="102">
        <v>0</v>
      </c>
      <c r="N223" s="102">
        <v>0</v>
      </c>
      <c r="O223" s="102">
        <v>0</v>
      </c>
      <c r="P223" s="102">
        <v>0</v>
      </c>
      <c r="Q223" s="102">
        <v>0</v>
      </c>
      <c r="R223" s="120"/>
      <c r="S223" s="120"/>
      <c r="T223" s="120"/>
      <c r="U223" s="120"/>
      <c r="V223" s="120"/>
      <c r="W223" s="120"/>
      <c r="X223" s="120"/>
      <c r="Y223" s="120"/>
      <c r="Z223" s="120"/>
      <c r="AA223" s="120"/>
      <c r="AB223" s="120"/>
    </row>
    <row r="224" spans="1:28" ht="15.75" customHeight="1" x14ac:dyDescent="0.55000000000000004">
      <c r="A224" s="125">
        <v>106</v>
      </c>
      <c r="B224" s="125" t="s">
        <v>1578</v>
      </c>
      <c r="C224" s="125" t="s">
        <v>1419</v>
      </c>
      <c r="D224" s="126">
        <v>39492</v>
      </c>
      <c r="E224" s="102" t="s">
        <v>2236</v>
      </c>
      <c r="F224" s="102">
        <v>0</v>
      </c>
      <c r="G224" s="102">
        <v>1</v>
      </c>
      <c r="H224" s="102">
        <v>0</v>
      </c>
      <c r="I224" s="102">
        <v>0</v>
      </c>
      <c r="J224" s="102">
        <v>0</v>
      </c>
      <c r="K224" s="102">
        <v>1</v>
      </c>
      <c r="L224" s="102">
        <v>1</v>
      </c>
      <c r="M224" s="102">
        <v>0</v>
      </c>
      <c r="N224" s="102">
        <v>0</v>
      </c>
      <c r="O224" s="102">
        <v>0</v>
      </c>
      <c r="P224" s="102">
        <v>0</v>
      </c>
      <c r="Q224" s="102">
        <v>0</v>
      </c>
      <c r="R224" s="120"/>
      <c r="S224" s="120"/>
      <c r="T224" s="120"/>
      <c r="U224" s="120"/>
      <c r="V224" s="120"/>
      <c r="W224" s="120"/>
      <c r="X224" s="120"/>
      <c r="Y224" s="120"/>
      <c r="Z224" s="120"/>
      <c r="AA224" s="120"/>
      <c r="AB224" s="120"/>
    </row>
    <row r="225" spans="1:28" ht="15.75" customHeight="1" x14ac:dyDescent="0.55000000000000004">
      <c r="A225" s="127">
        <v>107</v>
      </c>
      <c r="B225" s="127" t="s">
        <v>1588</v>
      </c>
      <c r="C225" s="127" t="s">
        <v>1589</v>
      </c>
      <c r="D225" s="128">
        <v>39525</v>
      </c>
      <c r="E225" s="102" t="s">
        <v>2117</v>
      </c>
      <c r="F225" s="102">
        <v>0</v>
      </c>
      <c r="G225" s="102"/>
      <c r="H225" s="102">
        <v>1</v>
      </c>
      <c r="I225" s="102">
        <v>0</v>
      </c>
      <c r="J225" s="102">
        <v>0</v>
      </c>
      <c r="K225" s="102">
        <v>0</v>
      </c>
      <c r="L225" s="102">
        <v>0</v>
      </c>
      <c r="M225" s="102">
        <v>0</v>
      </c>
      <c r="N225" s="102">
        <v>0</v>
      </c>
      <c r="O225" s="102">
        <v>0</v>
      </c>
      <c r="P225" s="102">
        <v>1</v>
      </c>
      <c r="Q225" s="102">
        <v>0</v>
      </c>
      <c r="R225" s="120"/>
      <c r="S225" s="120"/>
      <c r="T225" s="120"/>
      <c r="U225" s="120"/>
      <c r="V225" s="120"/>
      <c r="W225" s="120"/>
      <c r="X225" s="120"/>
      <c r="Y225" s="120"/>
      <c r="Z225" s="120"/>
      <c r="AA225" s="120"/>
      <c r="AB225" s="120"/>
    </row>
    <row r="226" spans="1:28" ht="15.75" customHeight="1" x14ac:dyDescent="0.55000000000000004">
      <c r="A226" s="118">
        <v>108</v>
      </c>
      <c r="B226" s="118" t="s">
        <v>1596</v>
      </c>
      <c r="C226" s="118" t="s">
        <v>1597</v>
      </c>
      <c r="D226" s="119">
        <v>39624</v>
      </c>
      <c r="E226" s="102" t="s">
        <v>2237</v>
      </c>
      <c r="F226" s="102">
        <v>0</v>
      </c>
      <c r="G226" s="102">
        <v>2</v>
      </c>
      <c r="H226" s="102">
        <v>1</v>
      </c>
      <c r="I226" s="102">
        <v>0</v>
      </c>
      <c r="J226" s="102">
        <v>0</v>
      </c>
      <c r="K226" s="102">
        <v>1</v>
      </c>
      <c r="L226" s="102">
        <v>3</v>
      </c>
      <c r="M226" s="102">
        <v>0</v>
      </c>
      <c r="N226" s="102">
        <v>0</v>
      </c>
      <c r="O226" s="102">
        <v>0</v>
      </c>
      <c r="P226" s="102">
        <v>0</v>
      </c>
      <c r="Q226" s="102">
        <v>0</v>
      </c>
      <c r="R226" s="120"/>
      <c r="S226" s="120"/>
      <c r="T226" s="120"/>
      <c r="U226" s="120"/>
      <c r="V226" s="120"/>
      <c r="W226" s="120"/>
      <c r="X226" s="120"/>
      <c r="Y226" s="120"/>
      <c r="Z226" s="120"/>
      <c r="AA226" s="120"/>
      <c r="AB226" s="120"/>
    </row>
    <row r="227" spans="1:28" ht="15.75" customHeight="1" x14ac:dyDescent="0.55000000000000004">
      <c r="A227" s="121">
        <v>109</v>
      </c>
      <c r="B227" s="121" t="s">
        <v>1601</v>
      </c>
      <c r="C227" s="121" t="s">
        <v>1602</v>
      </c>
      <c r="D227" s="122">
        <v>39693</v>
      </c>
      <c r="E227" s="102" t="s">
        <v>2238</v>
      </c>
      <c r="F227" s="102">
        <v>2</v>
      </c>
      <c r="G227" s="102"/>
      <c r="H227" s="102">
        <v>1</v>
      </c>
      <c r="I227" s="102">
        <v>0</v>
      </c>
      <c r="J227" s="102">
        <v>0</v>
      </c>
      <c r="K227" s="102">
        <v>0</v>
      </c>
      <c r="L227" s="102">
        <v>0</v>
      </c>
      <c r="M227" s="102">
        <v>0</v>
      </c>
      <c r="N227" s="102">
        <v>0</v>
      </c>
      <c r="O227" s="102">
        <v>0</v>
      </c>
      <c r="P227" s="102">
        <v>2</v>
      </c>
      <c r="Q227" s="102">
        <v>0</v>
      </c>
      <c r="R227" s="120"/>
      <c r="S227" s="120"/>
      <c r="T227" s="120"/>
      <c r="U227" s="120"/>
      <c r="V227" s="120"/>
      <c r="W227" s="120"/>
      <c r="X227" s="120"/>
      <c r="Y227" s="120"/>
      <c r="Z227" s="120"/>
      <c r="AA227" s="120"/>
      <c r="AB227" s="120"/>
    </row>
    <row r="228" spans="1:28" ht="15.75" customHeight="1" x14ac:dyDescent="0.55000000000000004">
      <c r="A228" s="121">
        <v>109</v>
      </c>
      <c r="B228" s="121" t="s">
        <v>1601</v>
      </c>
      <c r="C228" s="121" t="s">
        <v>1602</v>
      </c>
      <c r="D228" s="122">
        <v>39693</v>
      </c>
      <c r="E228" s="102" t="s">
        <v>2074</v>
      </c>
      <c r="F228" s="102">
        <v>0</v>
      </c>
      <c r="G228" s="102"/>
      <c r="H228" s="102">
        <v>1</v>
      </c>
      <c r="I228" s="102">
        <v>0</v>
      </c>
      <c r="J228" s="102">
        <v>0</v>
      </c>
      <c r="K228" s="102">
        <v>0</v>
      </c>
      <c r="L228" s="102">
        <v>0</v>
      </c>
      <c r="M228" s="102">
        <v>0</v>
      </c>
      <c r="N228" s="102">
        <v>0</v>
      </c>
      <c r="O228" s="102">
        <v>0</v>
      </c>
      <c r="P228" s="102">
        <v>2</v>
      </c>
      <c r="Q228" s="102">
        <v>0</v>
      </c>
      <c r="R228" s="120"/>
      <c r="S228" s="120"/>
      <c r="T228" s="120"/>
      <c r="U228" s="120"/>
      <c r="V228" s="120"/>
      <c r="W228" s="120"/>
      <c r="X228" s="120"/>
      <c r="Y228" s="120"/>
      <c r="Z228" s="120"/>
      <c r="AA228" s="120"/>
      <c r="AB228" s="120"/>
    </row>
    <row r="229" spans="1:28" ht="15.75" customHeight="1" x14ac:dyDescent="0.55000000000000004">
      <c r="A229" s="123">
        <v>110</v>
      </c>
      <c r="B229" s="123" t="s">
        <v>1606</v>
      </c>
      <c r="C229" s="123" t="s">
        <v>859</v>
      </c>
      <c r="D229" s="124">
        <v>39901</v>
      </c>
      <c r="E229" s="102" t="s">
        <v>2088</v>
      </c>
      <c r="F229" s="102">
        <v>0</v>
      </c>
      <c r="G229" s="102">
        <v>1</v>
      </c>
      <c r="H229" s="102">
        <v>0</v>
      </c>
      <c r="I229" s="102">
        <v>0</v>
      </c>
      <c r="J229" s="102" t="s">
        <v>853</v>
      </c>
      <c r="K229" s="102">
        <v>1</v>
      </c>
      <c r="L229" s="102">
        <v>3</v>
      </c>
      <c r="M229" s="102">
        <v>0</v>
      </c>
      <c r="N229" s="102">
        <v>0</v>
      </c>
      <c r="O229" s="102">
        <v>0</v>
      </c>
      <c r="P229" s="102">
        <v>0</v>
      </c>
      <c r="Q229" s="102">
        <v>0</v>
      </c>
      <c r="R229" s="120"/>
      <c r="S229" s="120"/>
      <c r="T229" s="120"/>
      <c r="U229" s="120"/>
      <c r="V229" s="120"/>
      <c r="W229" s="120"/>
      <c r="X229" s="120"/>
      <c r="Y229" s="120"/>
      <c r="Z229" s="120"/>
      <c r="AA229" s="120"/>
      <c r="AB229" s="120"/>
    </row>
    <row r="230" spans="1:28" ht="15.75" customHeight="1" x14ac:dyDescent="0.55000000000000004">
      <c r="A230" s="123">
        <v>110</v>
      </c>
      <c r="B230" s="123" t="s">
        <v>1606</v>
      </c>
      <c r="C230" s="123" t="s">
        <v>859</v>
      </c>
      <c r="D230" s="124">
        <v>39901</v>
      </c>
      <c r="E230" s="102" t="s">
        <v>2239</v>
      </c>
      <c r="F230" s="102">
        <v>1</v>
      </c>
      <c r="G230" s="102">
        <v>2</v>
      </c>
      <c r="H230" s="102">
        <v>1</v>
      </c>
      <c r="I230" s="102">
        <v>0</v>
      </c>
      <c r="J230" s="102" t="s">
        <v>853</v>
      </c>
      <c r="K230" s="102">
        <v>1</v>
      </c>
      <c r="L230" s="102">
        <v>3</v>
      </c>
      <c r="M230" s="102">
        <v>0</v>
      </c>
      <c r="N230" s="102">
        <v>0</v>
      </c>
      <c r="O230" s="102">
        <v>0</v>
      </c>
      <c r="P230" s="102">
        <v>0</v>
      </c>
      <c r="Q230" s="102">
        <v>0</v>
      </c>
      <c r="R230" s="120"/>
      <c r="S230" s="120"/>
      <c r="T230" s="120"/>
      <c r="U230" s="120"/>
      <c r="V230" s="120"/>
      <c r="W230" s="120"/>
      <c r="X230" s="120"/>
      <c r="Y230" s="120"/>
      <c r="Z230" s="120"/>
      <c r="AA230" s="120"/>
      <c r="AB230" s="120"/>
    </row>
    <row r="231" spans="1:28" ht="15.75" customHeight="1" x14ac:dyDescent="0.55000000000000004">
      <c r="A231" s="123">
        <v>110</v>
      </c>
      <c r="B231" s="123" t="s">
        <v>1606</v>
      </c>
      <c r="C231" s="123" t="s">
        <v>859</v>
      </c>
      <c r="D231" s="124">
        <v>39901</v>
      </c>
      <c r="E231" s="102" t="s">
        <v>2118</v>
      </c>
      <c r="F231" s="102">
        <v>2</v>
      </c>
      <c r="G231" s="102">
        <v>0</v>
      </c>
      <c r="H231" s="102">
        <v>1</v>
      </c>
      <c r="I231" s="102">
        <v>0</v>
      </c>
      <c r="J231" s="102">
        <v>0</v>
      </c>
      <c r="K231" s="102">
        <v>1</v>
      </c>
      <c r="L231" s="102">
        <v>3</v>
      </c>
      <c r="M231" s="102">
        <v>0</v>
      </c>
      <c r="N231" s="102">
        <v>0</v>
      </c>
      <c r="O231" s="102">
        <v>0</v>
      </c>
      <c r="P231" s="102">
        <v>0</v>
      </c>
      <c r="Q231" s="102">
        <v>0</v>
      </c>
      <c r="R231" s="120"/>
      <c r="S231" s="120"/>
      <c r="T231" s="120"/>
      <c r="U231" s="120"/>
      <c r="V231" s="120"/>
      <c r="W231" s="120"/>
      <c r="X231" s="120"/>
      <c r="Y231" s="120"/>
      <c r="Z231" s="120"/>
      <c r="AA231" s="120"/>
      <c r="AB231" s="120"/>
    </row>
    <row r="232" spans="1:28" ht="15.75" customHeight="1" x14ac:dyDescent="0.55000000000000004">
      <c r="A232" s="123">
        <v>110</v>
      </c>
      <c r="B232" s="123" t="s">
        <v>1606</v>
      </c>
      <c r="C232" s="123" t="s">
        <v>859</v>
      </c>
      <c r="D232" s="124">
        <v>39901</v>
      </c>
      <c r="E232" s="102" t="s">
        <v>2240</v>
      </c>
      <c r="F232" s="102">
        <v>0</v>
      </c>
      <c r="G232" s="102">
        <v>0</v>
      </c>
      <c r="H232" s="102">
        <v>0</v>
      </c>
      <c r="I232" s="102">
        <v>0</v>
      </c>
      <c r="J232" s="102">
        <v>0</v>
      </c>
      <c r="K232" s="102">
        <v>1</v>
      </c>
      <c r="L232" s="102">
        <v>3</v>
      </c>
      <c r="M232" s="102">
        <v>0</v>
      </c>
      <c r="N232" s="102">
        <v>0</v>
      </c>
      <c r="O232" s="102">
        <v>0</v>
      </c>
      <c r="P232" s="102">
        <v>0</v>
      </c>
      <c r="Q232" s="102">
        <v>0</v>
      </c>
      <c r="R232" s="120"/>
      <c r="S232" s="120"/>
      <c r="T232" s="120"/>
      <c r="U232" s="120"/>
      <c r="V232" s="120"/>
      <c r="W232" s="120"/>
      <c r="X232" s="120"/>
      <c r="Y232" s="120"/>
      <c r="Z232" s="120"/>
      <c r="AA232" s="120"/>
      <c r="AB232" s="120"/>
    </row>
    <row r="233" spans="1:28" ht="15.75" customHeight="1" x14ac:dyDescent="0.55000000000000004">
      <c r="A233" s="125">
        <v>111</v>
      </c>
      <c r="B233" s="125" t="s">
        <v>1612</v>
      </c>
      <c r="C233" s="125" t="s">
        <v>1613</v>
      </c>
      <c r="D233" s="126">
        <v>39906</v>
      </c>
      <c r="E233" s="102" t="s">
        <v>2241</v>
      </c>
      <c r="F233" s="102">
        <v>0</v>
      </c>
      <c r="G233" s="102">
        <v>1</v>
      </c>
      <c r="H233" s="102">
        <v>1</v>
      </c>
      <c r="I233" s="102">
        <v>1</v>
      </c>
      <c r="J233" s="102">
        <v>1</v>
      </c>
      <c r="K233" s="102">
        <v>1</v>
      </c>
      <c r="L233" s="102">
        <v>1</v>
      </c>
      <c r="M233" s="102">
        <v>0</v>
      </c>
      <c r="N233" s="102">
        <v>0</v>
      </c>
      <c r="O233" s="102">
        <v>0</v>
      </c>
      <c r="P233" s="102">
        <v>0</v>
      </c>
      <c r="Q233" s="102">
        <v>0</v>
      </c>
      <c r="R233" s="120"/>
      <c r="S233" s="120"/>
      <c r="T233" s="120"/>
      <c r="U233" s="120"/>
      <c r="V233" s="120"/>
      <c r="W233" s="120"/>
      <c r="X233" s="120"/>
      <c r="Y233" s="120"/>
      <c r="Z233" s="120"/>
      <c r="AA233" s="120"/>
      <c r="AB233" s="120"/>
    </row>
    <row r="234" spans="1:28" ht="15.75" customHeight="1" x14ac:dyDescent="0.55000000000000004">
      <c r="A234" s="125">
        <v>111</v>
      </c>
      <c r="B234" s="125" t="s">
        <v>1612</v>
      </c>
      <c r="C234" s="125" t="s">
        <v>1613</v>
      </c>
      <c r="D234" s="126">
        <v>39906</v>
      </c>
      <c r="E234" s="102" t="s">
        <v>2242</v>
      </c>
      <c r="F234" s="102">
        <v>0</v>
      </c>
      <c r="G234" s="102">
        <v>2</v>
      </c>
      <c r="H234" s="102">
        <v>1</v>
      </c>
      <c r="I234" s="102">
        <v>0</v>
      </c>
      <c r="J234" s="102">
        <v>1</v>
      </c>
      <c r="K234" s="102">
        <v>0</v>
      </c>
      <c r="L234" s="102">
        <v>1</v>
      </c>
      <c r="M234" s="102">
        <v>0</v>
      </c>
      <c r="N234" s="102">
        <v>0</v>
      </c>
      <c r="O234" s="102">
        <v>0</v>
      </c>
      <c r="P234" s="102">
        <v>0</v>
      </c>
      <c r="Q234" s="102">
        <v>0</v>
      </c>
      <c r="R234" s="120"/>
      <c r="S234" s="120"/>
      <c r="T234" s="120"/>
      <c r="U234" s="120"/>
      <c r="V234" s="120"/>
      <c r="W234" s="120"/>
      <c r="X234" s="120"/>
      <c r="Y234" s="120"/>
      <c r="Z234" s="120"/>
      <c r="AA234" s="120"/>
      <c r="AB234" s="120"/>
    </row>
    <row r="235" spans="1:28" ht="15.75" customHeight="1" x14ac:dyDescent="0.55000000000000004">
      <c r="A235" s="127">
        <v>112</v>
      </c>
      <c r="B235" s="127" t="s">
        <v>1619</v>
      </c>
      <c r="C235" s="127" t="s">
        <v>1620</v>
      </c>
      <c r="D235" s="128">
        <v>40118</v>
      </c>
      <c r="E235" s="102" t="s">
        <v>2243</v>
      </c>
      <c r="F235" s="102">
        <v>3</v>
      </c>
      <c r="G235" s="102"/>
      <c r="H235" s="102">
        <v>1</v>
      </c>
      <c r="I235" s="102"/>
      <c r="J235" s="102"/>
      <c r="K235" s="102"/>
      <c r="L235" s="102"/>
      <c r="M235" s="102"/>
      <c r="N235" s="102"/>
      <c r="O235" s="102"/>
      <c r="P235" s="102"/>
      <c r="Q235" s="102">
        <v>1</v>
      </c>
      <c r="R235" s="120"/>
      <c r="S235" s="120"/>
      <c r="T235" s="120"/>
      <c r="U235" s="120"/>
      <c r="V235" s="120"/>
      <c r="W235" s="120"/>
      <c r="X235" s="120"/>
      <c r="Y235" s="120"/>
      <c r="Z235" s="120"/>
      <c r="AA235" s="120"/>
      <c r="AB235" s="120"/>
    </row>
    <row r="236" spans="1:28" ht="15.75" customHeight="1" x14ac:dyDescent="0.55000000000000004">
      <c r="A236" s="118">
        <v>113</v>
      </c>
      <c r="B236" s="118" t="s">
        <v>1623</v>
      </c>
      <c r="C236" s="118" t="s">
        <v>1624</v>
      </c>
      <c r="D236" s="119">
        <v>40122</v>
      </c>
      <c r="E236" s="102" t="s">
        <v>2244</v>
      </c>
      <c r="F236" s="102">
        <v>0</v>
      </c>
      <c r="G236" s="102">
        <v>2</v>
      </c>
      <c r="H236" s="102">
        <v>1</v>
      </c>
      <c r="I236" s="102">
        <v>1</v>
      </c>
      <c r="J236" s="102">
        <v>1</v>
      </c>
      <c r="K236" s="102">
        <v>1</v>
      </c>
      <c r="L236" s="102">
        <v>1</v>
      </c>
      <c r="M236" s="102">
        <v>0</v>
      </c>
      <c r="N236" s="102">
        <v>0</v>
      </c>
      <c r="O236" s="102">
        <v>0</v>
      </c>
      <c r="P236" s="102">
        <v>0</v>
      </c>
      <c r="Q236" s="102">
        <v>0</v>
      </c>
      <c r="R236" s="120"/>
      <c r="S236" s="120"/>
      <c r="T236" s="120"/>
      <c r="U236" s="120"/>
      <c r="V236" s="120"/>
      <c r="W236" s="120"/>
      <c r="X236" s="120"/>
      <c r="Y236" s="120"/>
      <c r="Z236" s="120"/>
      <c r="AA236" s="120"/>
      <c r="AB236" s="120"/>
    </row>
    <row r="237" spans="1:28" ht="15.75" customHeight="1" x14ac:dyDescent="0.55000000000000004">
      <c r="A237" s="118">
        <v>113</v>
      </c>
      <c r="B237" s="118" t="s">
        <v>1623</v>
      </c>
      <c r="C237" s="118" t="s">
        <v>1624</v>
      </c>
      <c r="D237" s="119">
        <v>40122</v>
      </c>
      <c r="E237" s="102" t="s">
        <v>2059</v>
      </c>
      <c r="F237" s="102">
        <v>0</v>
      </c>
      <c r="G237" s="102">
        <v>1</v>
      </c>
      <c r="H237" s="102">
        <v>0</v>
      </c>
      <c r="I237" s="102">
        <v>0</v>
      </c>
      <c r="J237" s="102" t="s">
        <v>853</v>
      </c>
      <c r="K237" s="102"/>
      <c r="L237" s="102"/>
      <c r="M237" s="102"/>
      <c r="N237" s="102"/>
      <c r="O237" s="102"/>
      <c r="P237" s="102"/>
      <c r="Q237" s="102">
        <v>1</v>
      </c>
      <c r="R237" s="120"/>
      <c r="S237" s="120"/>
      <c r="T237" s="120"/>
      <c r="U237" s="120"/>
      <c r="V237" s="120"/>
      <c r="W237" s="120"/>
      <c r="X237" s="120"/>
      <c r="Y237" s="120"/>
      <c r="Z237" s="120"/>
      <c r="AA237" s="120"/>
      <c r="AB237" s="120"/>
    </row>
    <row r="238" spans="1:28" ht="15.75" customHeight="1" x14ac:dyDescent="0.55000000000000004">
      <c r="A238" s="121">
        <v>114</v>
      </c>
      <c r="B238" s="121" t="s">
        <v>1630</v>
      </c>
      <c r="C238" s="121" t="s">
        <v>1631</v>
      </c>
      <c r="D238" s="122">
        <v>40146</v>
      </c>
      <c r="E238" s="102" t="s">
        <v>2245</v>
      </c>
      <c r="F238" s="102">
        <v>0</v>
      </c>
      <c r="G238" s="102">
        <v>1</v>
      </c>
      <c r="H238" s="102">
        <v>1</v>
      </c>
      <c r="I238" s="102">
        <v>0</v>
      </c>
      <c r="J238" s="102" t="s">
        <v>853</v>
      </c>
      <c r="K238" s="102"/>
      <c r="L238" s="102"/>
      <c r="M238" s="102"/>
      <c r="N238" s="102"/>
      <c r="O238" s="102"/>
      <c r="P238" s="102"/>
      <c r="Q238" s="102">
        <v>1</v>
      </c>
      <c r="R238" s="120"/>
      <c r="S238" s="120"/>
      <c r="T238" s="120"/>
      <c r="U238" s="120"/>
      <c r="V238" s="120"/>
      <c r="W238" s="120"/>
      <c r="X238" s="120"/>
      <c r="Y238" s="120"/>
      <c r="Z238" s="120"/>
      <c r="AA238" s="120"/>
      <c r="AB238" s="120"/>
    </row>
    <row r="239" spans="1:28" ht="15.75" customHeight="1" x14ac:dyDescent="0.55000000000000004">
      <c r="A239" s="121">
        <v>114</v>
      </c>
      <c r="B239" s="121" t="s">
        <v>1630</v>
      </c>
      <c r="C239" s="121" t="s">
        <v>1631</v>
      </c>
      <c r="D239" s="122">
        <v>40146</v>
      </c>
      <c r="E239" s="102" t="s">
        <v>2246</v>
      </c>
      <c r="F239" s="102">
        <v>0</v>
      </c>
      <c r="G239" s="102">
        <v>1</v>
      </c>
      <c r="H239" s="102">
        <v>1</v>
      </c>
      <c r="I239" s="102">
        <v>0</v>
      </c>
      <c r="J239" s="102">
        <v>0</v>
      </c>
      <c r="K239" s="102"/>
      <c r="L239" s="102"/>
      <c r="M239" s="102"/>
      <c r="N239" s="102"/>
      <c r="O239" s="102"/>
      <c r="P239" s="102"/>
      <c r="Q239" s="102">
        <v>1</v>
      </c>
      <c r="R239" s="120"/>
      <c r="S239" s="120"/>
      <c r="T239" s="120"/>
      <c r="U239" s="120"/>
      <c r="V239" s="120"/>
      <c r="W239" s="120"/>
      <c r="X239" s="120"/>
      <c r="Y239" s="120"/>
      <c r="Z239" s="120"/>
      <c r="AA239" s="120"/>
      <c r="AB239" s="120"/>
    </row>
    <row r="240" spans="1:28" ht="15.75" customHeight="1" x14ac:dyDescent="0.55000000000000004">
      <c r="A240" s="121">
        <v>114</v>
      </c>
      <c r="B240" s="121" t="s">
        <v>1630</v>
      </c>
      <c r="C240" s="121" t="s">
        <v>1631</v>
      </c>
      <c r="D240" s="122">
        <v>40146</v>
      </c>
      <c r="E240" s="102" t="s">
        <v>2247</v>
      </c>
      <c r="F240" s="102">
        <v>0</v>
      </c>
      <c r="G240" s="102">
        <v>2</v>
      </c>
      <c r="H240" s="102">
        <v>1</v>
      </c>
      <c r="I240" s="102">
        <v>0</v>
      </c>
      <c r="J240" s="102">
        <v>0</v>
      </c>
      <c r="K240" s="102">
        <v>0</v>
      </c>
      <c r="L240" s="102">
        <v>0</v>
      </c>
      <c r="M240" s="102">
        <v>0</v>
      </c>
      <c r="N240" s="102">
        <v>0</v>
      </c>
      <c r="O240" s="102">
        <v>0</v>
      </c>
      <c r="P240" s="102">
        <v>3</v>
      </c>
      <c r="Q240" s="102">
        <v>0</v>
      </c>
      <c r="R240" s="120"/>
      <c r="S240" s="120"/>
      <c r="T240" s="120"/>
      <c r="U240" s="120"/>
      <c r="V240" s="120"/>
      <c r="W240" s="120"/>
      <c r="X240" s="120"/>
      <c r="Y240" s="120"/>
      <c r="Z240" s="120"/>
      <c r="AA240" s="120"/>
      <c r="AB240" s="120"/>
    </row>
    <row r="241" spans="1:28" ht="15.75" customHeight="1" x14ac:dyDescent="0.55000000000000004">
      <c r="A241" s="123">
        <v>115</v>
      </c>
      <c r="B241" s="123" t="s">
        <v>1641</v>
      </c>
      <c r="C241" s="123" t="s">
        <v>1642</v>
      </c>
      <c r="D241" s="124">
        <v>40271</v>
      </c>
      <c r="E241" s="102" t="s">
        <v>2153</v>
      </c>
      <c r="F241" s="102">
        <v>0</v>
      </c>
      <c r="G241" s="102">
        <v>1</v>
      </c>
      <c r="H241" s="102">
        <v>1</v>
      </c>
      <c r="I241" s="102">
        <v>0</v>
      </c>
      <c r="J241" s="102">
        <v>1</v>
      </c>
      <c r="K241" s="102"/>
      <c r="L241" s="102"/>
      <c r="M241" s="102"/>
      <c r="N241" s="102"/>
      <c r="O241" s="102"/>
      <c r="P241" s="102"/>
      <c r="Q241" s="102">
        <v>1</v>
      </c>
      <c r="R241" s="120"/>
      <c r="S241" s="120"/>
      <c r="T241" s="120"/>
      <c r="U241" s="120"/>
      <c r="V241" s="120"/>
      <c r="W241" s="120"/>
      <c r="X241" s="120"/>
      <c r="Y241" s="120"/>
      <c r="Z241" s="120"/>
      <c r="AA241" s="120"/>
      <c r="AB241" s="120"/>
    </row>
    <row r="242" spans="1:28" ht="15.75" customHeight="1" x14ac:dyDescent="0.55000000000000004">
      <c r="A242" s="125">
        <v>116</v>
      </c>
      <c r="B242" s="125" t="s">
        <v>1644</v>
      </c>
      <c r="C242" s="125" t="s">
        <v>1645</v>
      </c>
      <c r="D242" s="126">
        <v>40335</v>
      </c>
      <c r="E242" s="102" t="s">
        <v>2248</v>
      </c>
      <c r="F242" s="102">
        <v>0</v>
      </c>
      <c r="G242" s="102">
        <v>2</v>
      </c>
      <c r="H242" s="102">
        <v>1</v>
      </c>
      <c r="I242" s="102">
        <v>0</v>
      </c>
      <c r="J242" s="102">
        <v>0</v>
      </c>
      <c r="K242" s="102">
        <v>1</v>
      </c>
      <c r="L242" s="102"/>
      <c r="M242" s="102"/>
      <c r="N242" s="102"/>
      <c r="O242" s="102"/>
      <c r="P242" s="102"/>
      <c r="Q242" s="102">
        <v>1</v>
      </c>
      <c r="R242" s="120"/>
      <c r="S242" s="120"/>
      <c r="T242" s="120"/>
      <c r="U242" s="120"/>
      <c r="V242" s="120"/>
      <c r="W242" s="120"/>
      <c r="X242" s="120"/>
      <c r="Y242" s="120"/>
      <c r="Z242" s="120"/>
      <c r="AA242" s="120"/>
      <c r="AB242" s="120"/>
    </row>
    <row r="243" spans="1:28" ht="15.75" customHeight="1" x14ac:dyDescent="0.55000000000000004">
      <c r="A243" s="127">
        <v>117</v>
      </c>
      <c r="B243" s="127" t="s">
        <v>1570</v>
      </c>
      <c r="C243" s="127" t="s">
        <v>1649</v>
      </c>
      <c r="D243" s="128">
        <v>40393</v>
      </c>
      <c r="E243" s="102" t="s">
        <v>2249</v>
      </c>
      <c r="F243" s="102">
        <v>0</v>
      </c>
      <c r="G243" s="102">
        <v>1</v>
      </c>
      <c r="H243" s="102">
        <v>1</v>
      </c>
      <c r="I243" s="102">
        <v>0</v>
      </c>
      <c r="J243" s="102">
        <v>0</v>
      </c>
      <c r="K243" s="102">
        <v>1</v>
      </c>
      <c r="L243" s="102">
        <v>1</v>
      </c>
      <c r="M243" s="102">
        <v>0</v>
      </c>
      <c r="N243" s="102">
        <v>0</v>
      </c>
      <c r="O243" s="102">
        <v>0</v>
      </c>
      <c r="P243" s="102">
        <v>0</v>
      </c>
      <c r="Q243" s="102">
        <v>0</v>
      </c>
      <c r="R243" s="120"/>
      <c r="S243" s="120"/>
      <c r="T243" s="120"/>
      <c r="U243" s="120"/>
      <c r="V243" s="120"/>
      <c r="W243" s="120"/>
      <c r="X243" s="120"/>
      <c r="Y243" s="120"/>
      <c r="Z243" s="120"/>
      <c r="AA243" s="120"/>
      <c r="AB243" s="120"/>
    </row>
    <row r="244" spans="1:28" ht="15.75" customHeight="1" x14ac:dyDescent="0.55000000000000004">
      <c r="A244" s="127">
        <v>117</v>
      </c>
      <c r="B244" s="127" t="s">
        <v>1570</v>
      </c>
      <c r="C244" s="127" t="s">
        <v>1649</v>
      </c>
      <c r="D244" s="128">
        <v>40393</v>
      </c>
      <c r="E244" s="102" t="s">
        <v>2249</v>
      </c>
      <c r="F244" s="102">
        <v>0</v>
      </c>
      <c r="G244" s="102">
        <v>1</v>
      </c>
      <c r="H244" s="102">
        <v>1</v>
      </c>
      <c r="I244" s="102">
        <v>0</v>
      </c>
      <c r="J244" s="102">
        <v>0</v>
      </c>
      <c r="K244" s="102"/>
      <c r="L244" s="102">
        <v>1</v>
      </c>
      <c r="M244" s="102">
        <v>0</v>
      </c>
      <c r="N244" s="102">
        <v>0</v>
      </c>
      <c r="O244" s="102">
        <v>0</v>
      </c>
      <c r="P244" s="102">
        <v>0</v>
      </c>
      <c r="Q244" s="102">
        <v>0</v>
      </c>
      <c r="R244" s="120"/>
      <c r="S244" s="120"/>
      <c r="T244" s="120"/>
      <c r="U244" s="120"/>
      <c r="V244" s="120"/>
      <c r="W244" s="120"/>
      <c r="X244" s="120"/>
      <c r="Y244" s="120"/>
      <c r="Z244" s="120"/>
      <c r="AA244" s="120"/>
      <c r="AB244" s="120"/>
    </row>
    <row r="245" spans="1:28" ht="15.75" customHeight="1" x14ac:dyDescent="0.55000000000000004">
      <c r="A245" s="127">
        <v>117</v>
      </c>
      <c r="B245" s="127" t="s">
        <v>1570</v>
      </c>
      <c r="C245" s="127" t="s">
        <v>1649</v>
      </c>
      <c r="D245" s="128">
        <v>40393</v>
      </c>
      <c r="E245" s="102" t="s">
        <v>2163</v>
      </c>
      <c r="F245" s="102">
        <v>1</v>
      </c>
      <c r="G245" s="102"/>
      <c r="H245" s="102">
        <v>0</v>
      </c>
      <c r="I245" s="102">
        <v>0</v>
      </c>
      <c r="J245" s="102" t="s">
        <v>853</v>
      </c>
      <c r="K245" s="102"/>
      <c r="L245" s="102">
        <v>1</v>
      </c>
      <c r="M245" s="102">
        <v>0</v>
      </c>
      <c r="N245" s="102">
        <v>0</v>
      </c>
      <c r="O245" s="102">
        <v>0</v>
      </c>
      <c r="P245" s="102">
        <v>0</v>
      </c>
      <c r="Q245" s="102">
        <v>0</v>
      </c>
      <c r="R245" s="120"/>
      <c r="S245" s="120"/>
      <c r="T245" s="120"/>
      <c r="U245" s="120"/>
      <c r="V245" s="120"/>
      <c r="W245" s="120"/>
      <c r="X245" s="120"/>
      <c r="Y245" s="120"/>
      <c r="Z245" s="120"/>
      <c r="AA245" s="120"/>
      <c r="AB245" s="120"/>
    </row>
    <row r="246" spans="1:28" ht="15.75" customHeight="1" x14ac:dyDescent="0.55000000000000004">
      <c r="A246" s="118">
        <v>118</v>
      </c>
      <c r="B246" s="118" t="s">
        <v>1654</v>
      </c>
      <c r="C246" s="118" t="s">
        <v>1655</v>
      </c>
      <c r="D246" s="119">
        <v>40404</v>
      </c>
      <c r="E246" s="102" t="s">
        <v>2159</v>
      </c>
      <c r="F246" s="102">
        <v>0</v>
      </c>
      <c r="G246" s="102">
        <v>1</v>
      </c>
      <c r="H246" s="102">
        <v>1</v>
      </c>
      <c r="I246" s="102">
        <v>0</v>
      </c>
      <c r="J246" s="102">
        <v>0</v>
      </c>
      <c r="K246" s="102"/>
      <c r="L246" s="102"/>
      <c r="M246" s="102"/>
      <c r="N246" s="102"/>
      <c r="O246" s="102"/>
      <c r="P246" s="102"/>
      <c r="Q246" s="102">
        <v>1</v>
      </c>
      <c r="R246" s="120"/>
      <c r="S246" s="120"/>
      <c r="T246" s="120"/>
      <c r="U246" s="120"/>
      <c r="V246" s="120"/>
      <c r="W246" s="120"/>
      <c r="X246" s="120"/>
      <c r="Y246" s="120"/>
      <c r="Z246" s="120"/>
      <c r="AA246" s="120"/>
      <c r="AB246" s="120"/>
    </row>
    <row r="247" spans="1:28" ht="15.75" customHeight="1" x14ac:dyDescent="0.55000000000000004">
      <c r="A247" s="121">
        <v>119</v>
      </c>
      <c r="B247" s="121" t="s">
        <v>1659</v>
      </c>
      <c r="C247" s="121" t="s">
        <v>1660</v>
      </c>
      <c r="D247" s="122">
        <v>40432</v>
      </c>
      <c r="E247" s="102" t="s">
        <v>2142</v>
      </c>
      <c r="F247" s="102">
        <v>1</v>
      </c>
      <c r="G247" s="102">
        <v>2</v>
      </c>
      <c r="H247" s="102">
        <v>1</v>
      </c>
      <c r="I247" s="102">
        <v>0</v>
      </c>
      <c r="J247" s="102" t="s">
        <v>853</v>
      </c>
      <c r="K247" s="102">
        <v>1</v>
      </c>
      <c r="L247" s="102"/>
      <c r="M247" s="102"/>
      <c r="N247" s="102"/>
      <c r="O247" s="102"/>
      <c r="P247" s="102"/>
      <c r="Q247" s="102">
        <v>1</v>
      </c>
      <c r="R247" s="120"/>
      <c r="S247" s="120"/>
      <c r="T247" s="120"/>
      <c r="U247" s="120"/>
      <c r="V247" s="120"/>
      <c r="W247" s="120"/>
      <c r="X247" s="120"/>
      <c r="Y247" s="120"/>
      <c r="Z247" s="120"/>
      <c r="AA247" s="120"/>
      <c r="AB247" s="120"/>
    </row>
    <row r="248" spans="1:28" ht="15.75" customHeight="1" x14ac:dyDescent="0.55000000000000004">
      <c r="A248" s="123">
        <v>120</v>
      </c>
      <c r="B248" s="123" t="s">
        <v>1664</v>
      </c>
      <c r="C248" s="123" t="s">
        <v>1665</v>
      </c>
      <c r="D248" s="124">
        <v>40551</v>
      </c>
      <c r="E248" s="102" t="s">
        <v>2178</v>
      </c>
      <c r="F248" s="102">
        <v>0</v>
      </c>
      <c r="G248" s="102">
        <v>1</v>
      </c>
      <c r="H248" s="102">
        <v>1</v>
      </c>
      <c r="I248" s="102">
        <v>0</v>
      </c>
      <c r="J248" s="102">
        <v>1</v>
      </c>
      <c r="K248" s="102">
        <v>1</v>
      </c>
      <c r="L248" s="102">
        <v>1</v>
      </c>
      <c r="M248" s="102">
        <v>0</v>
      </c>
      <c r="N248" s="102">
        <v>0</v>
      </c>
      <c r="O248" s="102">
        <v>0</v>
      </c>
      <c r="P248" s="102">
        <v>0</v>
      </c>
      <c r="Q248" s="102">
        <v>0</v>
      </c>
      <c r="R248" s="120"/>
      <c r="S248" s="120"/>
      <c r="T248" s="120"/>
      <c r="U248" s="120"/>
      <c r="V248" s="120"/>
      <c r="W248" s="120"/>
      <c r="X248" s="120"/>
      <c r="Y248" s="120"/>
      <c r="Z248" s="120"/>
      <c r="AA248" s="120"/>
      <c r="AB248" s="120"/>
    </row>
    <row r="249" spans="1:28" ht="15.75" customHeight="1" x14ac:dyDescent="0.55000000000000004">
      <c r="A249" s="125">
        <v>121</v>
      </c>
      <c r="B249" s="125" t="s">
        <v>1671</v>
      </c>
      <c r="C249" s="125" t="s">
        <v>1046</v>
      </c>
      <c r="D249" s="126">
        <v>40762</v>
      </c>
      <c r="E249" s="102" t="s">
        <v>2250</v>
      </c>
      <c r="F249" s="102">
        <v>0</v>
      </c>
      <c r="G249" s="102">
        <v>2</v>
      </c>
      <c r="H249" s="102">
        <v>1</v>
      </c>
      <c r="I249" s="102">
        <v>0</v>
      </c>
      <c r="J249" s="102">
        <v>0</v>
      </c>
      <c r="K249" s="102">
        <v>0</v>
      </c>
      <c r="L249" s="102">
        <v>1</v>
      </c>
      <c r="M249" s="102">
        <v>0</v>
      </c>
      <c r="N249" s="102">
        <v>0</v>
      </c>
      <c r="O249" s="102">
        <v>0</v>
      </c>
      <c r="P249" s="102">
        <v>0</v>
      </c>
      <c r="Q249" s="102">
        <v>0</v>
      </c>
      <c r="R249" s="120"/>
      <c r="S249" s="120"/>
      <c r="T249" s="120"/>
      <c r="U249" s="120"/>
      <c r="V249" s="120"/>
      <c r="W249" s="120"/>
      <c r="X249" s="120"/>
      <c r="Y249" s="120"/>
      <c r="Z249" s="120"/>
      <c r="AA249" s="120"/>
      <c r="AB249" s="120"/>
    </row>
    <row r="250" spans="1:28" ht="15.75" customHeight="1" x14ac:dyDescent="0.55000000000000004">
      <c r="A250" s="125">
        <v>121</v>
      </c>
      <c r="B250" s="125" t="s">
        <v>1671</v>
      </c>
      <c r="C250" s="125" t="s">
        <v>1046</v>
      </c>
      <c r="D250" s="126">
        <v>40762</v>
      </c>
      <c r="E250" s="102" t="s">
        <v>2251</v>
      </c>
      <c r="F250" s="102">
        <v>0</v>
      </c>
      <c r="G250" s="102">
        <v>1</v>
      </c>
      <c r="H250" s="102">
        <v>1</v>
      </c>
      <c r="I250" s="102">
        <v>0</v>
      </c>
      <c r="J250" s="102" t="s">
        <v>853</v>
      </c>
      <c r="K250" s="102">
        <v>1</v>
      </c>
      <c r="L250" s="102">
        <v>1</v>
      </c>
      <c r="M250" s="102">
        <v>0</v>
      </c>
      <c r="N250" s="102">
        <v>0</v>
      </c>
      <c r="O250" s="102">
        <v>0</v>
      </c>
      <c r="P250" s="102">
        <v>0</v>
      </c>
      <c r="Q250" s="102">
        <v>0</v>
      </c>
      <c r="R250" s="120"/>
      <c r="S250" s="120"/>
      <c r="T250" s="120"/>
      <c r="U250" s="120"/>
      <c r="V250" s="120"/>
      <c r="W250" s="120"/>
      <c r="X250" s="120"/>
      <c r="Y250" s="120"/>
      <c r="Z250" s="120"/>
      <c r="AA250" s="120"/>
      <c r="AB250" s="120"/>
    </row>
    <row r="251" spans="1:28" ht="15.75" customHeight="1" x14ac:dyDescent="0.55000000000000004">
      <c r="A251" s="127">
        <v>122</v>
      </c>
      <c r="B251" s="127" t="s">
        <v>1676</v>
      </c>
      <c r="C251" s="127" t="s">
        <v>1677</v>
      </c>
      <c r="D251" s="128">
        <v>40792</v>
      </c>
      <c r="E251" s="102" t="s">
        <v>2252</v>
      </c>
      <c r="F251" s="102">
        <v>3</v>
      </c>
      <c r="G251" s="102">
        <v>2</v>
      </c>
      <c r="H251" s="102">
        <v>1</v>
      </c>
      <c r="I251" s="102">
        <v>1</v>
      </c>
      <c r="J251" s="102">
        <v>0</v>
      </c>
      <c r="K251" s="102"/>
      <c r="L251" s="102">
        <v>2</v>
      </c>
      <c r="M251" s="102">
        <v>0</v>
      </c>
      <c r="N251" s="102">
        <v>0</v>
      </c>
      <c r="O251" s="102">
        <v>0</v>
      </c>
      <c r="P251" s="102">
        <v>0</v>
      </c>
      <c r="Q251" s="102">
        <v>0</v>
      </c>
      <c r="R251" s="120"/>
      <c r="S251" s="120"/>
      <c r="T251" s="120"/>
      <c r="U251" s="120"/>
      <c r="V251" s="120"/>
      <c r="W251" s="120"/>
      <c r="X251" s="120"/>
      <c r="Y251" s="120"/>
      <c r="Z251" s="120"/>
      <c r="AA251" s="120"/>
      <c r="AB251" s="120"/>
    </row>
    <row r="252" spans="1:28" ht="15.75" customHeight="1" x14ac:dyDescent="0.55000000000000004">
      <c r="A252" s="127">
        <v>122</v>
      </c>
      <c r="B252" s="127" t="s">
        <v>1676</v>
      </c>
      <c r="C252" s="127" t="s">
        <v>1677</v>
      </c>
      <c r="D252" s="128">
        <v>40792</v>
      </c>
      <c r="E252" s="102" t="s">
        <v>2253</v>
      </c>
      <c r="F252" s="102">
        <v>3</v>
      </c>
      <c r="G252" s="102">
        <v>2</v>
      </c>
      <c r="H252" s="102">
        <v>0</v>
      </c>
      <c r="I252" s="102">
        <v>0</v>
      </c>
      <c r="J252" s="102">
        <v>0</v>
      </c>
      <c r="K252" s="102"/>
      <c r="L252" s="102"/>
      <c r="M252" s="102"/>
      <c r="N252" s="102"/>
      <c r="O252" s="102"/>
      <c r="P252" s="102"/>
      <c r="Q252" s="102">
        <v>1</v>
      </c>
      <c r="R252" s="120"/>
      <c r="S252" s="120"/>
      <c r="T252" s="120"/>
      <c r="U252" s="120"/>
      <c r="V252" s="120"/>
      <c r="W252" s="120"/>
      <c r="X252" s="120"/>
      <c r="Y252" s="120"/>
      <c r="Z252" s="120"/>
      <c r="AA252" s="120"/>
      <c r="AB252" s="120"/>
    </row>
    <row r="253" spans="1:28" ht="15.75" customHeight="1" x14ac:dyDescent="0.55000000000000004">
      <c r="A253" s="127">
        <v>122</v>
      </c>
      <c r="B253" s="127" t="s">
        <v>1676</v>
      </c>
      <c r="C253" s="127" t="s">
        <v>1677</v>
      </c>
      <c r="D253" s="128">
        <v>40792</v>
      </c>
      <c r="E253" s="102" t="s">
        <v>2254</v>
      </c>
      <c r="F253" s="102">
        <v>0</v>
      </c>
      <c r="G253" s="102">
        <v>1</v>
      </c>
      <c r="H253" s="102">
        <v>0</v>
      </c>
      <c r="I253" s="102">
        <v>0</v>
      </c>
      <c r="J253" s="102">
        <v>0</v>
      </c>
      <c r="K253" s="102">
        <v>1</v>
      </c>
      <c r="L253" s="102">
        <v>1</v>
      </c>
      <c r="M253" s="102">
        <v>0</v>
      </c>
      <c r="N253" s="102">
        <v>0</v>
      </c>
      <c r="O253" s="102">
        <v>0</v>
      </c>
      <c r="P253" s="102">
        <v>0</v>
      </c>
      <c r="Q253" s="102">
        <v>0</v>
      </c>
      <c r="R253" s="120"/>
      <c r="S253" s="120"/>
      <c r="T253" s="120"/>
      <c r="U253" s="120"/>
      <c r="V253" s="120"/>
      <c r="W253" s="120"/>
      <c r="X253" s="120"/>
      <c r="Y253" s="120"/>
      <c r="Z253" s="120"/>
      <c r="AA253" s="120"/>
      <c r="AB253" s="120"/>
    </row>
    <row r="254" spans="1:28" ht="15.75" customHeight="1" x14ac:dyDescent="0.55000000000000004">
      <c r="A254" s="127">
        <v>122</v>
      </c>
      <c r="B254" s="127" t="s">
        <v>1676</v>
      </c>
      <c r="C254" s="127" t="s">
        <v>1677</v>
      </c>
      <c r="D254" s="128">
        <v>40792</v>
      </c>
      <c r="E254" s="102" t="s">
        <v>2255</v>
      </c>
      <c r="F254" s="102">
        <v>0</v>
      </c>
      <c r="G254" s="102">
        <v>1</v>
      </c>
      <c r="H254" s="102">
        <v>2</v>
      </c>
      <c r="I254" s="102">
        <v>0</v>
      </c>
      <c r="J254" s="102" t="s">
        <v>853</v>
      </c>
      <c r="K254" s="102"/>
      <c r="L254" s="102">
        <v>2</v>
      </c>
      <c r="M254" s="102">
        <v>0</v>
      </c>
      <c r="N254" s="102">
        <v>0</v>
      </c>
      <c r="O254" s="102">
        <v>0</v>
      </c>
      <c r="P254" s="102">
        <v>0</v>
      </c>
      <c r="Q254" s="102">
        <v>0</v>
      </c>
      <c r="R254" s="120"/>
      <c r="S254" s="120"/>
      <c r="T254" s="120"/>
      <c r="U254" s="120"/>
      <c r="V254" s="120"/>
      <c r="W254" s="120"/>
      <c r="X254" s="120"/>
      <c r="Y254" s="120"/>
      <c r="Z254" s="120"/>
      <c r="AA254" s="120"/>
      <c r="AB254" s="120"/>
    </row>
    <row r="255" spans="1:28" ht="15.75" customHeight="1" x14ac:dyDescent="0.55000000000000004">
      <c r="A255" s="118">
        <v>123</v>
      </c>
      <c r="B255" s="118" t="s">
        <v>1681</v>
      </c>
      <c r="C255" s="118" t="s">
        <v>1682</v>
      </c>
      <c r="D255" s="119">
        <v>40828</v>
      </c>
      <c r="E255" s="102" t="s">
        <v>2256</v>
      </c>
      <c r="F255" s="102">
        <v>0</v>
      </c>
      <c r="G255" s="102">
        <v>2</v>
      </c>
      <c r="H255" s="102"/>
      <c r="I255" s="102">
        <v>0</v>
      </c>
      <c r="J255" s="102" t="s">
        <v>853</v>
      </c>
      <c r="K255" s="102">
        <v>1</v>
      </c>
      <c r="L255" s="102">
        <v>3</v>
      </c>
      <c r="M255" s="102">
        <v>0</v>
      </c>
      <c r="N255" s="102">
        <v>0</v>
      </c>
      <c r="O255" s="102">
        <v>0</v>
      </c>
      <c r="P255" s="102">
        <v>0</v>
      </c>
      <c r="Q255" s="102">
        <v>0</v>
      </c>
      <c r="R255" s="120"/>
      <c r="S255" s="120"/>
      <c r="T255" s="120"/>
      <c r="U255" s="120"/>
      <c r="V255" s="120"/>
      <c r="W255" s="120"/>
      <c r="X255" s="120"/>
      <c r="Y255" s="120"/>
      <c r="Z255" s="120"/>
      <c r="AA255" s="120"/>
      <c r="AB255" s="120"/>
    </row>
    <row r="256" spans="1:28" ht="15.75" customHeight="1" x14ac:dyDescent="0.55000000000000004">
      <c r="A256" s="118">
        <v>123</v>
      </c>
      <c r="B256" s="118" t="s">
        <v>1681</v>
      </c>
      <c r="C256" s="118" t="s">
        <v>1682</v>
      </c>
      <c r="D256" s="119">
        <v>40828</v>
      </c>
      <c r="E256" s="102" t="s">
        <v>2257</v>
      </c>
      <c r="F256" s="102">
        <v>0</v>
      </c>
      <c r="G256" s="102">
        <v>2</v>
      </c>
      <c r="H256" s="102"/>
      <c r="I256" s="102">
        <v>0</v>
      </c>
      <c r="J256" s="102">
        <v>0</v>
      </c>
      <c r="K256" s="102">
        <v>1</v>
      </c>
      <c r="L256" s="102">
        <v>3</v>
      </c>
      <c r="M256" s="102">
        <v>0</v>
      </c>
      <c r="N256" s="102">
        <v>0</v>
      </c>
      <c r="O256" s="102">
        <v>0</v>
      </c>
      <c r="P256" s="102">
        <v>0</v>
      </c>
      <c r="Q256" s="102">
        <v>0</v>
      </c>
      <c r="R256" s="120"/>
      <c r="S256" s="120"/>
      <c r="T256" s="120"/>
      <c r="U256" s="120"/>
      <c r="V256" s="120"/>
      <c r="W256" s="120"/>
      <c r="X256" s="120"/>
      <c r="Y256" s="120"/>
      <c r="Z256" s="120"/>
      <c r="AA256" s="120"/>
      <c r="AB256" s="120"/>
    </row>
    <row r="257" spans="1:28" ht="15.75" customHeight="1" x14ac:dyDescent="0.55000000000000004">
      <c r="A257" s="118">
        <v>123</v>
      </c>
      <c r="B257" s="118" t="s">
        <v>1681</v>
      </c>
      <c r="C257" s="118" t="s">
        <v>1682</v>
      </c>
      <c r="D257" s="119">
        <v>40828</v>
      </c>
      <c r="E257" s="102" t="s">
        <v>2258</v>
      </c>
      <c r="F257" s="102">
        <v>0</v>
      </c>
      <c r="G257" s="102">
        <v>1</v>
      </c>
      <c r="H257" s="102"/>
      <c r="I257" s="102">
        <v>0</v>
      </c>
      <c r="J257" s="102">
        <v>0</v>
      </c>
      <c r="K257" s="102">
        <v>1</v>
      </c>
      <c r="L257" s="102">
        <v>3</v>
      </c>
      <c r="M257" s="102">
        <v>0</v>
      </c>
      <c r="N257" s="102">
        <v>0</v>
      </c>
      <c r="O257" s="102">
        <v>0</v>
      </c>
      <c r="P257" s="102">
        <v>0</v>
      </c>
      <c r="Q257" s="102">
        <v>0</v>
      </c>
      <c r="R257" s="120"/>
      <c r="S257" s="120"/>
      <c r="T257" s="120"/>
      <c r="U257" s="120"/>
      <c r="V257" s="120"/>
      <c r="W257" s="120"/>
      <c r="X257" s="120"/>
      <c r="Y257" s="120"/>
      <c r="Z257" s="120"/>
      <c r="AA257" s="120"/>
      <c r="AB257" s="120"/>
    </row>
    <row r="258" spans="1:28" ht="15.75" customHeight="1" x14ac:dyDescent="0.55000000000000004">
      <c r="A258" s="121">
        <v>124</v>
      </c>
      <c r="B258" s="121" t="s">
        <v>1689</v>
      </c>
      <c r="C258" s="121" t="s">
        <v>1690</v>
      </c>
      <c r="D258" s="122">
        <v>41001</v>
      </c>
      <c r="E258" s="102" t="s">
        <v>2062</v>
      </c>
      <c r="F258" s="102">
        <v>0</v>
      </c>
      <c r="G258" s="102">
        <v>2</v>
      </c>
      <c r="H258" s="102">
        <v>1</v>
      </c>
      <c r="I258" s="102">
        <v>0</v>
      </c>
      <c r="J258" s="102">
        <v>0</v>
      </c>
      <c r="K258" s="102">
        <v>1</v>
      </c>
      <c r="L258" s="102">
        <v>1</v>
      </c>
      <c r="M258" s="102">
        <v>0</v>
      </c>
      <c r="N258" s="102">
        <v>0</v>
      </c>
      <c r="O258" s="102">
        <v>0</v>
      </c>
      <c r="P258" s="102">
        <v>0</v>
      </c>
      <c r="Q258" s="102">
        <v>0</v>
      </c>
      <c r="R258" s="120"/>
      <c r="S258" s="120"/>
      <c r="T258" s="120"/>
      <c r="U258" s="120"/>
      <c r="V258" s="120"/>
      <c r="W258" s="120"/>
      <c r="X258" s="120"/>
      <c r="Y258" s="120"/>
      <c r="Z258" s="120"/>
      <c r="AA258" s="120"/>
      <c r="AB258" s="120"/>
    </row>
    <row r="259" spans="1:28" ht="15.75" customHeight="1" x14ac:dyDescent="0.55000000000000004">
      <c r="A259" s="123">
        <v>125</v>
      </c>
      <c r="B259" s="123" t="s">
        <v>1694</v>
      </c>
      <c r="C259" s="123" t="s">
        <v>1695</v>
      </c>
      <c r="D259" s="124">
        <v>41059</v>
      </c>
      <c r="E259" s="102" t="s">
        <v>2062</v>
      </c>
      <c r="F259" s="102">
        <v>0</v>
      </c>
      <c r="G259" s="102">
        <v>2</v>
      </c>
      <c r="H259" s="102">
        <v>1</v>
      </c>
      <c r="I259" s="102">
        <v>0</v>
      </c>
      <c r="J259" s="102">
        <v>0</v>
      </c>
      <c r="K259" s="102">
        <v>1</v>
      </c>
      <c r="L259" s="102">
        <v>1</v>
      </c>
      <c r="M259" s="102">
        <v>0</v>
      </c>
      <c r="N259" s="102">
        <v>0</v>
      </c>
      <c r="O259" s="102">
        <v>0</v>
      </c>
      <c r="P259" s="102">
        <v>0</v>
      </c>
      <c r="Q259" s="102">
        <v>0</v>
      </c>
      <c r="R259" s="120"/>
      <c r="S259" s="120"/>
      <c r="T259" s="120"/>
      <c r="U259" s="120"/>
      <c r="V259" s="120"/>
      <c r="W259" s="120"/>
      <c r="X259" s="120"/>
      <c r="Y259" s="120"/>
      <c r="Z259" s="120"/>
      <c r="AA259" s="120"/>
      <c r="AB259" s="120"/>
    </row>
    <row r="260" spans="1:28" ht="15.75" customHeight="1" x14ac:dyDescent="0.55000000000000004">
      <c r="A260" s="123">
        <v>125</v>
      </c>
      <c r="B260" s="123" t="s">
        <v>1694</v>
      </c>
      <c r="C260" s="123" t="s">
        <v>1695</v>
      </c>
      <c r="D260" s="124">
        <v>41059</v>
      </c>
      <c r="E260" s="102" t="s">
        <v>2062</v>
      </c>
      <c r="F260" s="102">
        <v>0</v>
      </c>
      <c r="G260" s="102">
        <v>2</v>
      </c>
      <c r="H260" s="102">
        <v>1</v>
      </c>
      <c r="I260" s="102">
        <v>0</v>
      </c>
      <c r="J260" s="102">
        <v>0</v>
      </c>
      <c r="K260" s="102">
        <v>1</v>
      </c>
      <c r="L260" s="102">
        <v>1</v>
      </c>
      <c r="M260" s="102">
        <v>0</v>
      </c>
      <c r="N260" s="102">
        <v>0</v>
      </c>
      <c r="O260" s="102">
        <v>0</v>
      </c>
      <c r="P260" s="102">
        <v>0</v>
      </c>
      <c r="Q260" s="102">
        <v>0</v>
      </c>
      <c r="R260" s="120"/>
      <c r="S260" s="120"/>
      <c r="T260" s="120"/>
      <c r="U260" s="120"/>
      <c r="V260" s="120"/>
      <c r="W260" s="120"/>
      <c r="X260" s="120"/>
      <c r="Y260" s="120"/>
      <c r="Z260" s="120"/>
      <c r="AA260" s="120"/>
      <c r="AB260" s="120"/>
    </row>
    <row r="261" spans="1:28" ht="15.75" customHeight="1" x14ac:dyDescent="0.55000000000000004">
      <c r="A261" s="125">
        <v>126</v>
      </c>
      <c r="B261" s="125" t="s">
        <v>1702</v>
      </c>
      <c r="C261" s="125" t="s">
        <v>1061</v>
      </c>
      <c r="D261" s="126">
        <v>41110</v>
      </c>
      <c r="E261" s="102" t="s">
        <v>2259</v>
      </c>
      <c r="F261" s="102">
        <v>1</v>
      </c>
      <c r="G261" s="102">
        <v>2</v>
      </c>
      <c r="H261" s="102">
        <v>1</v>
      </c>
      <c r="I261" s="102">
        <v>0</v>
      </c>
      <c r="J261" s="102" t="s">
        <v>853</v>
      </c>
      <c r="K261" s="102">
        <v>1</v>
      </c>
      <c r="L261" s="102">
        <v>1</v>
      </c>
      <c r="M261" s="102">
        <v>0</v>
      </c>
      <c r="N261" s="102">
        <v>0</v>
      </c>
      <c r="O261" s="102">
        <v>0</v>
      </c>
      <c r="P261" s="102">
        <v>0</v>
      </c>
      <c r="Q261" s="102">
        <v>0</v>
      </c>
      <c r="R261" s="120"/>
      <c r="S261" s="120"/>
      <c r="T261" s="120"/>
      <c r="U261" s="120"/>
      <c r="V261" s="120"/>
      <c r="W261" s="120"/>
      <c r="X261" s="120"/>
      <c r="Y261" s="120"/>
      <c r="Z261" s="120"/>
      <c r="AA261" s="120"/>
      <c r="AB261" s="120"/>
    </row>
    <row r="262" spans="1:28" ht="15.75" customHeight="1" x14ac:dyDescent="0.55000000000000004">
      <c r="A262" s="125">
        <v>126</v>
      </c>
      <c r="B262" s="125" t="s">
        <v>1702</v>
      </c>
      <c r="C262" s="125" t="s">
        <v>1061</v>
      </c>
      <c r="D262" s="126">
        <v>41110</v>
      </c>
      <c r="E262" s="102" t="s">
        <v>2247</v>
      </c>
      <c r="F262" s="102">
        <v>0</v>
      </c>
      <c r="G262" s="102">
        <v>2</v>
      </c>
      <c r="H262" s="102">
        <v>1</v>
      </c>
      <c r="I262" s="102">
        <v>0</v>
      </c>
      <c r="J262" s="102">
        <v>0</v>
      </c>
      <c r="K262" s="102">
        <v>0</v>
      </c>
      <c r="L262" s="102">
        <v>1</v>
      </c>
      <c r="M262" s="102">
        <v>0</v>
      </c>
      <c r="N262" s="102">
        <v>0</v>
      </c>
      <c r="O262" s="102">
        <v>0</v>
      </c>
      <c r="P262" s="102">
        <v>0</v>
      </c>
      <c r="Q262" s="102">
        <v>0</v>
      </c>
      <c r="R262" s="120"/>
      <c r="S262" s="120"/>
      <c r="T262" s="120"/>
      <c r="U262" s="120"/>
      <c r="V262" s="120"/>
      <c r="W262" s="120"/>
      <c r="X262" s="120"/>
      <c r="Y262" s="120"/>
      <c r="Z262" s="120"/>
      <c r="AA262" s="120"/>
      <c r="AB262" s="120"/>
    </row>
    <row r="263" spans="1:28" ht="15.75" customHeight="1" x14ac:dyDescent="0.55000000000000004">
      <c r="A263" s="125">
        <v>126</v>
      </c>
      <c r="B263" s="125" t="s">
        <v>1702</v>
      </c>
      <c r="C263" s="125" t="s">
        <v>1061</v>
      </c>
      <c r="D263" s="126">
        <v>41110</v>
      </c>
      <c r="E263" s="102" t="s">
        <v>2247</v>
      </c>
      <c r="F263" s="102">
        <v>0</v>
      </c>
      <c r="G263" s="102">
        <v>2</v>
      </c>
      <c r="H263" s="102">
        <v>0</v>
      </c>
      <c r="I263" s="102">
        <v>0</v>
      </c>
      <c r="J263" s="102">
        <v>0</v>
      </c>
      <c r="K263" s="102">
        <v>1</v>
      </c>
      <c r="L263" s="102">
        <v>1</v>
      </c>
      <c r="M263" s="102">
        <v>0</v>
      </c>
      <c r="N263" s="102">
        <v>0</v>
      </c>
      <c r="O263" s="102">
        <v>0</v>
      </c>
      <c r="P263" s="102">
        <v>0</v>
      </c>
      <c r="Q263" s="102">
        <v>0</v>
      </c>
      <c r="R263" s="120"/>
      <c r="S263" s="120"/>
      <c r="T263" s="120"/>
      <c r="U263" s="120"/>
      <c r="V263" s="120"/>
      <c r="W263" s="120"/>
      <c r="X263" s="120"/>
      <c r="Y263" s="120"/>
      <c r="Z263" s="120"/>
      <c r="AA263" s="120"/>
      <c r="AB263" s="120"/>
    </row>
    <row r="264" spans="1:28" ht="15.75" customHeight="1" x14ac:dyDescent="0.55000000000000004">
      <c r="A264" s="125">
        <v>126</v>
      </c>
      <c r="B264" s="125" t="s">
        <v>1702</v>
      </c>
      <c r="C264" s="125" t="s">
        <v>1061</v>
      </c>
      <c r="D264" s="126">
        <v>41110</v>
      </c>
      <c r="E264" s="102" t="s">
        <v>2260</v>
      </c>
      <c r="F264" s="102">
        <v>3</v>
      </c>
      <c r="G264" s="102">
        <v>2</v>
      </c>
      <c r="H264" s="102">
        <v>1</v>
      </c>
      <c r="I264" s="102">
        <v>0</v>
      </c>
      <c r="J264" s="102">
        <v>1</v>
      </c>
      <c r="K264" s="102">
        <v>1</v>
      </c>
      <c r="L264" s="102">
        <v>1</v>
      </c>
      <c r="M264" s="102">
        <v>0</v>
      </c>
      <c r="N264" s="102">
        <v>0</v>
      </c>
      <c r="O264" s="102">
        <v>0</v>
      </c>
      <c r="P264" s="102">
        <v>0</v>
      </c>
      <c r="Q264" s="102">
        <v>0</v>
      </c>
      <c r="R264" s="120"/>
      <c r="S264" s="120"/>
      <c r="T264" s="120"/>
      <c r="U264" s="120"/>
      <c r="V264" s="120"/>
      <c r="W264" s="120"/>
      <c r="X264" s="120"/>
      <c r="Y264" s="120"/>
      <c r="Z264" s="120"/>
      <c r="AA264" s="120"/>
      <c r="AB264" s="120"/>
    </row>
    <row r="265" spans="1:28" ht="15.75" customHeight="1" x14ac:dyDescent="0.55000000000000004">
      <c r="A265" s="127">
        <v>127</v>
      </c>
      <c r="B265" s="127" t="s">
        <v>1711</v>
      </c>
      <c r="C265" s="127" t="s">
        <v>1712</v>
      </c>
      <c r="D265" s="128">
        <v>41126</v>
      </c>
      <c r="E265" s="102" t="s">
        <v>2261</v>
      </c>
      <c r="F265" s="102">
        <v>0</v>
      </c>
      <c r="G265" s="102">
        <v>1</v>
      </c>
      <c r="H265" s="102">
        <v>1</v>
      </c>
      <c r="I265" s="102">
        <v>0</v>
      </c>
      <c r="J265" s="102">
        <v>0</v>
      </c>
      <c r="K265" s="102">
        <v>0</v>
      </c>
      <c r="L265" s="102">
        <v>1</v>
      </c>
      <c r="M265" s="102">
        <v>0</v>
      </c>
      <c r="N265" s="102">
        <v>0</v>
      </c>
      <c r="O265" s="102">
        <v>0</v>
      </c>
      <c r="P265" s="102">
        <v>0</v>
      </c>
      <c r="Q265" s="102">
        <v>0</v>
      </c>
      <c r="R265" s="120"/>
      <c r="S265" s="120"/>
      <c r="T265" s="120"/>
      <c r="U265" s="120"/>
      <c r="V265" s="120"/>
      <c r="W265" s="120"/>
      <c r="X265" s="120"/>
      <c r="Y265" s="120"/>
      <c r="Z265" s="120"/>
      <c r="AA265" s="120"/>
      <c r="AB265" s="120"/>
    </row>
    <row r="266" spans="1:28" ht="15.75" customHeight="1" x14ac:dyDescent="0.55000000000000004">
      <c r="A266" s="118">
        <v>128</v>
      </c>
      <c r="B266" s="118" t="s">
        <v>1716</v>
      </c>
      <c r="C266" s="118" t="s">
        <v>1312</v>
      </c>
      <c r="D266" s="119">
        <v>41179</v>
      </c>
      <c r="E266" s="102" t="s">
        <v>2153</v>
      </c>
      <c r="F266" s="102">
        <v>0</v>
      </c>
      <c r="G266" s="102">
        <v>1</v>
      </c>
      <c r="H266" s="102">
        <v>1</v>
      </c>
      <c r="I266" s="102">
        <v>0</v>
      </c>
      <c r="J266" s="102">
        <v>0</v>
      </c>
      <c r="K266" s="102">
        <v>1</v>
      </c>
      <c r="L266" s="102">
        <v>3</v>
      </c>
      <c r="M266" s="102">
        <v>0</v>
      </c>
      <c r="N266" s="102">
        <v>0</v>
      </c>
      <c r="O266" s="102">
        <v>0</v>
      </c>
      <c r="P266" s="102">
        <v>0</v>
      </c>
      <c r="Q266" s="102">
        <v>0</v>
      </c>
      <c r="R266" s="120"/>
      <c r="S266" s="120"/>
      <c r="T266" s="120"/>
      <c r="U266" s="120"/>
      <c r="V266" s="120"/>
      <c r="W266" s="120"/>
      <c r="X266" s="120"/>
      <c r="Y266" s="120"/>
      <c r="Z266" s="120"/>
      <c r="AA266" s="120"/>
      <c r="AB266" s="120"/>
    </row>
    <row r="267" spans="1:28" ht="15.75" customHeight="1" x14ac:dyDescent="0.55000000000000004">
      <c r="A267" s="121">
        <v>129</v>
      </c>
      <c r="B267" s="121" t="s">
        <v>1721</v>
      </c>
      <c r="C267" s="121" t="s">
        <v>1722</v>
      </c>
      <c r="D267" s="122">
        <v>41257</v>
      </c>
      <c r="E267" s="102" t="s">
        <v>2262</v>
      </c>
      <c r="F267" s="102">
        <v>3</v>
      </c>
      <c r="G267" s="102">
        <v>2</v>
      </c>
      <c r="H267" s="102">
        <v>1</v>
      </c>
      <c r="I267" s="102">
        <v>0</v>
      </c>
      <c r="J267" s="102">
        <v>0</v>
      </c>
      <c r="K267" s="102">
        <v>0</v>
      </c>
      <c r="L267" s="102">
        <v>0</v>
      </c>
      <c r="M267" s="102">
        <v>0</v>
      </c>
      <c r="N267" s="102">
        <v>0</v>
      </c>
      <c r="O267" s="102">
        <v>0</v>
      </c>
      <c r="P267" s="102">
        <v>1</v>
      </c>
      <c r="Q267" s="102">
        <v>0</v>
      </c>
      <c r="R267" s="120"/>
      <c r="S267" s="120"/>
      <c r="T267" s="120"/>
      <c r="U267" s="120"/>
      <c r="V267" s="120"/>
      <c r="W267" s="120"/>
      <c r="X267" s="120"/>
      <c r="Y267" s="120"/>
      <c r="Z267" s="120"/>
      <c r="AA267" s="120"/>
      <c r="AB267" s="120"/>
    </row>
    <row r="268" spans="1:28" ht="15.75" customHeight="1" x14ac:dyDescent="0.55000000000000004">
      <c r="A268" s="121">
        <v>129</v>
      </c>
      <c r="B268" s="121" t="s">
        <v>1721</v>
      </c>
      <c r="C268" s="121" t="s">
        <v>1722</v>
      </c>
      <c r="D268" s="122">
        <v>41257</v>
      </c>
      <c r="E268" s="102" t="s">
        <v>2263</v>
      </c>
      <c r="F268" s="102">
        <v>0</v>
      </c>
      <c r="G268" s="102">
        <v>2</v>
      </c>
      <c r="H268" s="102">
        <v>2</v>
      </c>
      <c r="I268" s="102">
        <v>0</v>
      </c>
      <c r="J268" s="102">
        <v>0</v>
      </c>
      <c r="K268" s="102">
        <v>0</v>
      </c>
      <c r="L268" s="102">
        <v>0</v>
      </c>
      <c r="M268" s="102">
        <v>0</v>
      </c>
      <c r="N268" s="102">
        <v>0</v>
      </c>
      <c r="O268" s="102">
        <v>0</v>
      </c>
      <c r="P268" s="102">
        <v>1</v>
      </c>
      <c r="Q268" s="102">
        <v>0</v>
      </c>
      <c r="R268" s="120"/>
      <c r="S268" s="120"/>
      <c r="T268" s="120"/>
      <c r="U268" s="120"/>
      <c r="V268" s="120"/>
      <c r="W268" s="120"/>
      <c r="X268" s="120"/>
      <c r="Y268" s="120"/>
      <c r="Z268" s="120"/>
      <c r="AA268" s="120"/>
      <c r="AB268" s="120"/>
    </row>
    <row r="269" spans="1:28" ht="15.75" customHeight="1" x14ac:dyDescent="0.55000000000000004">
      <c r="A269" s="121">
        <v>129</v>
      </c>
      <c r="B269" s="121" t="s">
        <v>1721</v>
      </c>
      <c r="C269" s="121" t="s">
        <v>1722</v>
      </c>
      <c r="D269" s="122">
        <v>41257</v>
      </c>
      <c r="E269" s="102" t="s">
        <v>2264</v>
      </c>
      <c r="F269" s="102">
        <v>0</v>
      </c>
      <c r="G269" s="102">
        <v>1</v>
      </c>
      <c r="H269" s="102">
        <v>0</v>
      </c>
      <c r="I269" s="102">
        <v>0</v>
      </c>
      <c r="J269" s="102">
        <v>0</v>
      </c>
      <c r="K269" s="102">
        <v>0</v>
      </c>
      <c r="L269" s="102">
        <v>0</v>
      </c>
      <c r="M269" s="102">
        <v>0</v>
      </c>
      <c r="N269" s="102">
        <v>0</v>
      </c>
      <c r="O269" s="102">
        <v>0</v>
      </c>
      <c r="P269" s="102">
        <v>1</v>
      </c>
      <c r="Q269" s="102">
        <v>0</v>
      </c>
      <c r="R269" s="120"/>
      <c r="S269" s="120"/>
      <c r="T269" s="120"/>
      <c r="U269" s="120"/>
      <c r="V269" s="120"/>
      <c r="W269" s="120"/>
      <c r="X269" s="120"/>
      <c r="Y269" s="120"/>
      <c r="Z269" s="120"/>
      <c r="AA269" s="120"/>
      <c r="AB269" s="120"/>
    </row>
    <row r="270" spans="1:28" ht="15.75" customHeight="1" x14ac:dyDescent="0.55000000000000004">
      <c r="A270" s="121">
        <v>129</v>
      </c>
      <c r="B270" s="121" t="s">
        <v>1721</v>
      </c>
      <c r="C270" s="121" t="s">
        <v>1722</v>
      </c>
      <c r="D270" s="122">
        <v>41257</v>
      </c>
      <c r="E270" s="102" t="s">
        <v>2265</v>
      </c>
      <c r="F270" s="102">
        <v>2</v>
      </c>
      <c r="G270" s="102">
        <v>0</v>
      </c>
      <c r="H270" s="102">
        <v>1</v>
      </c>
      <c r="I270" s="102">
        <v>0</v>
      </c>
      <c r="J270" s="102">
        <v>0</v>
      </c>
      <c r="K270" s="102">
        <v>0</v>
      </c>
      <c r="L270" s="102">
        <v>0</v>
      </c>
      <c r="M270" s="102">
        <v>0</v>
      </c>
      <c r="N270" s="102">
        <v>0</v>
      </c>
      <c r="O270" s="102">
        <v>0</v>
      </c>
      <c r="P270" s="102">
        <v>1</v>
      </c>
      <c r="Q270" s="102">
        <v>0</v>
      </c>
      <c r="R270" s="120"/>
      <c r="S270" s="120"/>
      <c r="T270" s="120"/>
      <c r="U270" s="120"/>
      <c r="V270" s="120"/>
      <c r="W270" s="120"/>
      <c r="X270" s="120"/>
      <c r="Y270" s="120"/>
      <c r="Z270" s="120"/>
      <c r="AA270" s="120"/>
      <c r="AB270" s="120"/>
    </row>
    <row r="271" spans="1:28" ht="15.75" customHeight="1" x14ac:dyDescent="0.55000000000000004">
      <c r="A271" s="121">
        <v>129</v>
      </c>
      <c r="B271" s="121" t="s">
        <v>1721</v>
      </c>
      <c r="C271" s="121" t="s">
        <v>1722</v>
      </c>
      <c r="D271" s="122">
        <v>41257</v>
      </c>
      <c r="E271" s="102" t="s">
        <v>2266</v>
      </c>
      <c r="F271" s="102">
        <v>1</v>
      </c>
      <c r="G271" s="102">
        <v>2</v>
      </c>
      <c r="H271" s="102">
        <v>0</v>
      </c>
      <c r="I271" s="102">
        <v>0</v>
      </c>
      <c r="J271" s="102" t="s">
        <v>853</v>
      </c>
      <c r="K271" s="102">
        <v>0</v>
      </c>
      <c r="L271" s="102">
        <v>0</v>
      </c>
      <c r="M271" s="102">
        <v>0</v>
      </c>
      <c r="N271" s="102">
        <v>0</v>
      </c>
      <c r="O271" s="102">
        <v>0</v>
      </c>
      <c r="P271" s="102">
        <v>1</v>
      </c>
      <c r="Q271" s="102">
        <v>0</v>
      </c>
      <c r="R271" s="120"/>
      <c r="S271" s="120"/>
      <c r="T271" s="120"/>
      <c r="U271" s="120"/>
      <c r="V271" s="120"/>
      <c r="W271" s="120"/>
      <c r="X271" s="120"/>
      <c r="Y271" s="120"/>
      <c r="Z271" s="120"/>
      <c r="AA271" s="120"/>
      <c r="AB271" s="120"/>
    </row>
    <row r="272" spans="1:28" ht="15.75" customHeight="1" x14ac:dyDescent="0.55000000000000004">
      <c r="A272" s="123">
        <v>130</v>
      </c>
      <c r="B272" s="123" t="s">
        <v>1728</v>
      </c>
      <c r="C272" s="123" t="s">
        <v>1729</v>
      </c>
      <c r="D272" s="124">
        <v>41346</v>
      </c>
      <c r="E272" s="102" t="s">
        <v>2139</v>
      </c>
      <c r="F272" s="102">
        <v>1</v>
      </c>
      <c r="G272" s="102">
        <v>2</v>
      </c>
      <c r="H272" s="102">
        <v>1</v>
      </c>
      <c r="I272" s="102">
        <v>0</v>
      </c>
      <c r="J272" s="102" t="s">
        <v>853</v>
      </c>
      <c r="K272" s="102"/>
      <c r="L272" s="102"/>
      <c r="M272" s="102"/>
      <c r="N272" s="102"/>
      <c r="O272" s="102"/>
      <c r="P272" s="102"/>
      <c r="Q272" s="102">
        <v>1</v>
      </c>
      <c r="R272" s="120"/>
      <c r="S272" s="120"/>
      <c r="T272" s="120"/>
      <c r="U272" s="120"/>
      <c r="V272" s="120"/>
      <c r="W272" s="120"/>
      <c r="X272" s="120"/>
      <c r="Y272" s="120"/>
      <c r="Z272" s="120"/>
      <c r="AA272" s="120"/>
      <c r="AB272" s="120"/>
    </row>
    <row r="273" spans="1:28" ht="15.75" customHeight="1" x14ac:dyDescent="0.55000000000000004">
      <c r="A273" s="125">
        <v>131</v>
      </c>
      <c r="B273" s="125" t="s">
        <v>1733</v>
      </c>
      <c r="C273" s="125" t="s">
        <v>1734</v>
      </c>
      <c r="D273" s="126">
        <v>41385</v>
      </c>
      <c r="E273" s="102" t="s">
        <v>2267</v>
      </c>
      <c r="F273" s="102">
        <v>0</v>
      </c>
      <c r="G273" s="102">
        <v>2</v>
      </c>
      <c r="H273" s="102">
        <v>1</v>
      </c>
      <c r="I273" s="102">
        <v>0</v>
      </c>
      <c r="J273" s="102">
        <v>0</v>
      </c>
      <c r="K273" s="102">
        <v>1</v>
      </c>
      <c r="L273" s="102">
        <v>3</v>
      </c>
      <c r="M273" s="102">
        <v>0</v>
      </c>
      <c r="N273" s="102">
        <v>0</v>
      </c>
      <c r="O273" s="102">
        <v>0</v>
      </c>
      <c r="P273" s="102">
        <v>0</v>
      </c>
      <c r="Q273" s="102">
        <v>0</v>
      </c>
      <c r="R273" s="120"/>
      <c r="S273" s="120"/>
      <c r="T273" s="120"/>
      <c r="U273" s="120"/>
      <c r="V273" s="120"/>
      <c r="W273" s="120"/>
      <c r="X273" s="120"/>
      <c r="Y273" s="120"/>
      <c r="Z273" s="120"/>
      <c r="AA273" s="120"/>
      <c r="AB273" s="120"/>
    </row>
    <row r="274" spans="1:28" ht="15.75" customHeight="1" x14ac:dyDescent="0.55000000000000004">
      <c r="A274" s="125">
        <v>131</v>
      </c>
      <c r="B274" s="125" t="s">
        <v>1733</v>
      </c>
      <c r="C274" s="125" t="s">
        <v>1734</v>
      </c>
      <c r="D274" s="126">
        <v>41385</v>
      </c>
      <c r="E274" s="102" t="s">
        <v>2268</v>
      </c>
      <c r="F274" s="102">
        <v>1</v>
      </c>
      <c r="G274" s="102">
        <v>2</v>
      </c>
      <c r="H274" s="102">
        <v>1</v>
      </c>
      <c r="I274" s="102">
        <v>1</v>
      </c>
      <c r="J274" s="102" t="s">
        <v>853</v>
      </c>
      <c r="K274" s="102"/>
      <c r="L274" s="102"/>
      <c r="M274" s="102"/>
      <c r="N274" s="102"/>
      <c r="O274" s="102"/>
      <c r="P274" s="102"/>
      <c r="Q274" s="102">
        <v>0</v>
      </c>
      <c r="R274" s="120"/>
      <c r="S274" s="120"/>
      <c r="T274" s="120"/>
      <c r="U274" s="120"/>
      <c r="V274" s="120"/>
      <c r="W274" s="120"/>
      <c r="X274" s="120"/>
      <c r="Y274" s="120"/>
      <c r="Z274" s="120"/>
      <c r="AA274" s="120"/>
      <c r="AB274" s="120"/>
    </row>
    <row r="275" spans="1:28" ht="15.75" customHeight="1" x14ac:dyDescent="0.55000000000000004">
      <c r="A275" s="127">
        <v>132</v>
      </c>
      <c r="B275" s="127" t="s">
        <v>1738</v>
      </c>
      <c r="C275" s="127" t="s">
        <v>1014</v>
      </c>
      <c r="D275" s="128">
        <v>41432</v>
      </c>
      <c r="E275" s="102" t="s">
        <v>2269</v>
      </c>
      <c r="F275" s="102">
        <v>3</v>
      </c>
      <c r="G275" s="102">
        <v>2</v>
      </c>
      <c r="H275" s="102">
        <v>1</v>
      </c>
      <c r="I275" s="102">
        <v>1</v>
      </c>
      <c r="J275" s="102">
        <v>1</v>
      </c>
      <c r="K275" s="102">
        <v>0</v>
      </c>
      <c r="L275" s="102">
        <v>0</v>
      </c>
      <c r="M275" s="102">
        <v>0</v>
      </c>
      <c r="N275" s="102">
        <v>1</v>
      </c>
      <c r="O275" s="102">
        <v>0</v>
      </c>
      <c r="P275" s="102">
        <v>0</v>
      </c>
      <c r="Q275" s="102">
        <v>0</v>
      </c>
      <c r="R275" s="120"/>
      <c r="S275" s="120"/>
      <c r="T275" s="120"/>
      <c r="U275" s="120"/>
      <c r="V275" s="120"/>
      <c r="W275" s="120"/>
      <c r="X275" s="120"/>
      <c r="Y275" s="120"/>
      <c r="Z275" s="120"/>
      <c r="AA275" s="120"/>
      <c r="AB275" s="120"/>
    </row>
    <row r="276" spans="1:28" ht="15.75" customHeight="1" x14ac:dyDescent="0.55000000000000004">
      <c r="A276" s="127">
        <v>132</v>
      </c>
      <c r="B276" s="127" t="s">
        <v>1738</v>
      </c>
      <c r="C276" s="127" t="s">
        <v>1014</v>
      </c>
      <c r="D276" s="128">
        <v>41432</v>
      </c>
      <c r="E276" s="102" t="s">
        <v>2270</v>
      </c>
      <c r="F276" s="102">
        <v>0</v>
      </c>
      <c r="G276" s="102">
        <v>2</v>
      </c>
      <c r="H276" s="102">
        <v>0</v>
      </c>
      <c r="I276" s="102">
        <v>1</v>
      </c>
      <c r="J276" s="102" t="s">
        <v>853</v>
      </c>
      <c r="K276" s="102">
        <v>1</v>
      </c>
      <c r="L276" s="102">
        <v>0</v>
      </c>
      <c r="M276" s="102">
        <v>0</v>
      </c>
      <c r="N276" s="102">
        <v>0</v>
      </c>
      <c r="O276" s="102">
        <v>1</v>
      </c>
      <c r="P276" s="102">
        <v>0</v>
      </c>
      <c r="Q276" s="102">
        <v>0</v>
      </c>
      <c r="R276" s="120"/>
      <c r="S276" s="120"/>
      <c r="T276" s="120"/>
      <c r="U276" s="120"/>
      <c r="V276" s="120"/>
      <c r="W276" s="120"/>
      <c r="X276" s="120"/>
      <c r="Y276" s="120"/>
      <c r="Z276" s="120"/>
      <c r="AA276" s="120"/>
      <c r="AB276" s="120"/>
    </row>
    <row r="277" spans="1:28" ht="15.75" customHeight="1" x14ac:dyDescent="0.55000000000000004">
      <c r="A277" s="118">
        <v>133</v>
      </c>
      <c r="B277" s="118" t="s">
        <v>1744</v>
      </c>
      <c r="C277" s="118" t="s">
        <v>1745</v>
      </c>
      <c r="D277" s="119">
        <v>41481</v>
      </c>
      <c r="E277" s="102" t="s">
        <v>2189</v>
      </c>
      <c r="F277" s="102">
        <v>0</v>
      </c>
      <c r="G277" s="102">
        <v>1</v>
      </c>
      <c r="H277" s="102">
        <v>1</v>
      </c>
      <c r="I277" s="102">
        <v>0</v>
      </c>
      <c r="J277" s="102">
        <v>0</v>
      </c>
      <c r="K277" s="102">
        <v>1</v>
      </c>
      <c r="L277" s="102">
        <v>1</v>
      </c>
      <c r="M277" s="102">
        <v>0</v>
      </c>
      <c r="N277" s="102">
        <v>0</v>
      </c>
      <c r="O277" s="102">
        <v>0</v>
      </c>
      <c r="P277" s="102">
        <v>0</v>
      </c>
      <c r="Q277" s="102">
        <v>0</v>
      </c>
      <c r="R277" s="120"/>
      <c r="S277" s="120"/>
      <c r="T277" s="120"/>
      <c r="U277" s="120"/>
      <c r="V277" s="120"/>
      <c r="W277" s="120"/>
      <c r="X277" s="120"/>
      <c r="Y277" s="120"/>
      <c r="Z277" s="120"/>
      <c r="AA277" s="120"/>
      <c r="AB277" s="120"/>
    </row>
    <row r="278" spans="1:28" ht="15.75" customHeight="1" x14ac:dyDescent="0.55000000000000004">
      <c r="A278" s="121">
        <v>134</v>
      </c>
      <c r="B278" s="121" t="s">
        <v>1751</v>
      </c>
      <c r="C278" s="121" t="s">
        <v>1752</v>
      </c>
      <c r="D278" s="122">
        <v>41533</v>
      </c>
      <c r="E278" s="102" t="s">
        <v>2271</v>
      </c>
      <c r="F278" s="102">
        <v>1</v>
      </c>
      <c r="G278" s="102">
        <v>2</v>
      </c>
      <c r="H278" s="102">
        <v>1</v>
      </c>
      <c r="I278" s="102">
        <v>1</v>
      </c>
      <c r="J278" s="102" t="s">
        <v>853</v>
      </c>
      <c r="K278" s="102">
        <v>0</v>
      </c>
      <c r="L278" s="102">
        <v>1</v>
      </c>
      <c r="M278" s="102">
        <v>0</v>
      </c>
      <c r="N278" s="102">
        <v>0</v>
      </c>
      <c r="O278" s="102">
        <v>0</v>
      </c>
      <c r="P278" s="102">
        <v>0</v>
      </c>
      <c r="Q278" s="102">
        <v>0</v>
      </c>
      <c r="R278" s="120"/>
      <c r="S278" s="120"/>
      <c r="T278" s="120"/>
      <c r="U278" s="120"/>
      <c r="V278" s="120"/>
      <c r="W278" s="120"/>
      <c r="X278" s="120"/>
      <c r="Y278" s="120"/>
      <c r="Z278" s="120"/>
      <c r="AA278" s="120"/>
      <c r="AB278" s="120"/>
    </row>
    <row r="279" spans="1:28" ht="15.75" customHeight="1" x14ac:dyDescent="0.55000000000000004">
      <c r="A279" s="121">
        <v>134</v>
      </c>
      <c r="B279" s="121" t="s">
        <v>1751</v>
      </c>
      <c r="C279" s="121" t="s">
        <v>1752</v>
      </c>
      <c r="D279" s="122">
        <v>41533</v>
      </c>
      <c r="E279" s="102" t="s">
        <v>2272</v>
      </c>
      <c r="F279" s="102">
        <v>0</v>
      </c>
      <c r="G279" s="102">
        <v>1</v>
      </c>
      <c r="H279" s="102">
        <v>1</v>
      </c>
      <c r="I279" s="102">
        <v>0</v>
      </c>
      <c r="J279" s="102">
        <v>0</v>
      </c>
      <c r="K279" s="102">
        <v>0</v>
      </c>
      <c r="L279" s="102">
        <v>0</v>
      </c>
      <c r="M279" s="102">
        <v>0</v>
      </c>
      <c r="N279" s="102">
        <v>0</v>
      </c>
      <c r="O279" s="102">
        <v>0</v>
      </c>
      <c r="P279" s="102">
        <v>3</v>
      </c>
      <c r="Q279" s="102">
        <v>0</v>
      </c>
      <c r="R279" s="120"/>
      <c r="S279" s="120"/>
      <c r="T279" s="120"/>
      <c r="U279" s="120"/>
      <c r="V279" s="120"/>
      <c r="W279" s="120"/>
      <c r="X279" s="120"/>
      <c r="Y279" s="120"/>
      <c r="Z279" s="120"/>
      <c r="AA279" s="120"/>
      <c r="AB279" s="120"/>
    </row>
    <row r="280" spans="1:28" ht="15.75" customHeight="1" x14ac:dyDescent="0.55000000000000004">
      <c r="A280" s="123">
        <v>135</v>
      </c>
      <c r="B280" s="123" t="s">
        <v>1760</v>
      </c>
      <c r="C280" s="123" t="s">
        <v>1761</v>
      </c>
      <c r="D280" s="124">
        <v>41690</v>
      </c>
      <c r="E280" s="102" t="s">
        <v>2117</v>
      </c>
      <c r="F280" s="102">
        <v>0</v>
      </c>
      <c r="G280" s="102"/>
      <c r="H280" s="102">
        <v>1</v>
      </c>
      <c r="I280" s="102">
        <v>0</v>
      </c>
      <c r="J280" s="102">
        <v>0</v>
      </c>
      <c r="K280" s="102"/>
      <c r="L280" s="102"/>
      <c r="M280" s="102"/>
      <c r="N280" s="102"/>
      <c r="O280" s="102"/>
      <c r="P280" s="102"/>
      <c r="Q280" s="102">
        <v>1</v>
      </c>
      <c r="R280" s="120"/>
      <c r="S280" s="120"/>
      <c r="T280" s="120"/>
      <c r="U280" s="120"/>
      <c r="V280" s="120"/>
      <c r="W280" s="120"/>
      <c r="X280" s="120"/>
      <c r="Y280" s="120"/>
      <c r="Z280" s="120"/>
      <c r="AA280" s="120"/>
      <c r="AB280" s="120"/>
    </row>
    <row r="281" spans="1:28" ht="15.75" customHeight="1" x14ac:dyDescent="0.55000000000000004">
      <c r="A281" s="123">
        <v>135</v>
      </c>
      <c r="B281" s="123" t="s">
        <v>1760</v>
      </c>
      <c r="C281" s="123" t="s">
        <v>1761</v>
      </c>
      <c r="D281" s="124">
        <v>41690</v>
      </c>
      <c r="E281" s="102" t="s">
        <v>2117</v>
      </c>
      <c r="F281" s="102">
        <v>0</v>
      </c>
      <c r="G281" s="102"/>
      <c r="H281" s="102">
        <v>1</v>
      </c>
      <c r="I281" s="102">
        <v>0</v>
      </c>
      <c r="J281" s="102">
        <v>0</v>
      </c>
      <c r="K281" s="102"/>
      <c r="L281" s="102"/>
      <c r="M281" s="102"/>
      <c r="N281" s="102"/>
      <c r="O281" s="102"/>
      <c r="P281" s="102"/>
      <c r="Q281" s="102">
        <v>1</v>
      </c>
      <c r="R281" s="120"/>
      <c r="S281" s="120"/>
      <c r="T281" s="120"/>
      <c r="U281" s="120"/>
      <c r="V281" s="120"/>
      <c r="W281" s="120"/>
      <c r="X281" s="120"/>
      <c r="Y281" s="120"/>
      <c r="Z281" s="120"/>
      <c r="AA281" s="120"/>
      <c r="AB281" s="120"/>
    </row>
    <row r="282" spans="1:28" ht="15.75" customHeight="1" x14ac:dyDescent="0.55000000000000004">
      <c r="A282" s="125">
        <v>136</v>
      </c>
      <c r="B282" s="125" t="s">
        <v>1766</v>
      </c>
      <c r="C282" s="125" t="s">
        <v>1767</v>
      </c>
      <c r="D282" s="126">
        <v>41782</v>
      </c>
      <c r="E282" s="102" t="s">
        <v>2273</v>
      </c>
      <c r="F282" s="102">
        <v>0</v>
      </c>
      <c r="G282" s="102">
        <v>1</v>
      </c>
      <c r="H282" s="102">
        <v>0</v>
      </c>
      <c r="I282" s="102">
        <v>0</v>
      </c>
      <c r="J282" s="102">
        <v>0</v>
      </c>
      <c r="K282" s="102">
        <v>1</v>
      </c>
      <c r="L282" s="102">
        <v>1</v>
      </c>
      <c r="M282" s="102">
        <v>0</v>
      </c>
      <c r="N282" s="102">
        <v>0</v>
      </c>
      <c r="O282" s="102">
        <v>0</v>
      </c>
      <c r="P282" s="102">
        <v>0</v>
      </c>
      <c r="Q282" s="102">
        <v>0</v>
      </c>
      <c r="R282" s="120"/>
      <c r="S282" s="120"/>
      <c r="T282" s="120"/>
      <c r="U282" s="120"/>
      <c r="V282" s="120"/>
      <c r="W282" s="120"/>
      <c r="X282" s="120"/>
      <c r="Y282" s="120"/>
      <c r="Z282" s="120"/>
      <c r="AA282" s="120"/>
      <c r="AB282" s="120"/>
    </row>
    <row r="283" spans="1:28" ht="15.75" customHeight="1" x14ac:dyDescent="0.55000000000000004">
      <c r="A283" s="125">
        <v>136</v>
      </c>
      <c r="B283" s="125" t="s">
        <v>1766</v>
      </c>
      <c r="C283" s="125" t="s">
        <v>1767</v>
      </c>
      <c r="D283" s="126">
        <v>41782</v>
      </c>
      <c r="E283" s="102" t="s">
        <v>2274</v>
      </c>
      <c r="F283" s="102">
        <v>0</v>
      </c>
      <c r="G283" s="102">
        <v>1</v>
      </c>
      <c r="H283" s="102">
        <v>1</v>
      </c>
      <c r="I283" s="102">
        <v>0</v>
      </c>
      <c r="J283" s="102">
        <v>0</v>
      </c>
      <c r="K283" s="102">
        <v>1</v>
      </c>
      <c r="L283" s="102">
        <v>1</v>
      </c>
      <c r="M283" s="102">
        <v>0</v>
      </c>
      <c r="N283" s="102">
        <v>0</v>
      </c>
      <c r="O283" s="102">
        <v>0</v>
      </c>
      <c r="P283" s="102">
        <v>0</v>
      </c>
      <c r="Q283" s="102">
        <v>0</v>
      </c>
      <c r="R283" s="120"/>
      <c r="S283" s="120"/>
      <c r="T283" s="120"/>
      <c r="U283" s="120"/>
      <c r="V283" s="120"/>
      <c r="W283" s="120"/>
      <c r="X283" s="120"/>
      <c r="Y283" s="120"/>
      <c r="Z283" s="120"/>
      <c r="AA283" s="120"/>
      <c r="AB283" s="120"/>
    </row>
    <row r="284" spans="1:28" ht="15.75" customHeight="1" x14ac:dyDescent="0.55000000000000004">
      <c r="A284" s="125">
        <v>136</v>
      </c>
      <c r="B284" s="125" t="s">
        <v>1766</v>
      </c>
      <c r="C284" s="125" t="s">
        <v>1767</v>
      </c>
      <c r="D284" s="126">
        <v>41782</v>
      </c>
      <c r="E284" s="102" t="s">
        <v>2274</v>
      </c>
      <c r="F284" s="102">
        <v>0</v>
      </c>
      <c r="G284" s="102">
        <v>1</v>
      </c>
      <c r="H284" s="102">
        <v>0</v>
      </c>
      <c r="I284" s="102">
        <v>0</v>
      </c>
      <c r="J284" s="102">
        <v>0</v>
      </c>
      <c r="K284" s="102">
        <v>1</v>
      </c>
      <c r="L284" s="102">
        <v>1</v>
      </c>
      <c r="M284" s="102">
        <v>0</v>
      </c>
      <c r="N284" s="102">
        <v>0</v>
      </c>
      <c r="O284" s="102">
        <v>0</v>
      </c>
      <c r="P284" s="102">
        <v>0</v>
      </c>
      <c r="Q284" s="102">
        <v>0</v>
      </c>
      <c r="R284" s="120"/>
      <c r="S284" s="120"/>
      <c r="T284" s="120"/>
      <c r="U284" s="120"/>
      <c r="V284" s="120"/>
      <c r="W284" s="120"/>
      <c r="X284" s="120"/>
      <c r="Y284" s="120"/>
      <c r="Z284" s="120"/>
      <c r="AA284" s="120"/>
      <c r="AB284" s="120"/>
    </row>
    <row r="285" spans="1:28" ht="15.75" customHeight="1" x14ac:dyDescent="0.55000000000000004">
      <c r="A285" s="127">
        <v>137</v>
      </c>
      <c r="B285" s="127" t="s">
        <v>1774</v>
      </c>
      <c r="C285" s="127" t="s">
        <v>1775</v>
      </c>
      <c r="D285" s="128">
        <v>41936</v>
      </c>
      <c r="E285" s="102" t="s">
        <v>2275</v>
      </c>
      <c r="F285" s="102">
        <v>0</v>
      </c>
      <c r="G285" s="102">
        <v>2</v>
      </c>
      <c r="H285" s="102">
        <v>1</v>
      </c>
      <c r="I285" s="102">
        <v>0</v>
      </c>
      <c r="J285" s="102">
        <v>0</v>
      </c>
      <c r="K285" s="102">
        <v>0</v>
      </c>
      <c r="L285" s="102">
        <v>0</v>
      </c>
      <c r="M285" s="102">
        <v>0</v>
      </c>
      <c r="N285" s="102">
        <v>0</v>
      </c>
      <c r="O285" s="102">
        <v>0</v>
      </c>
      <c r="P285" s="102">
        <v>1</v>
      </c>
      <c r="Q285" s="102">
        <v>0</v>
      </c>
      <c r="R285" s="120"/>
      <c r="S285" s="120"/>
      <c r="T285" s="120"/>
      <c r="U285" s="120"/>
      <c r="V285" s="120"/>
      <c r="W285" s="120"/>
      <c r="X285" s="120"/>
      <c r="Y285" s="120"/>
      <c r="Z285" s="120"/>
      <c r="AA285" s="120"/>
      <c r="AB285" s="120"/>
    </row>
    <row r="286" spans="1:28" ht="15.75" customHeight="1" x14ac:dyDescent="0.55000000000000004">
      <c r="A286" s="118">
        <v>138</v>
      </c>
      <c r="B286" s="118" t="s">
        <v>1782</v>
      </c>
      <c r="C286" s="118" t="s">
        <v>1783</v>
      </c>
      <c r="D286" s="119">
        <v>42172</v>
      </c>
      <c r="E286" s="102" t="s">
        <v>2276</v>
      </c>
      <c r="F286" s="102">
        <v>0</v>
      </c>
      <c r="G286" s="102">
        <v>2</v>
      </c>
      <c r="H286" s="102">
        <v>1</v>
      </c>
      <c r="I286" s="102">
        <v>0</v>
      </c>
      <c r="J286" s="102">
        <v>0</v>
      </c>
      <c r="K286" s="102">
        <v>1</v>
      </c>
      <c r="L286" s="102">
        <v>0</v>
      </c>
      <c r="M286" s="102">
        <v>1</v>
      </c>
      <c r="N286" s="102">
        <v>0</v>
      </c>
      <c r="O286" s="102">
        <v>0</v>
      </c>
      <c r="P286" s="102">
        <v>0</v>
      </c>
      <c r="Q286" s="102">
        <v>0</v>
      </c>
      <c r="R286" s="120"/>
      <c r="S286" s="120"/>
      <c r="T286" s="120"/>
      <c r="U286" s="120"/>
      <c r="V286" s="120"/>
      <c r="W286" s="120"/>
      <c r="X286" s="120"/>
      <c r="Y286" s="120"/>
      <c r="Z286" s="120"/>
      <c r="AA286" s="120"/>
      <c r="AB286" s="120"/>
    </row>
    <row r="287" spans="1:28" ht="15.75" customHeight="1" x14ac:dyDescent="0.55000000000000004">
      <c r="A287" s="121">
        <v>139</v>
      </c>
      <c r="B287" s="121" t="s">
        <v>1790</v>
      </c>
      <c r="C287" s="121" t="s">
        <v>1791</v>
      </c>
      <c r="D287" s="122">
        <v>42201</v>
      </c>
      <c r="E287" s="102" t="s">
        <v>2277</v>
      </c>
      <c r="F287" s="102">
        <v>3</v>
      </c>
      <c r="G287" s="102">
        <v>2</v>
      </c>
      <c r="H287" s="102">
        <v>1</v>
      </c>
      <c r="I287" s="102">
        <v>0</v>
      </c>
      <c r="J287" s="102">
        <v>0</v>
      </c>
      <c r="K287" s="102">
        <v>1</v>
      </c>
      <c r="L287" s="102">
        <v>1</v>
      </c>
      <c r="M287" s="102">
        <v>0</v>
      </c>
      <c r="N287" s="102">
        <v>0</v>
      </c>
      <c r="O287" s="102">
        <v>0</v>
      </c>
      <c r="P287" s="102">
        <v>0</v>
      </c>
      <c r="Q287" s="102">
        <v>0</v>
      </c>
      <c r="R287" s="120"/>
      <c r="S287" s="120"/>
      <c r="T287" s="120"/>
      <c r="U287" s="120"/>
      <c r="V287" s="120"/>
      <c r="W287" s="120"/>
      <c r="X287" s="120"/>
      <c r="Y287" s="120"/>
      <c r="Z287" s="120"/>
      <c r="AA287" s="120"/>
      <c r="AB287" s="120"/>
    </row>
    <row r="288" spans="1:28" ht="15.75" customHeight="1" x14ac:dyDescent="0.55000000000000004">
      <c r="A288" s="121">
        <v>139</v>
      </c>
      <c r="B288" s="121" t="s">
        <v>1790</v>
      </c>
      <c r="C288" s="121" t="s">
        <v>1791</v>
      </c>
      <c r="D288" s="122">
        <v>42201</v>
      </c>
      <c r="E288" s="102" t="s">
        <v>2278</v>
      </c>
      <c r="F288" s="102">
        <v>1</v>
      </c>
      <c r="G288" s="102">
        <v>2</v>
      </c>
      <c r="H288" s="102">
        <v>0</v>
      </c>
      <c r="I288" s="102">
        <v>1</v>
      </c>
      <c r="J288" s="102" t="s">
        <v>853</v>
      </c>
      <c r="K288" s="102">
        <v>1</v>
      </c>
      <c r="L288" s="102">
        <v>1</v>
      </c>
      <c r="M288" s="102">
        <v>0</v>
      </c>
      <c r="N288" s="102">
        <v>0</v>
      </c>
      <c r="O288" s="102">
        <v>0</v>
      </c>
      <c r="P288" s="102">
        <v>0</v>
      </c>
      <c r="Q288" s="102">
        <v>0</v>
      </c>
      <c r="R288" s="120"/>
      <c r="S288" s="120"/>
      <c r="T288" s="120"/>
      <c r="U288" s="120"/>
      <c r="V288" s="120"/>
      <c r="W288" s="120"/>
      <c r="X288" s="120"/>
      <c r="Y288" s="120"/>
      <c r="Z288" s="120"/>
      <c r="AA288" s="120"/>
      <c r="AB288" s="120"/>
    </row>
    <row r="289" spans="1:28" ht="15.75" customHeight="1" x14ac:dyDescent="0.55000000000000004">
      <c r="A289" s="121">
        <v>139</v>
      </c>
      <c r="B289" s="121" t="s">
        <v>1790</v>
      </c>
      <c r="C289" s="121" t="s">
        <v>1791</v>
      </c>
      <c r="D289" s="122">
        <v>42201</v>
      </c>
      <c r="E289" s="102" t="s">
        <v>2279</v>
      </c>
      <c r="F289" s="102">
        <v>0</v>
      </c>
      <c r="G289" s="102">
        <v>1</v>
      </c>
      <c r="H289" s="102">
        <v>0</v>
      </c>
      <c r="I289" s="102">
        <v>0</v>
      </c>
      <c r="J289" s="102">
        <v>0</v>
      </c>
      <c r="K289" s="102">
        <v>1</v>
      </c>
      <c r="L289" s="102">
        <v>1</v>
      </c>
      <c r="M289" s="102">
        <v>0</v>
      </c>
      <c r="N289" s="102">
        <v>0</v>
      </c>
      <c r="O289" s="102">
        <v>0</v>
      </c>
      <c r="P289" s="102">
        <v>0</v>
      </c>
      <c r="Q289" s="102">
        <v>0</v>
      </c>
      <c r="R289" s="120"/>
      <c r="S289" s="120"/>
      <c r="T289" s="120"/>
      <c r="U289" s="120"/>
      <c r="V289" s="120"/>
      <c r="W289" s="120"/>
      <c r="X289" s="120"/>
      <c r="Y289" s="120"/>
      <c r="Z289" s="120"/>
      <c r="AA289" s="120"/>
      <c r="AB289" s="120"/>
    </row>
    <row r="290" spans="1:28" ht="15.75" customHeight="1" x14ac:dyDescent="0.55000000000000004">
      <c r="A290" s="123">
        <v>140</v>
      </c>
      <c r="B290" s="123" t="s">
        <v>1799</v>
      </c>
      <c r="C290" s="123" t="s">
        <v>1800</v>
      </c>
      <c r="D290" s="124">
        <v>42278</v>
      </c>
      <c r="E290" s="102" t="s">
        <v>2178</v>
      </c>
      <c r="F290" s="102">
        <v>0</v>
      </c>
      <c r="G290" s="102">
        <v>1</v>
      </c>
      <c r="H290" s="102">
        <v>1</v>
      </c>
      <c r="I290" s="102">
        <v>0</v>
      </c>
      <c r="J290" s="102">
        <v>0</v>
      </c>
      <c r="K290" s="102">
        <v>1</v>
      </c>
      <c r="L290" s="102">
        <v>1</v>
      </c>
      <c r="M290" s="102">
        <v>0</v>
      </c>
      <c r="N290" s="102">
        <v>0</v>
      </c>
      <c r="O290" s="102">
        <v>0</v>
      </c>
      <c r="P290" s="102">
        <v>0</v>
      </c>
      <c r="Q290" s="102">
        <v>0</v>
      </c>
      <c r="R290" s="120"/>
      <c r="S290" s="120"/>
      <c r="T290" s="120"/>
      <c r="U290" s="120"/>
      <c r="V290" s="120"/>
      <c r="W290" s="120"/>
      <c r="X290" s="120"/>
      <c r="Y290" s="120"/>
      <c r="Z290" s="120"/>
      <c r="AA290" s="120"/>
      <c r="AB290" s="120"/>
    </row>
    <row r="291" spans="1:28" ht="15.75" customHeight="1" x14ac:dyDescent="0.55000000000000004">
      <c r="A291" s="123">
        <v>140</v>
      </c>
      <c r="B291" s="123" t="s">
        <v>1799</v>
      </c>
      <c r="C291" s="123" t="s">
        <v>1800</v>
      </c>
      <c r="D291" s="124">
        <v>42278</v>
      </c>
      <c r="E291" s="102" t="s">
        <v>2280</v>
      </c>
      <c r="F291" s="102">
        <v>0</v>
      </c>
      <c r="G291" s="102">
        <v>2</v>
      </c>
      <c r="H291" s="102">
        <v>0</v>
      </c>
      <c r="I291" s="102">
        <v>0</v>
      </c>
      <c r="J291" s="102">
        <v>0</v>
      </c>
      <c r="K291" s="102">
        <v>1</v>
      </c>
      <c r="L291" s="102">
        <v>1</v>
      </c>
      <c r="M291" s="102">
        <v>0</v>
      </c>
      <c r="N291" s="102">
        <v>0</v>
      </c>
      <c r="O291" s="102">
        <v>0</v>
      </c>
      <c r="P291" s="102">
        <v>0</v>
      </c>
      <c r="Q291" s="102">
        <v>0</v>
      </c>
      <c r="R291" s="120"/>
      <c r="S291" s="120"/>
      <c r="T291" s="120"/>
      <c r="U291" s="120"/>
      <c r="V291" s="120"/>
      <c r="W291" s="120"/>
      <c r="X291" s="120"/>
      <c r="Y291" s="120"/>
      <c r="Z291" s="120"/>
      <c r="AA291" s="120"/>
      <c r="AB291" s="120"/>
    </row>
    <row r="292" spans="1:28" ht="15.75" customHeight="1" x14ac:dyDescent="0.55000000000000004">
      <c r="A292" s="123">
        <v>140</v>
      </c>
      <c r="B292" s="123" t="s">
        <v>1799</v>
      </c>
      <c r="C292" s="123" t="s">
        <v>1800</v>
      </c>
      <c r="D292" s="124">
        <v>42278</v>
      </c>
      <c r="E292" s="102" t="s">
        <v>2281</v>
      </c>
      <c r="F292" s="102">
        <v>3</v>
      </c>
      <c r="G292" s="102">
        <v>2</v>
      </c>
      <c r="H292" s="102">
        <v>0</v>
      </c>
      <c r="I292" s="102">
        <v>0</v>
      </c>
      <c r="J292" s="102">
        <v>0</v>
      </c>
      <c r="K292" s="102">
        <v>0</v>
      </c>
      <c r="L292" s="102">
        <v>0</v>
      </c>
      <c r="M292" s="102">
        <v>0</v>
      </c>
      <c r="N292" s="102">
        <v>0</v>
      </c>
      <c r="O292" s="102">
        <v>0</v>
      </c>
      <c r="P292" s="102">
        <v>1</v>
      </c>
      <c r="Q292" s="102">
        <v>0</v>
      </c>
      <c r="R292" s="120"/>
      <c r="S292" s="120"/>
      <c r="T292" s="120"/>
      <c r="U292" s="120"/>
      <c r="V292" s="120"/>
      <c r="W292" s="120"/>
      <c r="X292" s="120"/>
      <c r="Y292" s="120"/>
      <c r="Z292" s="120"/>
      <c r="AA292" s="120"/>
      <c r="AB292" s="120"/>
    </row>
    <row r="293" spans="1:28" ht="15.75" customHeight="1" x14ac:dyDescent="0.55000000000000004">
      <c r="A293" s="123">
        <v>140</v>
      </c>
      <c r="B293" s="123" t="s">
        <v>1799</v>
      </c>
      <c r="C293" s="123" t="s">
        <v>1800</v>
      </c>
      <c r="D293" s="124">
        <v>42278</v>
      </c>
      <c r="E293" s="102" t="s">
        <v>2282</v>
      </c>
      <c r="F293" s="102">
        <v>0</v>
      </c>
      <c r="G293" s="102">
        <v>2</v>
      </c>
      <c r="H293" s="102">
        <v>1</v>
      </c>
      <c r="I293" s="102">
        <v>0</v>
      </c>
      <c r="J293" s="102">
        <v>0</v>
      </c>
      <c r="K293" s="102">
        <v>0</v>
      </c>
      <c r="L293" s="102">
        <v>0</v>
      </c>
      <c r="M293" s="102">
        <v>0</v>
      </c>
      <c r="N293" s="102">
        <v>0</v>
      </c>
      <c r="O293" s="102">
        <v>0</v>
      </c>
      <c r="P293" s="102">
        <v>1</v>
      </c>
      <c r="Q293" s="102">
        <v>0</v>
      </c>
      <c r="R293" s="120"/>
      <c r="S293" s="120"/>
      <c r="T293" s="120"/>
      <c r="U293" s="120"/>
      <c r="V293" s="120"/>
      <c r="W293" s="120"/>
      <c r="X293" s="120"/>
      <c r="Y293" s="120"/>
      <c r="Z293" s="120"/>
      <c r="AA293" s="120"/>
      <c r="AB293" s="120"/>
    </row>
    <row r="294" spans="1:28" ht="15.75" customHeight="1" x14ac:dyDescent="0.55000000000000004">
      <c r="A294" s="123">
        <v>140</v>
      </c>
      <c r="B294" s="123" t="s">
        <v>1799</v>
      </c>
      <c r="C294" s="123" t="s">
        <v>1800</v>
      </c>
      <c r="D294" s="124">
        <v>42278</v>
      </c>
      <c r="E294" s="102" t="s">
        <v>2283</v>
      </c>
      <c r="F294" s="102">
        <v>0</v>
      </c>
      <c r="G294" s="102">
        <v>1</v>
      </c>
      <c r="H294" s="102">
        <v>0</v>
      </c>
      <c r="I294" s="102">
        <v>0</v>
      </c>
      <c r="J294" s="102" t="s">
        <v>853</v>
      </c>
      <c r="K294" s="102">
        <v>1</v>
      </c>
      <c r="L294" s="102">
        <v>1</v>
      </c>
      <c r="M294" s="102">
        <v>0</v>
      </c>
      <c r="N294" s="102">
        <v>0</v>
      </c>
      <c r="O294" s="102">
        <v>0</v>
      </c>
      <c r="P294" s="102">
        <v>0</v>
      </c>
      <c r="Q294" s="102">
        <v>0</v>
      </c>
      <c r="R294" s="120"/>
      <c r="S294" s="120"/>
      <c r="T294" s="120"/>
      <c r="U294" s="120"/>
      <c r="V294" s="120"/>
      <c r="W294" s="120"/>
      <c r="X294" s="120"/>
      <c r="Y294" s="120"/>
      <c r="Z294" s="120"/>
      <c r="AA294" s="120"/>
      <c r="AB294" s="120"/>
    </row>
    <row r="295" spans="1:28" ht="15.75" customHeight="1" x14ac:dyDescent="0.55000000000000004">
      <c r="A295" s="123">
        <v>140</v>
      </c>
      <c r="B295" s="123" t="s">
        <v>1799</v>
      </c>
      <c r="C295" s="123" t="s">
        <v>1800</v>
      </c>
      <c r="D295" s="124">
        <v>42278</v>
      </c>
      <c r="E295" s="102" t="s">
        <v>2284</v>
      </c>
      <c r="F295" s="102">
        <v>0</v>
      </c>
      <c r="G295" s="102">
        <v>1</v>
      </c>
      <c r="H295" s="102">
        <v>0</v>
      </c>
      <c r="I295" s="102">
        <v>0</v>
      </c>
      <c r="J295" s="102">
        <v>0</v>
      </c>
      <c r="K295" s="102">
        <v>0</v>
      </c>
      <c r="L295" s="102">
        <v>1</v>
      </c>
      <c r="M295" s="102">
        <v>0</v>
      </c>
      <c r="N295" s="102">
        <v>0</v>
      </c>
      <c r="O295" s="102">
        <v>0</v>
      </c>
      <c r="P295" s="102">
        <v>0</v>
      </c>
      <c r="Q295" s="102">
        <v>0</v>
      </c>
      <c r="R295" s="120"/>
      <c r="S295" s="120"/>
      <c r="T295" s="120"/>
      <c r="U295" s="120"/>
      <c r="V295" s="120"/>
      <c r="W295" s="120"/>
      <c r="X295" s="120"/>
      <c r="Y295" s="120"/>
      <c r="Z295" s="120"/>
      <c r="AA295" s="120"/>
      <c r="AB295" s="120"/>
    </row>
    <row r="296" spans="1:28" ht="15.75" customHeight="1" x14ac:dyDescent="0.55000000000000004">
      <c r="A296" s="125">
        <v>141</v>
      </c>
      <c r="B296" s="125" t="s">
        <v>1806</v>
      </c>
      <c r="C296" s="125" t="s">
        <v>999</v>
      </c>
      <c r="D296" s="126">
        <v>42322</v>
      </c>
      <c r="E296" s="102" t="s">
        <v>2285</v>
      </c>
      <c r="F296" s="102">
        <v>2</v>
      </c>
      <c r="G296" s="102"/>
      <c r="H296" s="102">
        <v>1</v>
      </c>
      <c r="I296" s="102">
        <v>0</v>
      </c>
      <c r="J296" s="102">
        <v>0</v>
      </c>
      <c r="K296" s="102">
        <v>1</v>
      </c>
      <c r="L296" s="102"/>
      <c r="M296" s="102"/>
      <c r="N296" s="102"/>
      <c r="O296" s="102"/>
      <c r="P296" s="102"/>
      <c r="Q296" s="102">
        <v>1</v>
      </c>
      <c r="R296" s="120"/>
      <c r="S296" s="120"/>
      <c r="T296" s="120"/>
      <c r="U296" s="120"/>
      <c r="V296" s="120"/>
      <c r="W296" s="120"/>
      <c r="X296" s="120"/>
      <c r="Y296" s="120"/>
      <c r="Z296" s="120"/>
      <c r="AA296" s="120"/>
      <c r="AB296" s="120"/>
    </row>
    <row r="297" spans="1:28" ht="15.75" customHeight="1" x14ac:dyDescent="0.55000000000000004">
      <c r="A297" s="125">
        <v>141</v>
      </c>
      <c r="B297" s="125" t="s">
        <v>1806</v>
      </c>
      <c r="C297" s="125" t="s">
        <v>999</v>
      </c>
      <c r="D297" s="126">
        <v>42322</v>
      </c>
      <c r="E297" s="102" t="s">
        <v>2286</v>
      </c>
      <c r="F297" s="102">
        <v>0</v>
      </c>
      <c r="G297" s="102">
        <v>2</v>
      </c>
      <c r="H297" s="102"/>
      <c r="I297" s="102">
        <v>0</v>
      </c>
      <c r="J297" s="102">
        <v>0</v>
      </c>
      <c r="K297" s="102">
        <v>1</v>
      </c>
      <c r="L297" s="102">
        <v>2</v>
      </c>
      <c r="M297" s="102">
        <v>0</v>
      </c>
      <c r="N297" s="102">
        <v>0</v>
      </c>
      <c r="O297" s="102">
        <v>0</v>
      </c>
      <c r="P297" s="102">
        <v>0</v>
      </c>
      <c r="Q297" s="102">
        <v>0</v>
      </c>
      <c r="R297" s="120"/>
      <c r="S297" s="120"/>
      <c r="T297" s="120"/>
      <c r="U297" s="120"/>
      <c r="V297" s="120"/>
      <c r="W297" s="120"/>
      <c r="X297" s="120"/>
      <c r="Y297" s="120"/>
      <c r="Z297" s="120"/>
      <c r="AA297" s="120"/>
      <c r="AB297" s="120"/>
    </row>
    <row r="298" spans="1:28" ht="15.75" customHeight="1" x14ac:dyDescent="0.55000000000000004">
      <c r="A298" s="125">
        <v>141</v>
      </c>
      <c r="B298" s="125" t="s">
        <v>1806</v>
      </c>
      <c r="C298" s="125" t="s">
        <v>999</v>
      </c>
      <c r="D298" s="126">
        <v>42322</v>
      </c>
      <c r="E298" s="102" t="s">
        <v>2163</v>
      </c>
      <c r="F298" s="102">
        <v>1</v>
      </c>
      <c r="G298" s="102"/>
      <c r="H298" s="102">
        <v>1</v>
      </c>
      <c r="I298" s="102">
        <v>0</v>
      </c>
      <c r="J298" s="102">
        <v>0</v>
      </c>
      <c r="K298" s="102">
        <v>1</v>
      </c>
      <c r="L298" s="102"/>
      <c r="M298" s="102"/>
      <c r="N298" s="102"/>
      <c r="O298" s="102"/>
      <c r="P298" s="102"/>
      <c r="Q298" s="102">
        <v>1</v>
      </c>
      <c r="R298" s="120"/>
      <c r="S298" s="120"/>
      <c r="T298" s="120"/>
      <c r="U298" s="120"/>
      <c r="V298" s="120"/>
      <c r="W298" s="120"/>
      <c r="X298" s="120"/>
      <c r="Y298" s="120"/>
      <c r="Z298" s="120"/>
      <c r="AA298" s="120"/>
      <c r="AB298" s="120"/>
    </row>
    <row r="299" spans="1:28" ht="15.75" customHeight="1" x14ac:dyDescent="0.55000000000000004">
      <c r="A299" s="127" t="s">
        <v>2287</v>
      </c>
      <c r="B299" s="127" t="s">
        <v>2288</v>
      </c>
      <c r="C299" s="127" t="s">
        <v>2289</v>
      </c>
      <c r="D299" s="128">
        <v>42340</v>
      </c>
      <c r="E299" s="102" t="s">
        <v>2290</v>
      </c>
      <c r="F299" s="102">
        <v>3</v>
      </c>
      <c r="G299" s="102">
        <v>2</v>
      </c>
      <c r="H299" s="102">
        <v>1</v>
      </c>
      <c r="I299" s="102">
        <v>1</v>
      </c>
      <c r="J299" s="102">
        <v>1</v>
      </c>
      <c r="K299" s="102">
        <v>1</v>
      </c>
      <c r="L299" s="102">
        <v>0</v>
      </c>
      <c r="M299" s="102">
        <v>2</v>
      </c>
      <c r="N299" s="102">
        <v>0</v>
      </c>
      <c r="O299" s="102">
        <v>0</v>
      </c>
      <c r="P299" s="102">
        <v>0</v>
      </c>
      <c r="Q299" s="102">
        <v>0</v>
      </c>
      <c r="R299" s="120"/>
      <c r="S299" s="120"/>
      <c r="T299" s="120"/>
      <c r="U299" s="120"/>
      <c r="V299" s="120"/>
      <c r="W299" s="120"/>
      <c r="X299" s="120"/>
      <c r="Y299" s="120"/>
      <c r="Z299" s="120"/>
      <c r="AA299" s="120"/>
      <c r="AB299" s="120"/>
    </row>
    <row r="300" spans="1:28" ht="15.75" customHeight="1" x14ac:dyDescent="0.55000000000000004">
      <c r="A300" s="127" t="s">
        <v>2287</v>
      </c>
      <c r="B300" s="127" t="s">
        <v>2288</v>
      </c>
      <c r="C300" s="127" t="s">
        <v>2289</v>
      </c>
      <c r="D300" s="128">
        <v>42340</v>
      </c>
      <c r="E300" s="102" t="s">
        <v>2291</v>
      </c>
      <c r="F300" s="102">
        <v>3</v>
      </c>
      <c r="G300" s="102">
        <v>2</v>
      </c>
      <c r="H300" s="102">
        <v>1</v>
      </c>
      <c r="I300" s="102">
        <v>1</v>
      </c>
      <c r="J300" s="102">
        <v>1</v>
      </c>
      <c r="K300" s="102">
        <v>1</v>
      </c>
      <c r="L300" s="102">
        <v>0</v>
      </c>
      <c r="M300" s="102">
        <v>2</v>
      </c>
      <c r="N300" s="102">
        <v>0</v>
      </c>
      <c r="O300" s="102">
        <v>0</v>
      </c>
      <c r="P300" s="102">
        <v>0</v>
      </c>
      <c r="Q300" s="102">
        <v>0</v>
      </c>
      <c r="R300" s="120"/>
      <c r="S300" s="120"/>
      <c r="T300" s="120"/>
      <c r="U300" s="120"/>
      <c r="V300" s="120"/>
      <c r="W300" s="120"/>
      <c r="X300" s="120"/>
      <c r="Y300" s="120"/>
      <c r="Z300" s="120"/>
      <c r="AA300" s="120"/>
      <c r="AB300" s="120"/>
    </row>
    <row r="301" spans="1:28" ht="15.75" customHeight="1" x14ac:dyDescent="0.55000000000000004">
      <c r="A301" s="127" t="s">
        <v>2287</v>
      </c>
      <c r="B301" s="127" t="s">
        <v>2288</v>
      </c>
      <c r="C301" s="127" t="s">
        <v>2289</v>
      </c>
      <c r="D301" s="128">
        <v>42340</v>
      </c>
      <c r="E301" s="102" t="s">
        <v>2292</v>
      </c>
      <c r="F301" s="102">
        <v>0</v>
      </c>
      <c r="G301" s="102">
        <v>1</v>
      </c>
      <c r="H301" s="102">
        <v>0</v>
      </c>
      <c r="I301" s="102">
        <v>0</v>
      </c>
      <c r="J301" s="102">
        <v>0</v>
      </c>
      <c r="K301" s="102">
        <v>1</v>
      </c>
      <c r="L301" s="102">
        <v>1</v>
      </c>
      <c r="M301" s="102">
        <v>0</v>
      </c>
      <c r="N301" s="102">
        <v>0</v>
      </c>
      <c r="O301" s="102">
        <v>0</v>
      </c>
      <c r="P301" s="102">
        <v>0</v>
      </c>
      <c r="Q301" s="102">
        <v>0</v>
      </c>
      <c r="R301" s="120"/>
      <c r="S301" s="120"/>
      <c r="T301" s="120"/>
      <c r="U301" s="120"/>
      <c r="V301" s="120"/>
      <c r="W301" s="120"/>
      <c r="X301" s="120"/>
      <c r="Y301" s="120"/>
      <c r="Z301" s="120"/>
      <c r="AA301" s="120"/>
      <c r="AB301" s="120"/>
    </row>
    <row r="302" spans="1:28" ht="15.75" customHeight="1" x14ac:dyDescent="0.55000000000000004">
      <c r="A302" s="127" t="s">
        <v>2287</v>
      </c>
      <c r="B302" s="127" t="s">
        <v>2288</v>
      </c>
      <c r="C302" s="127" t="s">
        <v>2289</v>
      </c>
      <c r="D302" s="128">
        <v>42340</v>
      </c>
      <c r="E302" s="102" t="s">
        <v>2229</v>
      </c>
      <c r="F302" s="102">
        <v>0</v>
      </c>
      <c r="G302" s="102">
        <v>1</v>
      </c>
      <c r="H302" s="102">
        <v>1</v>
      </c>
      <c r="I302" s="102">
        <v>0</v>
      </c>
      <c r="J302" s="102">
        <v>0</v>
      </c>
      <c r="K302" s="102">
        <v>1</v>
      </c>
      <c r="L302" s="102">
        <v>1</v>
      </c>
      <c r="M302" s="102">
        <v>0</v>
      </c>
      <c r="N302" s="102">
        <v>0</v>
      </c>
      <c r="O302" s="102">
        <v>0</v>
      </c>
      <c r="P302" s="102">
        <v>0</v>
      </c>
      <c r="Q302" s="102">
        <v>0</v>
      </c>
      <c r="R302" s="120"/>
      <c r="S302" s="120"/>
      <c r="T302" s="120"/>
      <c r="U302" s="120"/>
      <c r="V302" s="120"/>
      <c r="W302" s="120"/>
      <c r="X302" s="120"/>
      <c r="Y302" s="120"/>
      <c r="Z302" s="120"/>
      <c r="AA302" s="120"/>
      <c r="AB302" s="120"/>
    </row>
    <row r="303" spans="1:28" ht="15.75" customHeight="1" x14ac:dyDescent="0.55000000000000004">
      <c r="A303" s="118">
        <v>144</v>
      </c>
      <c r="B303" s="118" t="s">
        <v>1819</v>
      </c>
      <c r="C303" s="118" t="s">
        <v>1820</v>
      </c>
      <c r="D303" s="119">
        <v>42420</v>
      </c>
      <c r="E303" s="102" t="s">
        <v>2293</v>
      </c>
      <c r="F303" s="102">
        <v>0</v>
      </c>
      <c r="G303" s="102">
        <v>1</v>
      </c>
      <c r="H303" s="102">
        <v>1</v>
      </c>
      <c r="I303" s="102">
        <v>0</v>
      </c>
      <c r="J303" s="102">
        <v>1</v>
      </c>
      <c r="K303" s="102">
        <v>1</v>
      </c>
      <c r="L303" s="102">
        <v>1</v>
      </c>
      <c r="M303" s="102">
        <v>0</v>
      </c>
      <c r="N303" s="102">
        <v>0</v>
      </c>
      <c r="O303" s="102">
        <v>0</v>
      </c>
      <c r="P303" s="102">
        <v>0</v>
      </c>
      <c r="Q303" s="102">
        <v>0</v>
      </c>
      <c r="R303" s="120"/>
      <c r="S303" s="120"/>
      <c r="T303" s="120"/>
      <c r="U303" s="120"/>
      <c r="V303" s="120"/>
      <c r="W303" s="120"/>
      <c r="X303" s="120"/>
      <c r="Y303" s="120"/>
      <c r="Z303" s="120"/>
      <c r="AA303" s="120"/>
      <c r="AB303" s="120"/>
    </row>
    <row r="304" spans="1:28" ht="16.5" customHeight="1" x14ac:dyDescent="0.55000000000000004">
      <c r="A304" s="118">
        <v>144</v>
      </c>
      <c r="B304" s="118" t="s">
        <v>1819</v>
      </c>
      <c r="C304" s="118" t="s">
        <v>1820</v>
      </c>
      <c r="D304" s="119">
        <v>42420</v>
      </c>
      <c r="E304" s="102" t="s">
        <v>2178</v>
      </c>
      <c r="F304" s="102">
        <v>0</v>
      </c>
      <c r="G304" s="102">
        <v>1</v>
      </c>
      <c r="H304" s="102">
        <v>1</v>
      </c>
      <c r="I304" s="102">
        <v>0</v>
      </c>
      <c r="J304" s="102">
        <v>0</v>
      </c>
      <c r="K304" s="102">
        <v>1</v>
      </c>
      <c r="L304" s="102">
        <v>1</v>
      </c>
      <c r="M304" s="102">
        <v>0</v>
      </c>
      <c r="N304" s="102">
        <v>0</v>
      </c>
      <c r="O304" s="102">
        <v>0</v>
      </c>
      <c r="P304" s="102">
        <v>0</v>
      </c>
      <c r="Q304" s="102">
        <v>0</v>
      </c>
      <c r="R304" s="120"/>
      <c r="S304" s="120"/>
      <c r="T304" s="120"/>
      <c r="U304" s="120"/>
      <c r="V304" s="120"/>
      <c r="W304" s="120"/>
      <c r="X304" s="120"/>
      <c r="Y304" s="120"/>
      <c r="Z304" s="120"/>
      <c r="AA304" s="120"/>
      <c r="AB304" s="120"/>
    </row>
    <row r="305" spans="1:28" ht="15.75" customHeight="1" x14ac:dyDescent="0.55000000000000004">
      <c r="A305" s="129" t="s">
        <v>1825</v>
      </c>
      <c r="B305" s="129"/>
      <c r="C305" s="129"/>
      <c r="D305" s="130"/>
      <c r="E305" s="102"/>
      <c r="F305" s="102"/>
      <c r="G305" s="102">
        <v>1</v>
      </c>
      <c r="H305" s="102"/>
      <c r="I305" s="102"/>
      <c r="J305" s="102"/>
      <c r="K305" s="102"/>
      <c r="L305" s="102"/>
      <c r="M305" s="102"/>
      <c r="N305" s="102"/>
      <c r="O305" s="102"/>
      <c r="P305" s="102"/>
      <c r="Q305" s="102"/>
      <c r="R305" s="131"/>
      <c r="S305" s="131"/>
      <c r="T305" s="131"/>
      <c r="U305" s="131"/>
      <c r="V305" s="131"/>
      <c r="W305" s="131"/>
      <c r="X305" s="131"/>
      <c r="Y305" s="131"/>
      <c r="Z305" s="131"/>
      <c r="AA305" s="131"/>
      <c r="AB305" s="131"/>
    </row>
    <row r="306" spans="1:28" ht="15.75" customHeight="1" x14ac:dyDescent="0.55000000000000004">
      <c r="A306" s="121">
        <v>147</v>
      </c>
      <c r="B306" s="121" t="s">
        <v>1828</v>
      </c>
      <c r="C306" s="121" t="s">
        <v>1649</v>
      </c>
      <c r="D306" s="122">
        <v>42533</v>
      </c>
      <c r="E306" s="102" t="s">
        <v>2189</v>
      </c>
      <c r="F306" s="102">
        <v>0</v>
      </c>
      <c r="G306" s="102">
        <v>2</v>
      </c>
      <c r="H306" s="102">
        <v>1</v>
      </c>
      <c r="I306" s="102">
        <v>0</v>
      </c>
      <c r="J306" s="102">
        <v>0</v>
      </c>
      <c r="K306" s="102">
        <v>0</v>
      </c>
      <c r="L306" s="102">
        <v>1</v>
      </c>
      <c r="M306" s="102">
        <v>0</v>
      </c>
      <c r="N306" s="102">
        <v>0</v>
      </c>
      <c r="O306" s="102">
        <v>0</v>
      </c>
      <c r="P306" s="102">
        <v>0</v>
      </c>
      <c r="Q306" s="102">
        <v>0</v>
      </c>
      <c r="R306" s="120"/>
      <c r="S306" s="120"/>
      <c r="T306" s="120"/>
      <c r="U306" s="120"/>
      <c r="V306" s="120"/>
      <c r="W306" s="120"/>
      <c r="X306" s="120"/>
      <c r="Y306" s="120"/>
      <c r="Z306" s="120"/>
      <c r="AA306" s="120"/>
      <c r="AB306" s="120"/>
    </row>
    <row r="307" spans="1:28" ht="15.75" customHeight="1" x14ac:dyDescent="0.55000000000000004">
      <c r="A307" s="121">
        <v>147</v>
      </c>
      <c r="B307" s="121" t="s">
        <v>1828</v>
      </c>
      <c r="C307" s="121" t="s">
        <v>1649</v>
      </c>
      <c r="D307" s="122">
        <v>42533</v>
      </c>
      <c r="E307" s="102" t="s">
        <v>2294</v>
      </c>
      <c r="F307" s="102">
        <v>3</v>
      </c>
      <c r="G307" s="102"/>
      <c r="H307" s="102">
        <v>1</v>
      </c>
      <c r="I307" s="102">
        <v>0</v>
      </c>
      <c r="J307" s="102">
        <v>1</v>
      </c>
      <c r="K307" s="102">
        <v>0</v>
      </c>
      <c r="L307" s="102">
        <v>1</v>
      </c>
      <c r="M307" s="102">
        <v>0</v>
      </c>
      <c r="N307" s="102">
        <v>0</v>
      </c>
      <c r="O307" s="102">
        <v>0</v>
      </c>
      <c r="P307" s="102">
        <v>0</v>
      </c>
      <c r="Q307" s="102">
        <v>0</v>
      </c>
      <c r="R307" s="120"/>
      <c r="S307" s="120"/>
      <c r="T307" s="120"/>
      <c r="U307" s="120"/>
      <c r="V307" s="120"/>
      <c r="W307" s="120"/>
      <c r="X307" s="120"/>
      <c r="Y307" s="120"/>
      <c r="Z307" s="120"/>
      <c r="AA307" s="120"/>
      <c r="AB307" s="120"/>
    </row>
    <row r="308" spans="1:28" ht="15.75" customHeight="1" x14ac:dyDescent="0.55000000000000004">
      <c r="A308" s="123">
        <v>148</v>
      </c>
      <c r="B308" s="123" t="s">
        <v>1319</v>
      </c>
      <c r="C308" s="123" t="s">
        <v>1833</v>
      </c>
      <c r="D308" s="124">
        <v>42558</v>
      </c>
      <c r="E308" s="102" t="s">
        <v>2295</v>
      </c>
      <c r="F308" s="102">
        <v>3</v>
      </c>
      <c r="G308" s="102">
        <v>1</v>
      </c>
      <c r="H308" s="102">
        <v>1</v>
      </c>
      <c r="I308" s="102">
        <v>1</v>
      </c>
      <c r="J308" s="102">
        <v>1</v>
      </c>
      <c r="K308" s="102">
        <v>1</v>
      </c>
      <c r="L308" s="102">
        <v>3</v>
      </c>
      <c r="M308" s="102">
        <v>0</v>
      </c>
      <c r="N308" s="102">
        <v>0</v>
      </c>
      <c r="O308" s="102">
        <v>0</v>
      </c>
      <c r="P308" s="102">
        <v>0</v>
      </c>
      <c r="Q308" s="102">
        <v>0</v>
      </c>
      <c r="R308" s="120"/>
      <c r="S308" s="120"/>
      <c r="T308" s="120"/>
      <c r="U308" s="120"/>
      <c r="V308" s="120"/>
      <c r="W308" s="120"/>
      <c r="X308" s="120"/>
      <c r="Y308" s="120"/>
      <c r="Z308" s="120"/>
      <c r="AA308" s="120"/>
      <c r="AB308" s="120"/>
    </row>
    <row r="309" spans="1:28" ht="15.75" customHeight="1" x14ac:dyDescent="0.55000000000000004">
      <c r="A309" s="123">
        <v>148</v>
      </c>
      <c r="B309" s="123" t="s">
        <v>1319</v>
      </c>
      <c r="C309" s="123" t="s">
        <v>1833</v>
      </c>
      <c r="D309" s="124">
        <v>42558</v>
      </c>
      <c r="E309" s="102" t="s">
        <v>2151</v>
      </c>
      <c r="F309" s="102">
        <v>0</v>
      </c>
      <c r="G309" s="102">
        <v>0</v>
      </c>
      <c r="H309" s="102">
        <v>0</v>
      </c>
      <c r="I309" s="102">
        <v>0</v>
      </c>
      <c r="J309" s="102">
        <v>0</v>
      </c>
      <c r="K309" s="102">
        <v>1</v>
      </c>
      <c r="L309" s="102">
        <v>3</v>
      </c>
      <c r="M309" s="102">
        <v>0</v>
      </c>
      <c r="N309" s="102">
        <v>0</v>
      </c>
      <c r="O309" s="102">
        <v>0</v>
      </c>
      <c r="P309" s="102">
        <v>0</v>
      </c>
      <c r="Q309" s="102">
        <v>0</v>
      </c>
      <c r="R309" s="120"/>
      <c r="S309" s="120"/>
      <c r="T309" s="120"/>
      <c r="U309" s="120"/>
      <c r="V309" s="120"/>
      <c r="W309" s="120"/>
      <c r="X309" s="120"/>
      <c r="Y309" s="120"/>
      <c r="Z309" s="120"/>
      <c r="AA309" s="120"/>
      <c r="AB309" s="120"/>
    </row>
    <row r="310" spans="1:28" ht="15.75" customHeight="1" x14ac:dyDescent="0.55000000000000004">
      <c r="A310" s="123">
        <v>148</v>
      </c>
      <c r="B310" s="123" t="s">
        <v>1319</v>
      </c>
      <c r="C310" s="123" t="s">
        <v>1833</v>
      </c>
      <c r="D310" s="124">
        <v>42558</v>
      </c>
      <c r="E310" s="102" t="s">
        <v>2147</v>
      </c>
      <c r="F310" s="102">
        <v>0</v>
      </c>
      <c r="G310" s="102">
        <v>0</v>
      </c>
      <c r="H310" s="102">
        <v>0</v>
      </c>
      <c r="I310" s="102">
        <v>0</v>
      </c>
      <c r="J310" s="102">
        <v>0</v>
      </c>
      <c r="K310" s="102">
        <v>1</v>
      </c>
      <c r="L310" s="102">
        <v>3</v>
      </c>
      <c r="M310" s="102">
        <v>0</v>
      </c>
      <c r="N310" s="102">
        <v>0</v>
      </c>
      <c r="O310" s="102">
        <v>0</v>
      </c>
      <c r="P310" s="102">
        <v>0</v>
      </c>
      <c r="Q310" s="102">
        <v>0</v>
      </c>
      <c r="R310" s="120"/>
      <c r="S310" s="120"/>
      <c r="T310" s="120"/>
      <c r="U310" s="120"/>
      <c r="V310" s="120"/>
      <c r="W310" s="120"/>
      <c r="X310" s="120"/>
      <c r="Y310" s="120"/>
      <c r="Z310" s="120"/>
      <c r="AA310" s="120"/>
      <c r="AB310" s="120"/>
    </row>
    <row r="311" spans="1:28" ht="15.75" customHeight="1" x14ac:dyDescent="0.55000000000000004">
      <c r="A311" s="125">
        <v>149</v>
      </c>
      <c r="B311" s="125" t="s">
        <v>1841</v>
      </c>
      <c r="C311" s="125" t="s">
        <v>1842</v>
      </c>
      <c r="D311" s="126">
        <v>42636</v>
      </c>
      <c r="E311" s="102" t="s">
        <v>2296</v>
      </c>
      <c r="F311" s="102">
        <v>2</v>
      </c>
      <c r="G311" s="102">
        <v>1</v>
      </c>
      <c r="H311" s="102">
        <v>1</v>
      </c>
      <c r="I311" s="102">
        <v>0</v>
      </c>
      <c r="J311" s="102">
        <v>1</v>
      </c>
      <c r="K311" s="102">
        <v>0</v>
      </c>
      <c r="L311" s="102">
        <v>0</v>
      </c>
      <c r="M311" s="102">
        <v>0</v>
      </c>
      <c r="N311" s="102">
        <v>0</v>
      </c>
      <c r="O311" s="102">
        <v>0</v>
      </c>
      <c r="P311" s="102">
        <v>1</v>
      </c>
      <c r="Q311" s="102">
        <v>0</v>
      </c>
      <c r="R311" s="120"/>
      <c r="S311" s="120"/>
      <c r="T311" s="120"/>
      <c r="U311" s="120"/>
      <c r="V311" s="120"/>
      <c r="W311" s="120"/>
      <c r="X311" s="120"/>
      <c r="Y311" s="120"/>
      <c r="Z311" s="120"/>
      <c r="AA311" s="120"/>
      <c r="AB311" s="120"/>
    </row>
    <row r="312" spans="1:28" ht="15.75" customHeight="1" x14ac:dyDescent="0.55000000000000004">
      <c r="A312" s="127">
        <v>150</v>
      </c>
      <c r="B312" s="127" t="s">
        <v>1850</v>
      </c>
      <c r="C312" s="127" t="s">
        <v>1851</v>
      </c>
      <c r="D312" s="128">
        <v>42741</v>
      </c>
      <c r="E312" s="102" t="s">
        <v>2297</v>
      </c>
      <c r="F312" s="102">
        <v>0</v>
      </c>
      <c r="G312" s="102"/>
      <c r="H312" s="102">
        <v>1</v>
      </c>
      <c r="I312" s="102">
        <v>0</v>
      </c>
      <c r="J312" s="102">
        <v>0</v>
      </c>
      <c r="K312" s="102">
        <v>1</v>
      </c>
      <c r="L312" s="102"/>
      <c r="M312" s="102"/>
      <c r="N312" s="102"/>
      <c r="O312" s="102"/>
      <c r="P312" s="102"/>
      <c r="Q312" s="102">
        <v>1</v>
      </c>
      <c r="R312" s="120"/>
      <c r="S312" s="120"/>
      <c r="T312" s="120"/>
      <c r="U312" s="120"/>
      <c r="V312" s="120"/>
      <c r="W312" s="120"/>
      <c r="X312" s="120"/>
      <c r="Y312" s="120"/>
      <c r="Z312" s="120"/>
      <c r="AA312" s="120"/>
      <c r="AB312" s="120"/>
    </row>
    <row r="313" spans="1:28" ht="15.75" customHeight="1" x14ac:dyDescent="0.55000000000000004">
      <c r="A313" s="118">
        <v>151</v>
      </c>
      <c r="B313" s="118" t="s">
        <v>1855</v>
      </c>
      <c r="C313" s="118" t="s">
        <v>1856</v>
      </c>
      <c r="D313" s="119">
        <v>42772</v>
      </c>
      <c r="E313" s="102" t="s">
        <v>680</v>
      </c>
      <c r="F313" s="102"/>
      <c r="G313" s="102">
        <v>2</v>
      </c>
      <c r="H313" s="102"/>
      <c r="I313" s="102"/>
      <c r="J313" s="102"/>
      <c r="K313" s="102"/>
      <c r="L313" s="102"/>
      <c r="M313" s="102"/>
      <c r="N313" s="102"/>
      <c r="O313" s="102"/>
      <c r="P313" s="102"/>
      <c r="Q313" s="102">
        <v>1</v>
      </c>
      <c r="R313" s="120"/>
      <c r="S313" s="120"/>
      <c r="T313" s="120"/>
      <c r="U313" s="120"/>
      <c r="V313" s="120"/>
      <c r="W313" s="120"/>
      <c r="X313" s="120"/>
      <c r="Y313" s="120"/>
      <c r="Z313" s="120"/>
      <c r="AA313" s="120"/>
      <c r="AB313" s="120"/>
    </row>
    <row r="314" spans="1:28" ht="15.75" customHeight="1" x14ac:dyDescent="0.55000000000000004">
      <c r="A314" s="121">
        <v>152</v>
      </c>
      <c r="B314" s="121" t="s">
        <v>1467</v>
      </c>
      <c r="C314" s="121" t="s">
        <v>1860</v>
      </c>
      <c r="D314" s="122">
        <v>42816</v>
      </c>
      <c r="E314" s="102" t="s">
        <v>2298</v>
      </c>
      <c r="F314" s="102">
        <v>2</v>
      </c>
      <c r="G314" s="102"/>
      <c r="H314" s="102">
        <v>1</v>
      </c>
      <c r="I314" s="102">
        <v>0</v>
      </c>
      <c r="J314" s="102">
        <v>0</v>
      </c>
      <c r="K314" s="102">
        <v>1</v>
      </c>
      <c r="L314" s="102"/>
      <c r="M314" s="102"/>
      <c r="N314" s="102"/>
      <c r="O314" s="102"/>
      <c r="P314" s="102"/>
      <c r="Q314" s="102">
        <v>1</v>
      </c>
      <c r="R314" s="120"/>
      <c r="S314" s="120"/>
      <c r="T314" s="120"/>
      <c r="U314" s="120"/>
      <c r="V314" s="120"/>
      <c r="W314" s="120"/>
      <c r="X314" s="120"/>
      <c r="Y314" s="120"/>
      <c r="Z314" s="120"/>
      <c r="AA314" s="120"/>
      <c r="AB314" s="120"/>
    </row>
    <row r="315" spans="1:28" ht="15.75" customHeight="1" x14ac:dyDescent="0.55000000000000004">
      <c r="A315" s="121">
        <v>152</v>
      </c>
      <c r="B315" s="121" t="s">
        <v>1467</v>
      </c>
      <c r="C315" s="121" t="s">
        <v>1860</v>
      </c>
      <c r="D315" s="122">
        <v>42816</v>
      </c>
      <c r="E315" s="102" t="s">
        <v>2074</v>
      </c>
      <c r="F315" s="102">
        <v>0</v>
      </c>
      <c r="G315" s="102"/>
      <c r="H315" s="102">
        <v>1</v>
      </c>
      <c r="I315" s="102">
        <v>0</v>
      </c>
      <c r="J315" s="102">
        <v>0</v>
      </c>
      <c r="K315" s="102">
        <v>1</v>
      </c>
      <c r="L315" s="102"/>
      <c r="M315" s="102"/>
      <c r="N315" s="102"/>
      <c r="O315" s="102"/>
      <c r="P315" s="102"/>
      <c r="Q315" s="102">
        <v>1</v>
      </c>
      <c r="R315" s="120"/>
      <c r="S315" s="120"/>
      <c r="T315" s="120"/>
      <c r="U315" s="120"/>
      <c r="V315" s="120"/>
      <c r="W315" s="120"/>
      <c r="X315" s="120"/>
      <c r="Y315" s="120"/>
      <c r="Z315" s="120"/>
      <c r="AA315" s="120"/>
      <c r="AB315" s="120"/>
    </row>
    <row r="316" spans="1:28" ht="15.75" customHeight="1" x14ac:dyDescent="0.55000000000000004">
      <c r="A316" s="123">
        <v>153</v>
      </c>
      <c r="B316" s="123" t="s">
        <v>1865</v>
      </c>
      <c r="C316" s="123" t="s">
        <v>1014</v>
      </c>
      <c r="D316" s="124">
        <v>42891</v>
      </c>
      <c r="E316" s="102" t="s">
        <v>2117</v>
      </c>
      <c r="F316" s="102">
        <v>0</v>
      </c>
      <c r="G316" s="102">
        <v>2</v>
      </c>
      <c r="H316" s="102">
        <v>1</v>
      </c>
      <c r="I316" s="102">
        <v>0</v>
      </c>
      <c r="J316" s="102">
        <v>0</v>
      </c>
      <c r="K316" s="102"/>
      <c r="L316" s="102"/>
      <c r="M316" s="102"/>
      <c r="N316" s="102"/>
      <c r="O316" s="102"/>
      <c r="P316" s="102"/>
      <c r="Q316" s="102">
        <v>1</v>
      </c>
      <c r="R316" s="120"/>
      <c r="S316" s="120"/>
      <c r="T316" s="120"/>
      <c r="U316" s="120"/>
      <c r="V316" s="120"/>
      <c r="W316" s="120"/>
      <c r="X316" s="120"/>
      <c r="Y316" s="120"/>
      <c r="Z316" s="120"/>
      <c r="AA316" s="120"/>
      <c r="AB316" s="120"/>
    </row>
    <row r="317" spans="1:28" ht="15.75" customHeight="1" x14ac:dyDescent="0.55000000000000004">
      <c r="A317" s="125">
        <v>154</v>
      </c>
      <c r="B317" s="125" t="s">
        <v>1869</v>
      </c>
      <c r="C317" s="125" t="s">
        <v>1870</v>
      </c>
      <c r="D317" s="126">
        <v>43009</v>
      </c>
      <c r="E317" s="102" t="s">
        <v>2299</v>
      </c>
      <c r="F317" s="102">
        <v>3</v>
      </c>
      <c r="G317" s="102">
        <v>2</v>
      </c>
      <c r="H317" s="102">
        <v>1</v>
      </c>
      <c r="I317" s="102">
        <v>1</v>
      </c>
      <c r="J317" s="102">
        <v>1</v>
      </c>
      <c r="K317" s="102">
        <v>1</v>
      </c>
      <c r="L317" s="102">
        <v>1</v>
      </c>
      <c r="M317" s="102">
        <v>0</v>
      </c>
      <c r="N317" s="102">
        <v>0</v>
      </c>
      <c r="O317" s="102">
        <v>0</v>
      </c>
      <c r="P317" s="102">
        <v>0</v>
      </c>
      <c r="Q317" s="102">
        <v>0</v>
      </c>
      <c r="R317" s="120"/>
      <c r="S317" s="120"/>
      <c r="T317" s="120"/>
      <c r="U317" s="120"/>
      <c r="V317" s="120"/>
      <c r="W317" s="120"/>
      <c r="X317" s="120"/>
      <c r="Y317" s="120"/>
      <c r="Z317" s="120"/>
      <c r="AA317" s="120"/>
      <c r="AB317" s="120"/>
    </row>
    <row r="318" spans="1:28" ht="15.75" customHeight="1" x14ac:dyDescent="0.55000000000000004">
      <c r="A318" s="125">
        <v>154</v>
      </c>
      <c r="B318" s="125" t="s">
        <v>1869</v>
      </c>
      <c r="C318" s="125" t="s">
        <v>1870</v>
      </c>
      <c r="D318" s="126">
        <v>43009</v>
      </c>
      <c r="E318" s="102" t="s">
        <v>2300</v>
      </c>
      <c r="F318" s="102">
        <v>3</v>
      </c>
      <c r="G318" s="102">
        <v>2</v>
      </c>
      <c r="H318" s="102">
        <v>0</v>
      </c>
      <c r="I318" s="102">
        <v>1</v>
      </c>
      <c r="J318" s="102">
        <v>1</v>
      </c>
      <c r="K318" s="102">
        <v>1</v>
      </c>
      <c r="L318" s="102">
        <v>1</v>
      </c>
      <c r="M318" s="102">
        <v>0</v>
      </c>
      <c r="N318" s="102">
        <v>0</v>
      </c>
      <c r="O318" s="102">
        <v>0</v>
      </c>
      <c r="P318" s="102">
        <v>0</v>
      </c>
      <c r="Q318" s="102">
        <v>0</v>
      </c>
      <c r="R318" s="120"/>
      <c r="S318" s="120"/>
      <c r="T318" s="120"/>
      <c r="U318" s="120"/>
      <c r="V318" s="120"/>
      <c r="W318" s="120"/>
      <c r="X318" s="120"/>
      <c r="Y318" s="120"/>
      <c r="Z318" s="120"/>
      <c r="AA318" s="120"/>
      <c r="AB318" s="120"/>
    </row>
    <row r="319" spans="1:28" ht="15.75" customHeight="1" x14ac:dyDescent="0.55000000000000004">
      <c r="A319" s="125">
        <v>154</v>
      </c>
      <c r="B319" s="125" t="s">
        <v>1869</v>
      </c>
      <c r="C319" s="125" t="s">
        <v>1870</v>
      </c>
      <c r="D319" s="126">
        <v>43009</v>
      </c>
      <c r="E319" s="102" t="s">
        <v>2301</v>
      </c>
      <c r="F319" s="102">
        <v>3</v>
      </c>
      <c r="G319" s="102">
        <v>2</v>
      </c>
      <c r="H319" s="102">
        <v>1</v>
      </c>
      <c r="I319" s="102">
        <v>1</v>
      </c>
      <c r="J319" s="102">
        <v>1</v>
      </c>
      <c r="K319" s="102">
        <v>1</v>
      </c>
      <c r="L319" s="102">
        <v>1</v>
      </c>
      <c r="M319" s="102">
        <v>0</v>
      </c>
      <c r="N319" s="102">
        <v>0</v>
      </c>
      <c r="O319" s="102">
        <v>0</v>
      </c>
      <c r="P319" s="102">
        <v>0</v>
      </c>
      <c r="Q319" s="102">
        <v>0</v>
      </c>
      <c r="R319" s="120"/>
      <c r="S319" s="120"/>
      <c r="T319" s="120"/>
      <c r="U319" s="120"/>
      <c r="V319" s="120"/>
      <c r="W319" s="120"/>
      <c r="X319" s="120"/>
      <c r="Y319" s="120"/>
      <c r="Z319" s="120"/>
      <c r="AA319" s="120"/>
      <c r="AB319" s="120"/>
    </row>
    <row r="320" spans="1:28" ht="15.75" customHeight="1" x14ac:dyDescent="0.55000000000000004">
      <c r="A320" s="125">
        <v>154</v>
      </c>
      <c r="B320" s="125" t="s">
        <v>1869</v>
      </c>
      <c r="C320" s="125" t="s">
        <v>1870</v>
      </c>
      <c r="D320" s="126">
        <v>43009</v>
      </c>
      <c r="E320" s="102" t="s">
        <v>2302</v>
      </c>
      <c r="F320" s="102">
        <v>3</v>
      </c>
      <c r="G320" s="102">
        <v>2</v>
      </c>
      <c r="H320" s="102">
        <v>1</v>
      </c>
      <c r="I320" s="102">
        <v>1</v>
      </c>
      <c r="J320" s="102">
        <v>1</v>
      </c>
      <c r="K320" s="102">
        <v>1</v>
      </c>
      <c r="L320" s="102">
        <v>1</v>
      </c>
      <c r="M320" s="102">
        <v>0</v>
      </c>
      <c r="N320" s="102">
        <v>0</v>
      </c>
      <c r="O320" s="102">
        <v>0</v>
      </c>
      <c r="P320" s="102">
        <v>0</v>
      </c>
      <c r="Q320" s="102">
        <v>0</v>
      </c>
      <c r="R320" s="120"/>
      <c r="S320" s="120"/>
      <c r="T320" s="120"/>
      <c r="U320" s="120"/>
      <c r="V320" s="120"/>
      <c r="W320" s="120"/>
      <c r="X320" s="120"/>
      <c r="Y320" s="120"/>
      <c r="Z320" s="120"/>
      <c r="AA320" s="120"/>
      <c r="AB320" s="120"/>
    </row>
    <row r="321" spans="1:28" ht="15.75" customHeight="1" x14ac:dyDescent="0.55000000000000004">
      <c r="A321" s="125">
        <v>154</v>
      </c>
      <c r="B321" s="125" t="s">
        <v>1869</v>
      </c>
      <c r="C321" s="125" t="s">
        <v>1870</v>
      </c>
      <c r="D321" s="126">
        <v>43009</v>
      </c>
      <c r="E321" s="102" t="s">
        <v>2303</v>
      </c>
      <c r="F321" s="102">
        <v>3</v>
      </c>
      <c r="G321" s="102">
        <v>2</v>
      </c>
      <c r="H321" s="102">
        <v>1</v>
      </c>
      <c r="I321" s="102">
        <v>1</v>
      </c>
      <c r="J321" s="102">
        <v>1</v>
      </c>
      <c r="K321" s="102">
        <v>1</v>
      </c>
      <c r="L321" s="102">
        <v>1</v>
      </c>
      <c r="M321" s="102">
        <v>0</v>
      </c>
      <c r="N321" s="102">
        <v>0</v>
      </c>
      <c r="O321" s="102">
        <v>0</v>
      </c>
      <c r="P321" s="102">
        <v>0</v>
      </c>
      <c r="Q321" s="102">
        <v>0</v>
      </c>
      <c r="R321" s="120"/>
      <c r="S321" s="120"/>
      <c r="T321" s="120"/>
      <c r="U321" s="120"/>
      <c r="V321" s="120"/>
      <c r="W321" s="120"/>
      <c r="X321" s="120"/>
      <c r="Y321" s="120"/>
      <c r="Z321" s="120"/>
      <c r="AA321" s="120"/>
      <c r="AB321" s="120"/>
    </row>
    <row r="322" spans="1:28" ht="15.75" customHeight="1" x14ac:dyDescent="0.55000000000000004">
      <c r="A322" s="125">
        <v>154</v>
      </c>
      <c r="B322" s="125" t="s">
        <v>1869</v>
      </c>
      <c r="C322" s="125" t="s">
        <v>1870</v>
      </c>
      <c r="D322" s="126">
        <v>43009</v>
      </c>
      <c r="E322" s="102" t="s">
        <v>2304</v>
      </c>
      <c r="F322" s="102">
        <v>3</v>
      </c>
      <c r="G322" s="102">
        <v>2</v>
      </c>
      <c r="H322" s="102">
        <v>1</v>
      </c>
      <c r="I322" s="102">
        <v>1</v>
      </c>
      <c r="J322" s="102">
        <v>1</v>
      </c>
      <c r="K322" s="102">
        <v>1</v>
      </c>
      <c r="L322" s="102">
        <v>1</v>
      </c>
      <c r="M322" s="102">
        <v>0</v>
      </c>
      <c r="N322" s="102">
        <v>0</v>
      </c>
      <c r="O322" s="102">
        <v>0</v>
      </c>
      <c r="P322" s="102">
        <v>0</v>
      </c>
      <c r="Q322" s="102">
        <v>0</v>
      </c>
      <c r="R322" s="120"/>
      <c r="S322" s="120"/>
      <c r="T322" s="120"/>
      <c r="U322" s="120"/>
      <c r="V322" s="120"/>
      <c r="W322" s="120"/>
      <c r="X322" s="120"/>
      <c r="Y322" s="120"/>
      <c r="Z322" s="120"/>
      <c r="AA322" s="120"/>
      <c r="AB322" s="120"/>
    </row>
    <row r="323" spans="1:28" ht="15.75" customHeight="1" x14ac:dyDescent="0.55000000000000004">
      <c r="A323" s="125">
        <v>154</v>
      </c>
      <c r="B323" s="125" t="s">
        <v>1869</v>
      </c>
      <c r="C323" s="125" t="s">
        <v>1870</v>
      </c>
      <c r="D323" s="126">
        <v>43009</v>
      </c>
      <c r="E323" s="102" t="s">
        <v>2305</v>
      </c>
      <c r="F323" s="102">
        <v>3</v>
      </c>
      <c r="G323" s="102">
        <v>2</v>
      </c>
      <c r="H323" s="102">
        <v>0</v>
      </c>
      <c r="I323" s="102">
        <v>1</v>
      </c>
      <c r="J323" s="102">
        <v>0</v>
      </c>
      <c r="K323" s="102">
        <v>1</v>
      </c>
      <c r="L323" s="102">
        <v>1</v>
      </c>
      <c r="M323" s="102">
        <v>0</v>
      </c>
      <c r="N323" s="102">
        <v>0</v>
      </c>
      <c r="O323" s="102">
        <v>0</v>
      </c>
      <c r="P323" s="102">
        <v>0</v>
      </c>
      <c r="Q323" s="102">
        <v>0</v>
      </c>
      <c r="R323" s="120"/>
      <c r="S323" s="120"/>
      <c r="T323" s="120"/>
      <c r="U323" s="120"/>
      <c r="V323" s="120"/>
      <c r="W323" s="120"/>
      <c r="X323" s="120"/>
      <c r="Y323" s="120"/>
      <c r="Z323" s="120"/>
      <c r="AA323" s="120"/>
      <c r="AB323" s="120"/>
    </row>
    <row r="324" spans="1:28" ht="15.75" customHeight="1" x14ac:dyDescent="0.55000000000000004">
      <c r="A324" s="125">
        <v>154</v>
      </c>
      <c r="B324" s="125" t="s">
        <v>1869</v>
      </c>
      <c r="C324" s="125" t="s">
        <v>1870</v>
      </c>
      <c r="D324" s="126">
        <v>43009</v>
      </c>
      <c r="E324" s="102" t="s">
        <v>2305</v>
      </c>
      <c r="F324" s="102">
        <v>3</v>
      </c>
      <c r="G324" s="102">
        <v>2</v>
      </c>
      <c r="H324" s="102">
        <v>0</v>
      </c>
      <c r="I324" s="102">
        <v>1</v>
      </c>
      <c r="J324" s="102">
        <v>0</v>
      </c>
      <c r="K324" s="102">
        <v>1</v>
      </c>
      <c r="L324" s="102">
        <v>1</v>
      </c>
      <c r="M324" s="102">
        <v>0</v>
      </c>
      <c r="N324" s="102">
        <v>0</v>
      </c>
      <c r="O324" s="102">
        <v>0</v>
      </c>
      <c r="P324" s="102">
        <v>0</v>
      </c>
      <c r="Q324" s="102">
        <v>0</v>
      </c>
      <c r="R324" s="120"/>
      <c r="S324" s="120"/>
      <c r="T324" s="120"/>
      <c r="U324" s="120"/>
      <c r="V324" s="120"/>
      <c r="W324" s="120"/>
      <c r="X324" s="120"/>
      <c r="Y324" s="120"/>
      <c r="Z324" s="120"/>
      <c r="AA324" s="120"/>
      <c r="AB324" s="120"/>
    </row>
    <row r="325" spans="1:28" ht="15.75" customHeight="1" x14ac:dyDescent="0.55000000000000004">
      <c r="A325" s="125">
        <v>154</v>
      </c>
      <c r="B325" s="125" t="s">
        <v>1869</v>
      </c>
      <c r="C325" s="125" t="s">
        <v>1870</v>
      </c>
      <c r="D325" s="126">
        <v>43009</v>
      </c>
      <c r="E325" s="102" t="s">
        <v>2306</v>
      </c>
      <c r="F325" s="102">
        <v>3</v>
      </c>
      <c r="G325" s="102">
        <v>2</v>
      </c>
      <c r="H325" s="102">
        <v>1</v>
      </c>
      <c r="I325" s="102">
        <v>1</v>
      </c>
      <c r="J325" s="102">
        <v>1</v>
      </c>
      <c r="K325" s="102">
        <v>1</v>
      </c>
      <c r="L325" s="102">
        <v>1</v>
      </c>
      <c r="M325" s="102">
        <v>0</v>
      </c>
      <c r="N325" s="102">
        <v>0</v>
      </c>
      <c r="O325" s="102">
        <v>0</v>
      </c>
      <c r="P325" s="102">
        <v>0</v>
      </c>
      <c r="Q325" s="102">
        <v>0</v>
      </c>
      <c r="R325" s="120"/>
      <c r="S325" s="120"/>
      <c r="T325" s="120"/>
      <c r="U325" s="120"/>
      <c r="V325" s="120"/>
      <c r="W325" s="120"/>
      <c r="X325" s="120"/>
      <c r="Y325" s="120"/>
      <c r="Z325" s="120"/>
      <c r="AA325" s="120"/>
      <c r="AB325" s="120"/>
    </row>
    <row r="326" spans="1:28" ht="15.75" customHeight="1" x14ac:dyDescent="0.55000000000000004">
      <c r="A326" s="125">
        <v>154</v>
      </c>
      <c r="B326" s="125" t="s">
        <v>1869</v>
      </c>
      <c r="C326" s="125" t="s">
        <v>1870</v>
      </c>
      <c r="D326" s="126">
        <v>43009</v>
      </c>
      <c r="E326" s="102" t="s">
        <v>2307</v>
      </c>
      <c r="F326" s="102">
        <v>3</v>
      </c>
      <c r="G326" s="102">
        <v>2</v>
      </c>
      <c r="H326" s="102">
        <v>1</v>
      </c>
      <c r="I326" s="102">
        <v>1</v>
      </c>
      <c r="J326" s="102">
        <v>1</v>
      </c>
      <c r="K326" s="102">
        <v>1</v>
      </c>
      <c r="L326" s="102">
        <v>1</v>
      </c>
      <c r="M326" s="102">
        <v>0</v>
      </c>
      <c r="N326" s="102">
        <v>0</v>
      </c>
      <c r="O326" s="102">
        <v>0</v>
      </c>
      <c r="P326" s="102">
        <v>0</v>
      </c>
      <c r="Q326" s="102">
        <v>0</v>
      </c>
      <c r="R326" s="120"/>
      <c r="S326" s="120"/>
      <c r="T326" s="120"/>
      <c r="U326" s="120"/>
      <c r="V326" s="120"/>
      <c r="W326" s="120"/>
      <c r="X326" s="120"/>
      <c r="Y326" s="120"/>
      <c r="Z326" s="120"/>
      <c r="AA326" s="120"/>
      <c r="AB326" s="120"/>
    </row>
    <row r="327" spans="1:28" ht="15.75" customHeight="1" x14ac:dyDescent="0.55000000000000004">
      <c r="A327" s="125">
        <v>154</v>
      </c>
      <c r="B327" s="125" t="s">
        <v>1869</v>
      </c>
      <c r="C327" s="125" t="s">
        <v>1870</v>
      </c>
      <c r="D327" s="126">
        <v>43009</v>
      </c>
      <c r="E327" s="102" t="s">
        <v>2308</v>
      </c>
      <c r="F327" s="102">
        <v>3</v>
      </c>
      <c r="G327" s="102">
        <v>2</v>
      </c>
      <c r="H327" s="102">
        <v>0</v>
      </c>
      <c r="I327" s="102">
        <v>1</v>
      </c>
      <c r="J327" s="102">
        <v>0</v>
      </c>
      <c r="K327" s="102">
        <v>1</v>
      </c>
      <c r="L327" s="102">
        <v>1</v>
      </c>
      <c r="M327" s="102">
        <v>0</v>
      </c>
      <c r="N327" s="102">
        <v>0</v>
      </c>
      <c r="O327" s="102">
        <v>0</v>
      </c>
      <c r="P327" s="102">
        <v>0</v>
      </c>
      <c r="Q327" s="102">
        <v>0</v>
      </c>
      <c r="R327" s="120"/>
      <c r="S327" s="120"/>
      <c r="T327" s="120"/>
      <c r="U327" s="120"/>
      <c r="V327" s="120"/>
      <c r="W327" s="120"/>
      <c r="X327" s="120"/>
      <c r="Y327" s="120"/>
      <c r="Z327" s="120"/>
      <c r="AA327" s="120"/>
      <c r="AB327" s="120"/>
    </row>
    <row r="328" spans="1:28" ht="15.75" customHeight="1" x14ac:dyDescent="0.55000000000000004">
      <c r="A328" s="125">
        <v>154</v>
      </c>
      <c r="B328" s="125" t="s">
        <v>1869</v>
      </c>
      <c r="C328" s="125" t="s">
        <v>1870</v>
      </c>
      <c r="D328" s="126">
        <v>43009</v>
      </c>
      <c r="E328" s="102" t="s">
        <v>2309</v>
      </c>
      <c r="F328" s="102">
        <v>3</v>
      </c>
      <c r="G328" s="102">
        <v>2</v>
      </c>
      <c r="H328" s="102">
        <v>0</v>
      </c>
      <c r="I328" s="102">
        <v>1</v>
      </c>
      <c r="J328" s="102">
        <v>0</v>
      </c>
      <c r="K328" s="102">
        <v>1</v>
      </c>
      <c r="L328" s="102">
        <v>1</v>
      </c>
      <c r="M328" s="102">
        <v>0</v>
      </c>
      <c r="N328" s="102">
        <v>0</v>
      </c>
      <c r="O328" s="102">
        <v>0</v>
      </c>
      <c r="P328" s="102">
        <v>0</v>
      </c>
      <c r="Q328" s="102">
        <v>0</v>
      </c>
      <c r="R328" s="120"/>
      <c r="S328" s="120"/>
      <c r="T328" s="120"/>
      <c r="U328" s="120"/>
      <c r="V328" s="120"/>
      <c r="W328" s="120"/>
      <c r="X328" s="120"/>
      <c r="Y328" s="120"/>
      <c r="Z328" s="120"/>
      <c r="AA328" s="120"/>
      <c r="AB328" s="120"/>
    </row>
    <row r="329" spans="1:28" ht="15.75" customHeight="1" x14ac:dyDescent="0.55000000000000004">
      <c r="A329" s="125">
        <v>154</v>
      </c>
      <c r="B329" s="125" t="s">
        <v>1869</v>
      </c>
      <c r="C329" s="125" t="s">
        <v>1870</v>
      </c>
      <c r="D329" s="126">
        <v>43009</v>
      </c>
      <c r="E329" s="102" t="s">
        <v>2310</v>
      </c>
      <c r="F329" s="102">
        <v>3</v>
      </c>
      <c r="G329" s="102">
        <v>2</v>
      </c>
      <c r="H329" s="102">
        <v>1</v>
      </c>
      <c r="I329" s="102">
        <v>1</v>
      </c>
      <c r="J329" s="102">
        <v>1</v>
      </c>
      <c r="K329" s="102">
        <v>1</v>
      </c>
      <c r="L329" s="102">
        <v>1</v>
      </c>
      <c r="M329" s="102">
        <v>0</v>
      </c>
      <c r="N329" s="102">
        <v>0</v>
      </c>
      <c r="O329" s="102">
        <v>0</v>
      </c>
      <c r="P329" s="102">
        <v>0</v>
      </c>
      <c r="Q329" s="102">
        <v>0</v>
      </c>
      <c r="R329" s="120"/>
      <c r="S329" s="120"/>
      <c r="T329" s="120"/>
      <c r="U329" s="120"/>
      <c r="V329" s="120"/>
      <c r="W329" s="120"/>
      <c r="X329" s="120"/>
      <c r="Y329" s="120"/>
      <c r="Z329" s="120"/>
      <c r="AA329" s="120"/>
      <c r="AB329" s="120"/>
    </row>
    <row r="330" spans="1:28" ht="15.75" customHeight="1" x14ac:dyDescent="0.55000000000000004">
      <c r="A330" s="125">
        <v>154</v>
      </c>
      <c r="B330" s="125" t="s">
        <v>1869</v>
      </c>
      <c r="C330" s="125" t="s">
        <v>1870</v>
      </c>
      <c r="D330" s="126">
        <v>43009</v>
      </c>
      <c r="E330" s="102" t="s">
        <v>2311</v>
      </c>
      <c r="F330" s="102">
        <v>3</v>
      </c>
      <c r="G330" s="102">
        <v>2</v>
      </c>
      <c r="H330" s="102">
        <v>1</v>
      </c>
      <c r="I330" s="102">
        <v>1</v>
      </c>
      <c r="J330" s="102">
        <v>0</v>
      </c>
      <c r="K330" s="102">
        <v>0</v>
      </c>
      <c r="L330" s="102">
        <v>1</v>
      </c>
      <c r="M330" s="102">
        <v>0</v>
      </c>
      <c r="N330" s="102">
        <v>0</v>
      </c>
      <c r="O330" s="102">
        <v>0</v>
      </c>
      <c r="P330" s="102">
        <v>0</v>
      </c>
      <c r="Q330" s="102">
        <v>0</v>
      </c>
      <c r="R330" s="120"/>
      <c r="S330" s="120"/>
      <c r="T330" s="120"/>
      <c r="U330" s="120"/>
      <c r="V330" s="120"/>
      <c r="W330" s="120"/>
      <c r="X330" s="120"/>
      <c r="Y330" s="120"/>
      <c r="Z330" s="120"/>
      <c r="AA330" s="120"/>
      <c r="AB330" s="120"/>
    </row>
    <row r="331" spans="1:28" ht="15.75" customHeight="1" x14ac:dyDescent="0.55000000000000004">
      <c r="A331" s="125">
        <v>154</v>
      </c>
      <c r="B331" s="125" t="s">
        <v>1869</v>
      </c>
      <c r="C331" s="125" t="s">
        <v>1870</v>
      </c>
      <c r="D331" s="126">
        <v>43009</v>
      </c>
      <c r="E331" s="102" t="s">
        <v>2312</v>
      </c>
      <c r="F331" s="102">
        <v>3</v>
      </c>
      <c r="G331" s="102">
        <v>2</v>
      </c>
      <c r="H331" s="102">
        <v>0</v>
      </c>
      <c r="I331" s="102">
        <v>1</v>
      </c>
      <c r="J331" s="102">
        <v>1</v>
      </c>
      <c r="K331" s="102">
        <v>1</v>
      </c>
      <c r="L331" s="102">
        <v>1</v>
      </c>
      <c r="M331" s="102">
        <v>0</v>
      </c>
      <c r="N331" s="102">
        <v>0</v>
      </c>
      <c r="O331" s="102">
        <v>0</v>
      </c>
      <c r="P331" s="102">
        <v>0</v>
      </c>
      <c r="Q331" s="102">
        <v>0</v>
      </c>
      <c r="R331" s="120"/>
      <c r="S331" s="120"/>
      <c r="T331" s="120"/>
      <c r="U331" s="120"/>
      <c r="V331" s="120"/>
      <c r="W331" s="120"/>
      <c r="X331" s="120"/>
      <c r="Y331" s="120"/>
      <c r="Z331" s="120"/>
      <c r="AA331" s="120"/>
      <c r="AB331" s="120"/>
    </row>
    <row r="332" spans="1:28" ht="15.75" customHeight="1" x14ac:dyDescent="0.55000000000000004">
      <c r="A332" s="125">
        <v>154</v>
      </c>
      <c r="B332" s="125" t="s">
        <v>1869</v>
      </c>
      <c r="C332" s="125" t="s">
        <v>1870</v>
      </c>
      <c r="D332" s="126">
        <v>43009</v>
      </c>
      <c r="E332" s="102" t="s">
        <v>2313</v>
      </c>
      <c r="F332" s="102">
        <v>3</v>
      </c>
      <c r="G332" s="102">
        <v>2</v>
      </c>
      <c r="H332" s="102">
        <v>1</v>
      </c>
      <c r="I332" s="102">
        <v>1</v>
      </c>
      <c r="J332" s="102">
        <v>1</v>
      </c>
      <c r="K332" s="102">
        <v>1</v>
      </c>
      <c r="L332" s="102">
        <v>1</v>
      </c>
      <c r="M332" s="102">
        <v>0</v>
      </c>
      <c r="N332" s="102">
        <v>0</v>
      </c>
      <c r="O332" s="102">
        <v>0</v>
      </c>
      <c r="P332" s="102">
        <v>0</v>
      </c>
      <c r="Q332" s="102">
        <v>0</v>
      </c>
      <c r="R332" s="120"/>
      <c r="S332" s="120"/>
      <c r="T332" s="120"/>
      <c r="U332" s="120"/>
      <c r="V332" s="120"/>
      <c r="W332" s="120"/>
      <c r="X332" s="120"/>
      <c r="Y332" s="120"/>
      <c r="Z332" s="120"/>
      <c r="AA332" s="120"/>
      <c r="AB332" s="120"/>
    </row>
    <row r="333" spans="1:28" ht="15.75" customHeight="1" x14ac:dyDescent="0.55000000000000004">
      <c r="A333" s="125">
        <v>154</v>
      </c>
      <c r="B333" s="125" t="s">
        <v>1869</v>
      </c>
      <c r="C333" s="125" t="s">
        <v>1870</v>
      </c>
      <c r="D333" s="126">
        <v>43009</v>
      </c>
      <c r="E333" s="102" t="s">
        <v>2314</v>
      </c>
      <c r="F333" s="102">
        <v>3</v>
      </c>
      <c r="G333" s="102">
        <v>2</v>
      </c>
      <c r="H333" s="102">
        <v>1</v>
      </c>
      <c r="I333" s="102">
        <v>1</v>
      </c>
      <c r="J333" s="102">
        <v>1</v>
      </c>
      <c r="K333" s="102">
        <v>1</v>
      </c>
      <c r="L333" s="102">
        <v>1</v>
      </c>
      <c r="M333" s="102">
        <v>0</v>
      </c>
      <c r="N333" s="102">
        <v>0</v>
      </c>
      <c r="O333" s="102">
        <v>0</v>
      </c>
      <c r="P333" s="102">
        <v>0</v>
      </c>
      <c r="Q333" s="102">
        <v>0</v>
      </c>
      <c r="R333" s="120"/>
      <c r="S333" s="120"/>
      <c r="T333" s="120"/>
      <c r="U333" s="120"/>
      <c r="V333" s="120"/>
      <c r="W333" s="120"/>
      <c r="X333" s="120"/>
      <c r="Y333" s="120"/>
      <c r="Z333" s="120"/>
      <c r="AA333" s="120"/>
      <c r="AB333" s="120"/>
    </row>
    <row r="334" spans="1:28" ht="15.75" customHeight="1" x14ac:dyDescent="0.55000000000000004">
      <c r="A334" s="125">
        <v>154</v>
      </c>
      <c r="B334" s="125" t="s">
        <v>1869</v>
      </c>
      <c r="C334" s="125" t="s">
        <v>1870</v>
      </c>
      <c r="D334" s="126">
        <v>43009</v>
      </c>
      <c r="E334" s="102" t="s">
        <v>2315</v>
      </c>
      <c r="F334" s="102">
        <v>3</v>
      </c>
      <c r="G334" s="102">
        <v>2</v>
      </c>
      <c r="H334" s="102">
        <v>1</v>
      </c>
      <c r="I334" s="102">
        <v>1</v>
      </c>
      <c r="J334" s="102">
        <v>1</v>
      </c>
      <c r="K334" s="102">
        <v>1</v>
      </c>
      <c r="L334" s="102">
        <v>1</v>
      </c>
      <c r="M334" s="102">
        <v>0</v>
      </c>
      <c r="N334" s="102">
        <v>0</v>
      </c>
      <c r="O334" s="102">
        <v>0</v>
      </c>
      <c r="P334" s="102">
        <v>0</v>
      </c>
      <c r="Q334" s="102">
        <v>0</v>
      </c>
      <c r="R334" s="120"/>
      <c r="S334" s="120"/>
      <c r="T334" s="120"/>
      <c r="U334" s="120"/>
      <c r="V334" s="120"/>
      <c r="W334" s="120"/>
      <c r="X334" s="120"/>
      <c r="Y334" s="120"/>
      <c r="Z334" s="120"/>
      <c r="AA334" s="120"/>
      <c r="AB334" s="120"/>
    </row>
    <row r="335" spans="1:28" ht="15.75" customHeight="1" x14ac:dyDescent="0.55000000000000004">
      <c r="A335" s="125">
        <v>154</v>
      </c>
      <c r="B335" s="125" t="s">
        <v>1869</v>
      </c>
      <c r="C335" s="125" t="s">
        <v>1870</v>
      </c>
      <c r="D335" s="126">
        <v>43009</v>
      </c>
      <c r="E335" s="102" t="s">
        <v>2316</v>
      </c>
      <c r="F335" s="102">
        <v>3</v>
      </c>
      <c r="G335" s="102">
        <v>2</v>
      </c>
      <c r="H335" s="102">
        <v>1</v>
      </c>
      <c r="I335" s="102">
        <v>1</v>
      </c>
      <c r="J335" s="102">
        <v>1</v>
      </c>
      <c r="K335" s="102">
        <v>1</v>
      </c>
      <c r="L335" s="102">
        <v>1</v>
      </c>
      <c r="M335" s="102">
        <v>0</v>
      </c>
      <c r="N335" s="102">
        <v>0</v>
      </c>
      <c r="O335" s="102">
        <v>0</v>
      </c>
      <c r="P335" s="102">
        <v>0</v>
      </c>
      <c r="Q335" s="102">
        <v>0</v>
      </c>
      <c r="R335" s="120"/>
      <c r="S335" s="120"/>
      <c r="T335" s="120"/>
      <c r="U335" s="120"/>
      <c r="V335" s="120"/>
      <c r="W335" s="120"/>
      <c r="X335" s="120"/>
      <c r="Y335" s="120"/>
      <c r="Z335" s="120"/>
      <c r="AA335" s="120"/>
      <c r="AB335" s="120"/>
    </row>
    <row r="336" spans="1:28" ht="15.75" customHeight="1" x14ac:dyDescent="0.55000000000000004">
      <c r="A336" s="125">
        <v>154</v>
      </c>
      <c r="B336" s="125" t="s">
        <v>1869</v>
      </c>
      <c r="C336" s="125" t="s">
        <v>1870</v>
      </c>
      <c r="D336" s="126">
        <v>43009</v>
      </c>
      <c r="E336" s="102" t="s">
        <v>2317</v>
      </c>
      <c r="F336" s="102">
        <v>3</v>
      </c>
      <c r="G336" s="102">
        <v>2</v>
      </c>
      <c r="H336" s="102">
        <v>0</v>
      </c>
      <c r="I336" s="102">
        <v>1</v>
      </c>
      <c r="J336" s="102">
        <v>0</v>
      </c>
      <c r="K336" s="102">
        <v>1</v>
      </c>
      <c r="L336" s="102">
        <v>1</v>
      </c>
      <c r="M336" s="102">
        <v>0</v>
      </c>
      <c r="N336" s="102">
        <v>0</v>
      </c>
      <c r="O336" s="102">
        <v>0</v>
      </c>
      <c r="P336" s="102">
        <v>0</v>
      </c>
      <c r="Q336" s="102">
        <v>0</v>
      </c>
      <c r="R336" s="120"/>
      <c r="S336" s="120"/>
      <c r="T336" s="120"/>
      <c r="U336" s="120"/>
      <c r="V336" s="120"/>
      <c r="W336" s="120"/>
      <c r="X336" s="120"/>
      <c r="Y336" s="120"/>
      <c r="Z336" s="120"/>
      <c r="AA336" s="120"/>
      <c r="AB336" s="120"/>
    </row>
    <row r="337" spans="1:28" ht="15.75" customHeight="1" x14ac:dyDescent="0.55000000000000004">
      <c r="A337" s="125">
        <v>154</v>
      </c>
      <c r="B337" s="125" t="s">
        <v>1869</v>
      </c>
      <c r="C337" s="125" t="s">
        <v>1870</v>
      </c>
      <c r="D337" s="126">
        <v>43009</v>
      </c>
      <c r="E337" s="102" t="s">
        <v>2318</v>
      </c>
      <c r="F337" s="102">
        <v>2</v>
      </c>
      <c r="G337" s="102">
        <v>2</v>
      </c>
      <c r="H337" s="102">
        <v>0</v>
      </c>
      <c r="I337" s="102">
        <v>1</v>
      </c>
      <c r="J337" s="102">
        <v>0</v>
      </c>
      <c r="K337" s="102">
        <v>0</v>
      </c>
      <c r="L337" s="102">
        <v>1</v>
      </c>
      <c r="M337" s="102">
        <v>0</v>
      </c>
      <c r="N337" s="102">
        <v>0</v>
      </c>
      <c r="O337" s="102">
        <v>0</v>
      </c>
      <c r="P337" s="102">
        <v>0</v>
      </c>
      <c r="Q337" s="102">
        <v>0</v>
      </c>
      <c r="R337" s="120"/>
      <c r="S337" s="120"/>
      <c r="T337" s="120"/>
      <c r="U337" s="120"/>
      <c r="V337" s="120"/>
      <c r="W337" s="120"/>
      <c r="X337" s="120"/>
      <c r="Y337" s="120"/>
      <c r="Z337" s="120"/>
      <c r="AA337" s="120"/>
      <c r="AB337" s="120"/>
    </row>
    <row r="338" spans="1:28" ht="15.75" customHeight="1" x14ac:dyDescent="0.55000000000000004">
      <c r="A338" s="125">
        <v>154</v>
      </c>
      <c r="B338" s="125" t="s">
        <v>1869</v>
      </c>
      <c r="C338" s="125" t="s">
        <v>1870</v>
      </c>
      <c r="D338" s="126">
        <v>43009</v>
      </c>
      <c r="E338" s="102" t="s">
        <v>2319</v>
      </c>
      <c r="F338" s="102">
        <v>3</v>
      </c>
      <c r="G338" s="102">
        <v>2</v>
      </c>
      <c r="H338" s="102">
        <v>1</v>
      </c>
      <c r="I338" s="102">
        <v>1</v>
      </c>
      <c r="J338" s="102">
        <v>0</v>
      </c>
      <c r="K338" s="102">
        <v>0</v>
      </c>
      <c r="L338" s="102">
        <v>1</v>
      </c>
      <c r="M338" s="102">
        <v>0</v>
      </c>
      <c r="N338" s="102">
        <v>0</v>
      </c>
      <c r="O338" s="102">
        <v>0</v>
      </c>
      <c r="P338" s="102">
        <v>0</v>
      </c>
      <c r="Q338" s="102">
        <v>0</v>
      </c>
      <c r="R338" s="120"/>
      <c r="S338" s="120"/>
      <c r="T338" s="120"/>
      <c r="U338" s="120"/>
      <c r="V338" s="120"/>
      <c r="W338" s="120"/>
      <c r="X338" s="120"/>
      <c r="Y338" s="120"/>
      <c r="Z338" s="120"/>
      <c r="AA338" s="120"/>
      <c r="AB338" s="120"/>
    </row>
    <row r="339" spans="1:28" ht="15.75" customHeight="1" x14ac:dyDescent="0.55000000000000004">
      <c r="A339" s="125">
        <v>154</v>
      </c>
      <c r="B339" s="125" t="s">
        <v>1869</v>
      </c>
      <c r="C339" s="125" t="s">
        <v>1870</v>
      </c>
      <c r="D339" s="126">
        <v>43009</v>
      </c>
      <c r="E339" s="102" t="s">
        <v>2320</v>
      </c>
      <c r="F339" s="102">
        <v>3</v>
      </c>
      <c r="G339" s="102">
        <v>1</v>
      </c>
      <c r="H339" s="102">
        <v>0</v>
      </c>
      <c r="I339" s="102">
        <v>1</v>
      </c>
      <c r="J339" s="102">
        <v>0</v>
      </c>
      <c r="K339" s="102">
        <v>1</v>
      </c>
      <c r="L339" s="102">
        <v>1</v>
      </c>
      <c r="M339" s="102">
        <v>0</v>
      </c>
      <c r="N339" s="102">
        <v>0</v>
      </c>
      <c r="O339" s="102">
        <v>0</v>
      </c>
      <c r="P339" s="102">
        <v>0</v>
      </c>
      <c r="Q339" s="102">
        <v>0</v>
      </c>
      <c r="R339" s="120"/>
      <c r="S339" s="120"/>
      <c r="T339" s="120"/>
      <c r="U339" s="120"/>
      <c r="V339" s="120"/>
      <c r="W339" s="120"/>
      <c r="X339" s="120"/>
      <c r="Y339" s="120"/>
      <c r="Z339" s="120"/>
      <c r="AA339" s="120"/>
      <c r="AB339" s="120"/>
    </row>
    <row r="340" spans="1:28" ht="15.75" customHeight="1" x14ac:dyDescent="0.55000000000000004">
      <c r="A340" s="125">
        <v>154</v>
      </c>
      <c r="B340" s="125" t="s">
        <v>1869</v>
      </c>
      <c r="C340" s="125" t="s">
        <v>1870</v>
      </c>
      <c r="D340" s="126">
        <v>43009</v>
      </c>
      <c r="E340" s="102" t="s">
        <v>2321</v>
      </c>
      <c r="F340" s="102">
        <v>0</v>
      </c>
      <c r="G340" s="102">
        <v>1</v>
      </c>
      <c r="H340" s="102">
        <v>2</v>
      </c>
      <c r="I340" s="102">
        <v>0</v>
      </c>
      <c r="J340" s="102" t="s">
        <v>853</v>
      </c>
      <c r="K340" s="102">
        <v>1</v>
      </c>
      <c r="L340" s="102">
        <v>1</v>
      </c>
      <c r="M340" s="102">
        <v>0</v>
      </c>
      <c r="N340" s="102">
        <v>0</v>
      </c>
      <c r="O340" s="102">
        <v>0</v>
      </c>
      <c r="P340" s="102">
        <v>0</v>
      </c>
      <c r="Q340" s="102">
        <v>0</v>
      </c>
      <c r="R340" s="120"/>
      <c r="S340" s="120"/>
      <c r="T340" s="120"/>
      <c r="U340" s="120"/>
      <c r="V340" s="120"/>
      <c r="W340" s="120"/>
      <c r="X340" s="120"/>
      <c r="Y340" s="120"/>
      <c r="Z340" s="120"/>
      <c r="AA340" s="120"/>
      <c r="AB340" s="120"/>
    </row>
    <row r="341" spans="1:28" ht="15.75" customHeight="1" x14ac:dyDescent="0.55000000000000004">
      <c r="A341" s="127">
        <v>155</v>
      </c>
      <c r="B341" s="127" t="s">
        <v>1878</v>
      </c>
      <c r="C341" s="127" t="s">
        <v>1879</v>
      </c>
      <c r="D341" s="128">
        <v>43044</v>
      </c>
      <c r="E341" s="102" t="s">
        <v>2178</v>
      </c>
      <c r="F341" s="102">
        <v>0</v>
      </c>
      <c r="G341" s="102">
        <v>2</v>
      </c>
      <c r="H341" s="102"/>
      <c r="I341" s="102">
        <v>0</v>
      </c>
      <c r="J341" s="102">
        <v>0</v>
      </c>
      <c r="K341" s="102">
        <v>1</v>
      </c>
      <c r="L341" s="102">
        <v>0</v>
      </c>
      <c r="M341" s="102">
        <v>1</v>
      </c>
      <c r="N341" s="102">
        <v>0</v>
      </c>
      <c r="O341" s="102">
        <v>0</v>
      </c>
      <c r="P341" s="102">
        <v>0</v>
      </c>
      <c r="Q341" s="102">
        <v>0</v>
      </c>
      <c r="R341" s="120"/>
      <c r="S341" s="120"/>
      <c r="T341" s="120"/>
      <c r="U341" s="120"/>
      <c r="V341" s="120"/>
      <c r="W341" s="120"/>
      <c r="X341" s="120"/>
      <c r="Y341" s="120"/>
      <c r="Z341" s="120"/>
      <c r="AA341" s="120"/>
      <c r="AB341" s="120"/>
    </row>
    <row r="342" spans="1:28" ht="15.75" customHeight="1" x14ac:dyDescent="0.55000000000000004">
      <c r="A342" s="127">
        <v>155</v>
      </c>
      <c r="B342" s="127" t="s">
        <v>1878</v>
      </c>
      <c r="C342" s="127" t="s">
        <v>1879</v>
      </c>
      <c r="D342" s="128">
        <v>43044</v>
      </c>
      <c r="E342" s="102" t="s">
        <v>2322</v>
      </c>
      <c r="F342" s="102">
        <v>3</v>
      </c>
      <c r="G342" s="102">
        <v>0</v>
      </c>
      <c r="H342" s="102">
        <v>1</v>
      </c>
      <c r="I342" s="102">
        <v>0</v>
      </c>
      <c r="J342" s="102">
        <v>1</v>
      </c>
      <c r="K342" s="102">
        <v>1</v>
      </c>
      <c r="L342" s="102">
        <v>0</v>
      </c>
      <c r="M342" s="102">
        <v>1</v>
      </c>
      <c r="N342" s="102">
        <v>0</v>
      </c>
      <c r="O342" s="102">
        <v>0</v>
      </c>
      <c r="P342" s="102">
        <v>0</v>
      </c>
      <c r="Q342" s="102">
        <v>0</v>
      </c>
      <c r="R342" s="120"/>
      <c r="S342" s="120"/>
      <c r="T342" s="120"/>
      <c r="U342" s="120"/>
      <c r="V342" s="120"/>
      <c r="W342" s="120"/>
      <c r="X342" s="120"/>
      <c r="Y342" s="120"/>
      <c r="Z342" s="120"/>
      <c r="AA342" s="120"/>
      <c r="AB342" s="120"/>
    </row>
    <row r="343" spans="1:28" ht="15.75" customHeight="1" x14ac:dyDescent="0.55000000000000004">
      <c r="A343" s="127">
        <v>155</v>
      </c>
      <c r="B343" s="127" t="s">
        <v>1878</v>
      </c>
      <c r="C343" s="127" t="s">
        <v>1879</v>
      </c>
      <c r="D343" s="128">
        <v>43044</v>
      </c>
      <c r="E343" s="102" t="s">
        <v>2323</v>
      </c>
      <c r="F343" s="102">
        <v>0</v>
      </c>
      <c r="G343" s="102">
        <v>2</v>
      </c>
      <c r="H343" s="102"/>
      <c r="I343" s="102">
        <v>0</v>
      </c>
      <c r="J343" s="102">
        <v>0</v>
      </c>
      <c r="K343" s="102">
        <v>0</v>
      </c>
      <c r="L343" s="102">
        <v>0</v>
      </c>
      <c r="M343" s="102">
        <v>1</v>
      </c>
      <c r="N343" s="102">
        <v>0</v>
      </c>
      <c r="O343" s="102">
        <v>0</v>
      </c>
      <c r="P343" s="102">
        <v>0</v>
      </c>
      <c r="Q343" s="102">
        <v>0</v>
      </c>
      <c r="R343" s="120"/>
      <c r="S343" s="120"/>
      <c r="T343" s="120"/>
      <c r="U343" s="120"/>
      <c r="V343" s="120"/>
      <c r="W343" s="120"/>
      <c r="X343" s="120"/>
      <c r="Y343" s="120"/>
      <c r="Z343" s="120"/>
      <c r="AA343" s="120"/>
      <c r="AB343" s="120"/>
    </row>
    <row r="344" spans="1:28" ht="15.75" customHeight="1" x14ac:dyDescent="0.55000000000000004">
      <c r="A344" s="118">
        <v>156</v>
      </c>
      <c r="B344" s="118" t="s">
        <v>1887</v>
      </c>
      <c r="C344" s="118" t="s">
        <v>1888</v>
      </c>
      <c r="D344" s="119">
        <v>43053</v>
      </c>
      <c r="E344" s="102" t="s">
        <v>2286</v>
      </c>
      <c r="F344" s="102">
        <v>0</v>
      </c>
      <c r="G344" s="102">
        <v>2</v>
      </c>
      <c r="H344" s="102"/>
      <c r="I344" s="102">
        <v>0</v>
      </c>
      <c r="J344" s="102">
        <v>0</v>
      </c>
      <c r="K344" s="102">
        <v>0</v>
      </c>
      <c r="L344" s="102">
        <v>0</v>
      </c>
      <c r="M344" s="102">
        <v>6</v>
      </c>
      <c r="N344" s="102">
        <v>0</v>
      </c>
      <c r="O344" s="102">
        <v>0</v>
      </c>
      <c r="P344" s="102">
        <v>1</v>
      </c>
      <c r="Q344" s="102">
        <v>0</v>
      </c>
      <c r="R344" s="120"/>
      <c r="S344" s="120"/>
      <c r="T344" s="120"/>
      <c r="U344" s="120"/>
      <c r="V344" s="120"/>
      <c r="W344" s="120"/>
      <c r="X344" s="120"/>
      <c r="Y344" s="120"/>
      <c r="Z344" s="120"/>
      <c r="AA344" s="120"/>
      <c r="AB344" s="120"/>
    </row>
    <row r="345" spans="1:28" ht="15.75" customHeight="1" x14ac:dyDescent="0.55000000000000004">
      <c r="A345" s="118">
        <v>156</v>
      </c>
      <c r="B345" s="118" t="s">
        <v>1887</v>
      </c>
      <c r="C345" s="118" t="s">
        <v>1888</v>
      </c>
      <c r="D345" s="119">
        <v>43053</v>
      </c>
      <c r="E345" s="102" t="s">
        <v>2248</v>
      </c>
      <c r="F345" s="102">
        <v>0</v>
      </c>
      <c r="G345" s="102"/>
      <c r="H345" s="102">
        <v>2</v>
      </c>
      <c r="I345" s="102">
        <v>0</v>
      </c>
      <c r="J345" s="102">
        <v>0</v>
      </c>
      <c r="K345" s="102">
        <v>1</v>
      </c>
      <c r="L345" s="102">
        <v>0</v>
      </c>
      <c r="M345" s="102">
        <v>6</v>
      </c>
      <c r="N345" s="102">
        <v>0</v>
      </c>
      <c r="O345" s="102">
        <v>0</v>
      </c>
      <c r="P345" s="102">
        <v>0</v>
      </c>
      <c r="Q345" s="102">
        <v>0</v>
      </c>
      <c r="R345" s="120"/>
      <c r="S345" s="120"/>
      <c r="T345" s="120"/>
      <c r="U345" s="120"/>
      <c r="V345" s="120"/>
      <c r="W345" s="120"/>
      <c r="X345" s="120"/>
      <c r="Y345" s="120"/>
      <c r="Z345" s="120"/>
      <c r="AA345" s="120"/>
      <c r="AB345" s="120"/>
    </row>
    <row r="346" spans="1:28" ht="15.75" customHeight="1" x14ac:dyDescent="0.55000000000000004">
      <c r="A346" s="118">
        <v>156</v>
      </c>
      <c r="B346" s="118" t="s">
        <v>1887</v>
      </c>
      <c r="C346" s="118" t="s">
        <v>1888</v>
      </c>
      <c r="D346" s="119">
        <v>43053</v>
      </c>
      <c r="E346" s="102" t="s">
        <v>2324</v>
      </c>
      <c r="F346" s="102">
        <v>3</v>
      </c>
      <c r="G346" s="102"/>
      <c r="H346" s="102">
        <v>1</v>
      </c>
      <c r="I346" s="102">
        <v>1</v>
      </c>
      <c r="J346" s="102">
        <v>0</v>
      </c>
      <c r="K346" s="102"/>
      <c r="L346" s="102">
        <v>0</v>
      </c>
      <c r="M346" s="102">
        <v>6</v>
      </c>
      <c r="N346" s="102">
        <v>1</v>
      </c>
      <c r="O346" s="102">
        <v>0</v>
      </c>
      <c r="P346" s="102">
        <v>0</v>
      </c>
      <c r="Q346" s="102">
        <v>0</v>
      </c>
      <c r="R346" s="120"/>
      <c r="S346" s="120"/>
      <c r="T346" s="120"/>
      <c r="U346" s="120"/>
      <c r="V346" s="120"/>
      <c r="W346" s="120"/>
      <c r="X346" s="120"/>
      <c r="Y346" s="120"/>
      <c r="Z346" s="120"/>
      <c r="AA346" s="120"/>
      <c r="AB346" s="120"/>
    </row>
    <row r="347" spans="1:28" ht="15.75" customHeight="1" x14ac:dyDescent="0.55000000000000004">
      <c r="A347" s="118">
        <v>156</v>
      </c>
      <c r="B347" s="118" t="s">
        <v>1887</v>
      </c>
      <c r="C347" s="118" t="s">
        <v>1888</v>
      </c>
      <c r="D347" s="119">
        <v>43053</v>
      </c>
      <c r="E347" s="102" t="s">
        <v>2324</v>
      </c>
      <c r="F347" s="102">
        <v>3</v>
      </c>
      <c r="G347" s="102">
        <v>2</v>
      </c>
      <c r="H347" s="102">
        <v>1</v>
      </c>
      <c r="I347" s="102">
        <v>1</v>
      </c>
      <c r="J347" s="102">
        <v>0</v>
      </c>
      <c r="K347" s="102"/>
      <c r="L347" s="102">
        <v>0</v>
      </c>
      <c r="M347" s="102">
        <v>6</v>
      </c>
      <c r="N347" s="102">
        <v>1</v>
      </c>
      <c r="O347" s="102">
        <v>0</v>
      </c>
      <c r="P347" s="102">
        <v>0</v>
      </c>
      <c r="Q347" s="102">
        <v>0</v>
      </c>
      <c r="R347" s="120"/>
      <c r="S347" s="120"/>
      <c r="T347" s="120"/>
      <c r="U347" s="120"/>
      <c r="V347" s="120"/>
      <c r="W347" s="120"/>
      <c r="X347" s="120"/>
      <c r="Y347" s="120"/>
      <c r="Z347" s="120"/>
      <c r="AA347" s="120"/>
      <c r="AB347" s="120"/>
    </row>
    <row r="348" spans="1:28" ht="15.75" customHeight="1" x14ac:dyDescent="0.55000000000000004">
      <c r="A348" s="121">
        <v>157</v>
      </c>
      <c r="B348" s="121" t="s">
        <v>1893</v>
      </c>
      <c r="C348" s="121" t="s">
        <v>1894</v>
      </c>
      <c r="D348" s="122">
        <v>43128</v>
      </c>
      <c r="E348" s="102" t="s">
        <v>2325</v>
      </c>
      <c r="F348" s="102">
        <v>3</v>
      </c>
      <c r="G348" s="102">
        <v>1</v>
      </c>
      <c r="H348" s="102">
        <v>1</v>
      </c>
      <c r="I348" s="102">
        <v>0</v>
      </c>
      <c r="J348" s="102">
        <v>0</v>
      </c>
      <c r="K348" s="102">
        <v>1</v>
      </c>
      <c r="L348" s="102"/>
      <c r="M348" s="102"/>
      <c r="N348" s="102"/>
      <c r="O348" s="102"/>
      <c r="P348" s="102"/>
      <c r="Q348" s="102">
        <v>1</v>
      </c>
      <c r="R348" s="120"/>
      <c r="S348" s="120"/>
      <c r="T348" s="120"/>
      <c r="U348" s="120"/>
      <c r="V348" s="120"/>
      <c r="W348" s="120"/>
      <c r="X348" s="120"/>
      <c r="Y348" s="120"/>
      <c r="Z348" s="120"/>
      <c r="AA348" s="120"/>
      <c r="AB348" s="120"/>
    </row>
    <row r="349" spans="1:28" ht="15.75" customHeight="1" x14ac:dyDescent="0.55000000000000004">
      <c r="A349" s="121">
        <v>157</v>
      </c>
      <c r="B349" s="121" t="s">
        <v>1893</v>
      </c>
      <c r="C349" s="121" t="s">
        <v>1894</v>
      </c>
      <c r="D349" s="122">
        <v>43128</v>
      </c>
      <c r="E349" s="102" t="s">
        <v>2149</v>
      </c>
      <c r="F349" s="102">
        <v>0</v>
      </c>
      <c r="G349" s="102">
        <v>2</v>
      </c>
      <c r="H349" s="102">
        <v>1</v>
      </c>
      <c r="I349" s="102">
        <v>0</v>
      </c>
      <c r="J349" s="102">
        <v>0</v>
      </c>
      <c r="K349" s="102">
        <v>1</v>
      </c>
      <c r="L349" s="102"/>
      <c r="M349" s="102"/>
      <c r="N349" s="102"/>
      <c r="O349" s="102"/>
      <c r="P349" s="102"/>
      <c r="Q349" s="102">
        <v>1</v>
      </c>
      <c r="R349" s="120"/>
      <c r="S349" s="120"/>
      <c r="T349" s="120"/>
      <c r="U349" s="120"/>
      <c r="V349" s="120"/>
      <c r="W349" s="120"/>
      <c r="X349" s="120"/>
      <c r="Y349" s="120"/>
      <c r="Z349" s="120"/>
      <c r="AA349" s="120"/>
      <c r="AB349" s="120"/>
    </row>
    <row r="350" spans="1:28" ht="15.75" customHeight="1" x14ac:dyDescent="0.55000000000000004">
      <c r="A350" s="121">
        <v>157</v>
      </c>
      <c r="B350" s="121" t="s">
        <v>1893</v>
      </c>
      <c r="C350" s="121" t="s">
        <v>1894</v>
      </c>
      <c r="D350" s="122">
        <v>43128</v>
      </c>
      <c r="E350" s="102" t="s">
        <v>2326</v>
      </c>
      <c r="F350" s="102">
        <v>2</v>
      </c>
      <c r="G350" s="102">
        <v>2</v>
      </c>
      <c r="H350" s="102">
        <v>0</v>
      </c>
      <c r="I350" s="102">
        <v>0</v>
      </c>
      <c r="J350" s="102">
        <v>0</v>
      </c>
      <c r="K350" s="102">
        <v>1</v>
      </c>
      <c r="L350" s="102"/>
      <c r="M350" s="102"/>
      <c r="N350" s="102"/>
      <c r="O350" s="102"/>
      <c r="P350" s="102"/>
      <c r="Q350" s="102">
        <v>1</v>
      </c>
      <c r="R350" s="120"/>
      <c r="S350" s="120"/>
      <c r="T350" s="120"/>
      <c r="U350" s="120"/>
      <c r="V350" s="120"/>
      <c r="W350" s="120"/>
      <c r="X350" s="120"/>
      <c r="Y350" s="120"/>
      <c r="Z350" s="120"/>
      <c r="AA350" s="120"/>
      <c r="AB350" s="120"/>
    </row>
    <row r="351" spans="1:28" ht="15.75" customHeight="1" x14ac:dyDescent="0.55000000000000004">
      <c r="A351" s="123">
        <v>158</v>
      </c>
      <c r="B351" s="123" t="s">
        <v>1899</v>
      </c>
      <c r="C351" s="123" t="s">
        <v>1900</v>
      </c>
      <c r="D351" s="124">
        <v>43145</v>
      </c>
      <c r="E351" s="102" t="s">
        <v>2291</v>
      </c>
      <c r="F351" s="102">
        <v>3</v>
      </c>
      <c r="G351" s="102"/>
      <c r="H351" s="102">
        <v>1</v>
      </c>
      <c r="I351" s="102">
        <v>0</v>
      </c>
      <c r="J351" s="102">
        <v>0</v>
      </c>
      <c r="K351" s="102">
        <v>1</v>
      </c>
      <c r="L351" s="102">
        <v>1</v>
      </c>
      <c r="M351" s="102">
        <v>0</v>
      </c>
      <c r="N351" s="102">
        <v>0</v>
      </c>
      <c r="O351" s="102">
        <v>0</v>
      </c>
      <c r="P351" s="102">
        <v>0</v>
      </c>
      <c r="Q351" s="102">
        <v>0</v>
      </c>
      <c r="R351" s="120"/>
      <c r="S351" s="120"/>
      <c r="T351" s="120"/>
      <c r="U351" s="120"/>
      <c r="V351" s="120"/>
      <c r="W351" s="120"/>
      <c r="X351" s="120"/>
      <c r="Y351" s="120"/>
      <c r="Z351" s="120"/>
      <c r="AA351" s="120"/>
      <c r="AB351" s="120"/>
    </row>
    <row r="352" spans="1:28" ht="15.75" customHeight="1" x14ac:dyDescent="0.55000000000000004">
      <c r="A352" s="125">
        <v>159</v>
      </c>
      <c r="B352" s="125" t="s">
        <v>1907</v>
      </c>
      <c r="C352" s="125" t="s">
        <v>1147</v>
      </c>
      <c r="D352" s="126">
        <v>43157</v>
      </c>
      <c r="E352" s="102" t="s">
        <v>2074</v>
      </c>
      <c r="F352" s="102">
        <v>0</v>
      </c>
      <c r="G352" s="102"/>
      <c r="H352" s="102">
        <v>1</v>
      </c>
      <c r="I352" s="102">
        <v>0</v>
      </c>
      <c r="J352" s="102">
        <v>0</v>
      </c>
      <c r="K352" s="102"/>
      <c r="L352" s="102"/>
      <c r="M352" s="102"/>
      <c r="N352" s="102"/>
      <c r="O352" s="102"/>
      <c r="P352" s="102"/>
      <c r="Q352" s="102">
        <v>1</v>
      </c>
      <c r="R352" s="120"/>
      <c r="S352" s="120"/>
      <c r="T352" s="120"/>
      <c r="U352" s="120"/>
      <c r="V352" s="120"/>
      <c r="W352" s="120"/>
      <c r="X352" s="120"/>
      <c r="Y352" s="120"/>
      <c r="Z352" s="120"/>
      <c r="AA352" s="120"/>
      <c r="AB352" s="120"/>
    </row>
    <row r="353" spans="1:28" ht="15.75" customHeight="1" x14ac:dyDescent="0.55000000000000004">
      <c r="A353" s="127">
        <v>160</v>
      </c>
      <c r="B353" s="127" t="s">
        <v>1911</v>
      </c>
      <c r="C353" s="127" t="s">
        <v>1912</v>
      </c>
      <c r="D353" s="128">
        <v>43212</v>
      </c>
      <c r="E353" s="102" t="s">
        <v>2327</v>
      </c>
      <c r="F353" s="102">
        <v>3</v>
      </c>
      <c r="G353" s="102"/>
      <c r="H353" s="102">
        <v>1</v>
      </c>
      <c r="I353" s="102">
        <v>0</v>
      </c>
      <c r="J353" s="102">
        <v>0</v>
      </c>
      <c r="K353" s="102">
        <v>1</v>
      </c>
      <c r="L353" s="102">
        <v>0</v>
      </c>
      <c r="M353" s="102">
        <v>6</v>
      </c>
      <c r="N353" s="102">
        <v>0</v>
      </c>
      <c r="O353" s="102">
        <v>0</v>
      </c>
      <c r="P353" s="102">
        <v>0</v>
      </c>
      <c r="Q353" s="102">
        <v>0</v>
      </c>
      <c r="R353" s="120"/>
      <c r="S353" s="120"/>
      <c r="T353" s="120"/>
      <c r="U353" s="120"/>
      <c r="V353" s="120"/>
      <c r="W353" s="120"/>
      <c r="X353" s="120"/>
      <c r="Y353" s="120"/>
      <c r="Z353" s="120"/>
      <c r="AA353" s="120"/>
      <c r="AB353" s="120"/>
    </row>
    <row r="354" spans="1:28" ht="15.75" customHeight="1" x14ac:dyDescent="0.55000000000000004">
      <c r="A354" s="127">
        <v>160</v>
      </c>
      <c r="B354" s="127" t="s">
        <v>1911</v>
      </c>
      <c r="C354" s="127" t="s">
        <v>1912</v>
      </c>
      <c r="D354" s="128">
        <v>43212</v>
      </c>
      <c r="E354" s="102" t="s">
        <v>2117</v>
      </c>
      <c r="F354" s="102">
        <v>0</v>
      </c>
      <c r="G354" s="102">
        <v>2</v>
      </c>
      <c r="H354" s="102">
        <v>0</v>
      </c>
      <c r="I354" s="102">
        <v>0</v>
      </c>
      <c r="J354" s="102">
        <v>0</v>
      </c>
      <c r="K354" s="102">
        <v>1</v>
      </c>
      <c r="L354" s="102">
        <v>0</v>
      </c>
      <c r="M354" s="102">
        <v>6</v>
      </c>
      <c r="N354" s="102">
        <v>0</v>
      </c>
      <c r="O354" s="102">
        <v>0</v>
      </c>
      <c r="P354" s="102">
        <v>0</v>
      </c>
      <c r="Q354" s="102">
        <v>0</v>
      </c>
      <c r="R354" s="120"/>
      <c r="S354" s="120"/>
      <c r="T354" s="120"/>
      <c r="U354" s="120"/>
      <c r="V354" s="120"/>
      <c r="W354" s="120"/>
      <c r="X354" s="120"/>
      <c r="Y354" s="120"/>
      <c r="Z354" s="120"/>
      <c r="AA354" s="120"/>
      <c r="AB354" s="120"/>
    </row>
    <row r="355" spans="1:28" ht="15.75" customHeight="1" x14ac:dyDescent="0.55000000000000004">
      <c r="A355" s="118">
        <v>161</v>
      </c>
      <c r="B355" s="118" t="s">
        <v>1916</v>
      </c>
      <c r="C355" s="118" t="s">
        <v>1917</v>
      </c>
      <c r="D355" s="119">
        <v>43238</v>
      </c>
      <c r="E355" s="102" t="s">
        <v>2328</v>
      </c>
      <c r="F355" s="102">
        <v>1</v>
      </c>
      <c r="G355" s="102">
        <v>1</v>
      </c>
      <c r="H355" s="102">
        <v>1</v>
      </c>
      <c r="I355" s="102">
        <v>0</v>
      </c>
      <c r="J355" s="102" t="s">
        <v>853</v>
      </c>
      <c r="K355" s="102">
        <v>0</v>
      </c>
      <c r="L355" s="102">
        <v>0</v>
      </c>
      <c r="M355" s="102">
        <v>0</v>
      </c>
      <c r="N355" s="102">
        <v>0</v>
      </c>
      <c r="O355" s="102">
        <v>0</v>
      </c>
      <c r="P355" s="102">
        <v>1</v>
      </c>
      <c r="Q355" s="102">
        <v>0</v>
      </c>
      <c r="R355" s="120"/>
      <c r="S355" s="120"/>
      <c r="T355" s="120"/>
      <c r="U355" s="120"/>
      <c r="V355" s="120"/>
      <c r="W355" s="120"/>
      <c r="X355" s="120"/>
      <c r="Y355" s="120"/>
      <c r="Z355" s="120"/>
      <c r="AA355" s="120"/>
      <c r="AB355" s="120"/>
    </row>
    <row r="356" spans="1:28" ht="15.75" customHeight="1" x14ac:dyDescent="0.55000000000000004">
      <c r="A356" s="118">
        <v>161</v>
      </c>
      <c r="B356" s="118" t="s">
        <v>1916</v>
      </c>
      <c r="C356" s="118" t="s">
        <v>1917</v>
      </c>
      <c r="D356" s="119">
        <v>43238</v>
      </c>
      <c r="E356" s="102" t="s">
        <v>2329</v>
      </c>
      <c r="F356" s="102">
        <v>0</v>
      </c>
      <c r="G356" s="102">
        <v>2</v>
      </c>
      <c r="H356" s="102">
        <v>1</v>
      </c>
      <c r="I356" s="102">
        <v>0</v>
      </c>
      <c r="J356" s="102" t="s">
        <v>853</v>
      </c>
      <c r="K356" s="102">
        <v>0</v>
      </c>
      <c r="L356" s="102">
        <v>0</v>
      </c>
      <c r="M356" s="102">
        <v>0</v>
      </c>
      <c r="N356" s="102">
        <v>0</v>
      </c>
      <c r="O356" s="102">
        <v>0</v>
      </c>
      <c r="P356" s="102">
        <v>1</v>
      </c>
      <c r="Q356" s="102">
        <v>0</v>
      </c>
      <c r="R356" s="120"/>
      <c r="S356" s="120"/>
      <c r="T356" s="120"/>
      <c r="U356" s="120"/>
      <c r="V356" s="120"/>
      <c r="W356" s="120"/>
      <c r="X356" s="120"/>
      <c r="Y356" s="120"/>
      <c r="Z356" s="120"/>
      <c r="AA356" s="120"/>
      <c r="AB356" s="120"/>
    </row>
    <row r="357" spans="1:28" ht="15.75" customHeight="1" x14ac:dyDescent="0.55000000000000004">
      <c r="A357" s="121">
        <v>162</v>
      </c>
      <c r="B357" s="121" t="s">
        <v>1924</v>
      </c>
      <c r="C357" s="121" t="s">
        <v>1925</v>
      </c>
      <c r="D357" s="122">
        <v>43279</v>
      </c>
      <c r="E357" s="102" t="s">
        <v>2330</v>
      </c>
      <c r="F357" s="102">
        <v>1</v>
      </c>
      <c r="G357" s="102">
        <v>2</v>
      </c>
      <c r="H357" s="102">
        <v>1</v>
      </c>
      <c r="I357" s="102">
        <v>0</v>
      </c>
      <c r="J357" s="102" t="s">
        <v>853</v>
      </c>
      <c r="K357" s="102">
        <v>1</v>
      </c>
      <c r="L357" s="102">
        <v>3</v>
      </c>
      <c r="M357" s="102">
        <v>0</v>
      </c>
      <c r="N357" s="102">
        <v>0</v>
      </c>
      <c r="O357" s="102">
        <v>0</v>
      </c>
      <c r="P357" s="102">
        <v>0</v>
      </c>
      <c r="Q357" s="102">
        <v>0</v>
      </c>
      <c r="R357" s="120"/>
      <c r="S357" s="120"/>
      <c r="T357" s="120"/>
      <c r="U357" s="120"/>
      <c r="V357" s="120"/>
      <c r="W357" s="120"/>
      <c r="X357" s="120"/>
      <c r="Y357" s="120"/>
      <c r="Z357" s="120"/>
      <c r="AA357" s="120"/>
      <c r="AB357" s="120"/>
    </row>
    <row r="358" spans="1:28" ht="15.75" customHeight="1" x14ac:dyDescent="0.55000000000000004">
      <c r="A358" s="123">
        <v>163</v>
      </c>
      <c r="B358" s="123" t="s">
        <v>1933</v>
      </c>
      <c r="C358" s="123" t="s">
        <v>1934</v>
      </c>
      <c r="D358" s="124">
        <v>43355</v>
      </c>
      <c r="E358" s="102" t="s">
        <v>2331</v>
      </c>
      <c r="F358" s="102">
        <v>0</v>
      </c>
      <c r="G358" s="102"/>
      <c r="H358" s="102">
        <v>1</v>
      </c>
      <c r="I358" s="102">
        <v>0</v>
      </c>
      <c r="J358" s="102" t="s">
        <v>853</v>
      </c>
      <c r="K358" s="102">
        <v>1</v>
      </c>
      <c r="L358" s="102">
        <v>3</v>
      </c>
      <c r="M358" s="102">
        <v>0</v>
      </c>
      <c r="N358" s="102">
        <v>0</v>
      </c>
      <c r="O358" s="102">
        <v>0</v>
      </c>
      <c r="P358" s="102">
        <v>0</v>
      </c>
      <c r="Q358" s="102">
        <v>0</v>
      </c>
      <c r="R358" s="120"/>
      <c r="S358" s="120"/>
      <c r="T358" s="120"/>
      <c r="U358" s="120"/>
      <c r="V358" s="120"/>
      <c r="W358" s="120"/>
      <c r="X358" s="120"/>
      <c r="Y358" s="120"/>
      <c r="Z358" s="120"/>
      <c r="AA358" s="120"/>
      <c r="AB358" s="120"/>
    </row>
    <row r="359" spans="1:28" ht="15.75" customHeight="1" x14ac:dyDescent="0.55000000000000004">
      <c r="A359" s="125">
        <v>164</v>
      </c>
      <c r="B359" s="125" t="s">
        <v>1938</v>
      </c>
      <c r="C359" s="125" t="s">
        <v>859</v>
      </c>
      <c r="D359" s="126">
        <v>43400</v>
      </c>
      <c r="E359" s="102" t="s">
        <v>2332</v>
      </c>
      <c r="F359" s="102">
        <v>3</v>
      </c>
      <c r="G359" s="102">
        <v>1</v>
      </c>
      <c r="H359" s="102">
        <v>1</v>
      </c>
      <c r="I359" s="102">
        <v>0</v>
      </c>
      <c r="J359" s="102">
        <v>0</v>
      </c>
      <c r="K359" s="102">
        <v>1</v>
      </c>
      <c r="L359" s="102"/>
      <c r="M359" s="102"/>
      <c r="N359" s="102"/>
      <c r="O359" s="102"/>
      <c r="P359" s="102"/>
      <c r="Q359" s="102">
        <v>1</v>
      </c>
      <c r="R359" s="120"/>
      <c r="S359" s="120"/>
      <c r="T359" s="120"/>
      <c r="U359" s="120"/>
      <c r="V359" s="120"/>
      <c r="W359" s="120"/>
      <c r="X359" s="120"/>
      <c r="Y359" s="120"/>
      <c r="Z359" s="120"/>
      <c r="AA359" s="120"/>
      <c r="AB359" s="120"/>
    </row>
    <row r="360" spans="1:28" ht="15.75" customHeight="1" x14ac:dyDescent="0.55000000000000004">
      <c r="A360" s="125">
        <v>164</v>
      </c>
      <c r="B360" s="125" t="s">
        <v>1938</v>
      </c>
      <c r="C360" s="125" t="s">
        <v>859</v>
      </c>
      <c r="D360" s="126">
        <v>43400</v>
      </c>
      <c r="E360" s="102" t="s">
        <v>2333</v>
      </c>
      <c r="F360" s="102">
        <v>0</v>
      </c>
      <c r="G360" s="102">
        <v>1</v>
      </c>
      <c r="H360" s="102"/>
      <c r="I360" s="102">
        <v>0</v>
      </c>
      <c r="J360" s="102">
        <v>0</v>
      </c>
      <c r="K360" s="102">
        <v>1</v>
      </c>
      <c r="L360" s="102"/>
      <c r="M360" s="102"/>
      <c r="N360" s="102"/>
      <c r="O360" s="102"/>
      <c r="P360" s="102"/>
      <c r="Q360" s="102">
        <v>1</v>
      </c>
      <c r="R360" s="120"/>
      <c r="S360" s="120"/>
      <c r="T360" s="120"/>
      <c r="U360" s="120"/>
      <c r="V360" s="120"/>
      <c r="W360" s="120"/>
      <c r="X360" s="120"/>
      <c r="Y360" s="120"/>
      <c r="Z360" s="120"/>
      <c r="AA360" s="120"/>
      <c r="AB360" s="120"/>
    </row>
    <row r="361" spans="1:28" ht="15.75" customHeight="1" x14ac:dyDescent="0.55000000000000004">
      <c r="A361" s="125">
        <v>164</v>
      </c>
      <c r="B361" s="125" t="s">
        <v>1938</v>
      </c>
      <c r="C361" s="125" t="s">
        <v>859</v>
      </c>
      <c r="D361" s="126">
        <v>43400</v>
      </c>
      <c r="E361" s="102" t="s">
        <v>2333</v>
      </c>
      <c r="F361" s="102">
        <v>0</v>
      </c>
      <c r="G361" s="102">
        <v>1</v>
      </c>
      <c r="H361" s="102"/>
      <c r="I361" s="102">
        <v>0</v>
      </c>
      <c r="J361" s="102">
        <v>0</v>
      </c>
      <c r="K361" s="102">
        <v>1</v>
      </c>
      <c r="L361" s="102"/>
      <c r="M361" s="102"/>
      <c r="N361" s="102"/>
      <c r="O361" s="102"/>
      <c r="P361" s="102"/>
      <c r="Q361" s="102">
        <v>1</v>
      </c>
      <c r="R361" s="120"/>
      <c r="S361" s="120"/>
      <c r="T361" s="120"/>
      <c r="U361" s="120"/>
      <c r="V361" s="120"/>
      <c r="W361" s="120"/>
      <c r="X361" s="120"/>
      <c r="Y361" s="120"/>
      <c r="Z361" s="120"/>
      <c r="AA361" s="120"/>
      <c r="AB361" s="120"/>
    </row>
    <row r="362" spans="1:28" ht="15.75" customHeight="1" x14ac:dyDescent="0.55000000000000004">
      <c r="A362" s="125">
        <v>164</v>
      </c>
      <c r="B362" s="125" t="s">
        <v>1938</v>
      </c>
      <c r="C362" s="125" t="s">
        <v>859</v>
      </c>
      <c r="D362" s="126">
        <v>43400</v>
      </c>
      <c r="E362" s="102" t="s">
        <v>2333</v>
      </c>
      <c r="F362" s="102">
        <v>0</v>
      </c>
      <c r="G362" s="102"/>
      <c r="H362" s="102"/>
      <c r="I362" s="102">
        <v>0</v>
      </c>
      <c r="J362" s="102">
        <v>0</v>
      </c>
      <c r="K362" s="102">
        <v>1</v>
      </c>
      <c r="L362" s="102"/>
      <c r="M362" s="102"/>
      <c r="N362" s="102"/>
      <c r="O362" s="102"/>
      <c r="P362" s="102"/>
      <c r="Q362" s="102">
        <v>1</v>
      </c>
      <c r="R362" s="120"/>
      <c r="S362" s="120"/>
      <c r="T362" s="120"/>
      <c r="U362" s="120"/>
      <c r="V362" s="120"/>
      <c r="W362" s="120"/>
      <c r="X362" s="120"/>
      <c r="Y362" s="120"/>
      <c r="Z362" s="120"/>
      <c r="AA362" s="120"/>
      <c r="AB362" s="120"/>
    </row>
    <row r="363" spans="1:28" ht="15.75" customHeight="1" x14ac:dyDescent="0.55000000000000004">
      <c r="A363" s="125">
        <v>164</v>
      </c>
      <c r="B363" s="125" t="s">
        <v>1938</v>
      </c>
      <c r="C363" s="125" t="s">
        <v>859</v>
      </c>
      <c r="D363" s="126">
        <v>43400</v>
      </c>
      <c r="E363" s="102" t="s">
        <v>2163</v>
      </c>
      <c r="F363" s="102">
        <v>1</v>
      </c>
      <c r="G363" s="102">
        <v>2</v>
      </c>
      <c r="H363" s="102">
        <v>0</v>
      </c>
      <c r="I363" s="102">
        <v>0</v>
      </c>
      <c r="J363" s="102" t="s">
        <v>853</v>
      </c>
      <c r="K363" s="102">
        <v>1</v>
      </c>
      <c r="L363" s="102"/>
      <c r="M363" s="102"/>
      <c r="N363" s="102"/>
      <c r="O363" s="102"/>
      <c r="P363" s="102"/>
      <c r="Q363" s="102">
        <v>1</v>
      </c>
      <c r="R363" s="120"/>
      <c r="S363" s="120"/>
      <c r="T363" s="120"/>
      <c r="U363" s="120"/>
      <c r="V363" s="120"/>
      <c r="W363" s="120"/>
      <c r="X363" s="120"/>
      <c r="Y363" s="120"/>
      <c r="Z363" s="120"/>
      <c r="AA363" s="120"/>
      <c r="AB363" s="120"/>
    </row>
    <row r="364" spans="1:28" ht="15.75" customHeight="1" x14ac:dyDescent="0.55000000000000004">
      <c r="A364" s="127">
        <v>165</v>
      </c>
      <c r="B364" s="127" t="s">
        <v>1942</v>
      </c>
      <c r="C364" s="127" t="s">
        <v>1943</v>
      </c>
      <c r="D364" s="128">
        <v>43411</v>
      </c>
      <c r="E364" s="102" t="s">
        <v>2334</v>
      </c>
      <c r="F364" s="102">
        <v>0</v>
      </c>
      <c r="G364" s="102">
        <v>1</v>
      </c>
      <c r="H364" s="102">
        <v>1</v>
      </c>
      <c r="I364" s="102">
        <v>0</v>
      </c>
      <c r="J364" s="102">
        <v>1</v>
      </c>
      <c r="K364" s="102">
        <v>1</v>
      </c>
      <c r="L364" s="102">
        <v>3</v>
      </c>
      <c r="M364" s="102">
        <v>0</v>
      </c>
      <c r="N364" s="102">
        <v>0</v>
      </c>
      <c r="O364" s="102">
        <v>0</v>
      </c>
      <c r="P364" s="102">
        <v>0</v>
      </c>
      <c r="Q364" s="102">
        <v>0</v>
      </c>
      <c r="R364" s="120"/>
      <c r="S364" s="120"/>
      <c r="T364" s="120"/>
      <c r="U364" s="120"/>
      <c r="V364" s="120"/>
      <c r="W364" s="120"/>
      <c r="X364" s="120"/>
      <c r="Y364" s="120"/>
      <c r="Z364" s="120"/>
      <c r="AA364" s="120"/>
      <c r="AB364" s="120"/>
    </row>
    <row r="365" spans="1:28" ht="15.75" customHeight="1" x14ac:dyDescent="0.55000000000000004">
      <c r="A365" s="118">
        <v>166</v>
      </c>
      <c r="B365" s="118" t="s">
        <v>1948</v>
      </c>
      <c r="C365" s="118" t="s">
        <v>1949</v>
      </c>
      <c r="D365" s="119">
        <v>43488</v>
      </c>
      <c r="E365" s="102" t="s">
        <v>2149</v>
      </c>
      <c r="F365" s="102">
        <v>0</v>
      </c>
      <c r="G365" s="102">
        <v>2</v>
      </c>
      <c r="H365" s="102">
        <v>1</v>
      </c>
      <c r="I365" s="102">
        <v>0</v>
      </c>
      <c r="J365" s="102">
        <v>0</v>
      </c>
      <c r="K365" s="102">
        <v>0</v>
      </c>
      <c r="L365" s="102">
        <v>3</v>
      </c>
      <c r="M365" s="102">
        <v>0</v>
      </c>
      <c r="N365" s="102">
        <v>0</v>
      </c>
      <c r="O365" s="102">
        <v>0</v>
      </c>
      <c r="P365" s="102">
        <v>0</v>
      </c>
      <c r="Q365" s="102">
        <v>0</v>
      </c>
      <c r="R365" s="120"/>
      <c r="S365" s="120"/>
      <c r="T365" s="120"/>
      <c r="U365" s="120"/>
      <c r="V365" s="120"/>
      <c r="W365" s="120"/>
      <c r="X365" s="120"/>
      <c r="Y365" s="120"/>
      <c r="Z365" s="120"/>
      <c r="AA365" s="120"/>
      <c r="AB365" s="120"/>
    </row>
    <row r="366" spans="1:28" ht="15.75" customHeight="1" x14ac:dyDescent="0.55000000000000004">
      <c r="A366" s="121">
        <v>167</v>
      </c>
      <c r="B366" s="121" t="s">
        <v>1953</v>
      </c>
      <c r="C366" s="121" t="s">
        <v>1954</v>
      </c>
      <c r="D366" s="122">
        <v>43511</v>
      </c>
      <c r="E366" s="102" t="s">
        <v>2232</v>
      </c>
      <c r="F366" s="102">
        <v>0</v>
      </c>
      <c r="G366" s="102">
        <v>2</v>
      </c>
      <c r="H366" s="102">
        <v>1</v>
      </c>
      <c r="I366" s="102">
        <v>0</v>
      </c>
      <c r="J366" s="102">
        <v>0</v>
      </c>
      <c r="K366" s="102">
        <v>1</v>
      </c>
      <c r="L366" s="102">
        <v>0</v>
      </c>
      <c r="M366" s="102">
        <v>1</v>
      </c>
      <c r="N366" s="102">
        <v>0</v>
      </c>
      <c r="O366" s="102">
        <v>0</v>
      </c>
      <c r="P366" s="102">
        <v>0</v>
      </c>
      <c r="Q366" s="102">
        <v>0</v>
      </c>
      <c r="R366" s="120"/>
      <c r="S366" s="120"/>
      <c r="T366" s="120"/>
      <c r="U366" s="120"/>
      <c r="V366" s="120"/>
      <c r="W366" s="120"/>
      <c r="X366" s="120"/>
      <c r="Y366" s="120"/>
      <c r="Z366" s="120"/>
      <c r="AA366" s="120"/>
      <c r="AB366" s="120"/>
    </row>
    <row r="367" spans="1:28" ht="15.75" customHeight="1" x14ac:dyDescent="0.55000000000000004">
      <c r="A367" s="123">
        <v>168</v>
      </c>
      <c r="B367" s="123" t="s">
        <v>1957</v>
      </c>
      <c r="C367" s="123" t="s">
        <v>1958</v>
      </c>
      <c r="D367" s="124">
        <v>43616</v>
      </c>
      <c r="E367" s="102" t="s">
        <v>2334</v>
      </c>
      <c r="F367" s="102">
        <v>0</v>
      </c>
      <c r="G367" s="102">
        <v>2</v>
      </c>
      <c r="H367" s="102">
        <v>1</v>
      </c>
      <c r="I367" s="102">
        <v>0</v>
      </c>
      <c r="J367" s="102">
        <v>1</v>
      </c>
      <c r="K367" s="102">
        <v>1</v>
      </c>
      <c r="L367" s="102">
        <v>3</v>
      </c>
      <c r="M367" s="102">
        <v>0</v>
      </c>
      <c r="N367" s="102">
        <v>0</v>
      </c>
      <c r="O367" s="102">
        <v>0</v>
      </c>
      <c r="P367" s="102">
        <v>0</v>
      </c>
      <c r="Q367" s="102">
        <v>0</v>
      </c>
      <c r="R367" s="120"/>
      <c r="S367" s="120"/>
      <c r="T367" s="120"/>
      <c r="U367" s="120"/>
      <c r="V367" s="120"/>
      <c r="W367" s="120"/>
      <c r="X367" s="120"/>
      <c r="Y367" s="120"/>
      <c r="Z367" s="120"/>
      <c r="AA367" s="120"/>
      <c r="AB367" s="120"/>
    </row>
    <row r="368" spans="1:28" ht="15.75" customHeight="1" x14ac:dyDescent="0.55000000000000004">
      <c r="A368" s="123">
        <v>168</v>
      </c>
      <c r="B368" s="123" t="s">
        <v>1957</v>
      </c>
      <c r="C368" s="123" t="s">
        <v>1958</v>
      </c>
      <c r="D368" s="124">
        <v>43616</v>
      </c>
      <c r="E368" s="102" t="s">
        <v>2335</v>
      </c>
      <c r="F368" s="102">
        <v>0</v>
      </c>
      <c r="G368" s="102">
        <v>2</v>
      </c>
      <c r="H368" s="102">
        <v>1</v>
      </c>
      <c r="I368" s="102">
        <v>1</v>
      </c>
      <c r="J368" s="102">
        <v>1</v>
      </c>
      <c r="K368" s="102">
        <v>1</v>
      </c>
      <c r="L368" s="102">
        <v>3</v>
      </c>
      <c r="M368" s="102">
        <v>0</v>
      </c>
      <c r="N368" s="102">
        <v>0</v>
      </c>
      <c r="O368" s="102">
        <v>0</v>
      </c>
      <c r="P368" s="102">
        <v>0</v>
      </c>
      <c r="Q368" s="102">
        <v>0</v>
      </c>
      <c r="R368" s="120"/>
      <c r="S368" s="120"/>
      <c r="T368" s="120"/>
      <c r="U368" s="120"/>
      <c r="V368" s="120"/>
      <c r="W368" s="120"/>
      <c r="X368" s="120"/>
      <c r="Y368" s="120"/>
      <c r="Z368" s="120"/>
      <c r="AA368" s="120"/>
      <c r="AB368" s="120"/>
    </row>
    <row r="369" spans="1:28" ht="15.75" customHeight="1" x14ac:dyDescent="0.55000000000000004">
      <c r="A369" s="125">
        <v>169</v>
      </c>
      <c r="B369" s="125" t="s">
        <v>1963</v>
      </c>
      <c r="C369" s="125" t="s">
        <v>1082</v>
      </c>
      <c r="D369" s="126">
        <v>43680</v>
      </c>
      <c r="E369" s="102" t="s">
        <v>2336</v>
      </c>
      <c r="F369" s="102">
        <v>3</v>
      </c>
      <c r="G369" s="102">
        <v>2</v>
      </c>
      <c r="H369" s="102">
        <v>1</v>
      </c>
      <c r="I369" s="102">
        <v>0</v>
      </c>
      <c r="J369" s="102">
        <v>1</v>
      </c>
      <c r="K369" s="102">
        <v>1</v>
      </c>
      <c r="L369" s="102">
        <v>1</v>
      </c>
      <c r="M369" s="102">
        <v>0</v>
      </c>
      <c r="N369" s="102">
        <v>0</v>
      </c>
      <c r="O369" s="102">
        <v>0</v>
      </c>
      <c r="P369" s="102">
        <v>0</v>
      </c>
      <c r="Q369" s="102">
        <v>0</v>
      </c>
      <c r="R369" s="120"/>
      <c r="S369" s="120"/>
      <c r="T369" s="120"/>
      <c r="U369" s="120"/>
      <c r="V369" s="120"/>
      <c r="W369" s="120"/>
      <c r="X369" s="120"/>
      <c r="Y369" s="120"/>
      <c r="Z369" s="120"/>
      <c r="AA369" s="120"/>
      <c r="AB369" s="120"/>
    </row>
    <row r="370" spans="1:28" ht="15.75" customHeight="1" x14ac:dyDescent="0.55000000000000004">
      <c r="A370" s="127">
        <v>170</v>
      </c>
      <c r="B370" s="127" t="s">
        <v>1965</v>
      </c>
      <c r="C370" s="127" t="s">
        <v>1966</v>
      </c>
      <c r="D370" s="128">
        <v>43681</v>
      </c>
      <c r="E370" s="102" t="s">
        <v>2337</v>
      </c>
      <c r="F370" s="102">
        <v>3</v>
      </c>
      <c r="G370" s="102"/>
      <c r="H370" s="102">
        <v>1</v>
      </c>
      <c r="I370" s="102">
        <v>1</v>
      </c>
      <c r="J370" s="102">
        <v>1</v>
      </c>
      <c r="K370" s="102"/>
      <c r="L370" s="102">
        <v>1</v>
      </c>
      <c r="M370" s="102">
        <v>0</v>
      </c>
      <c r="N370" s="102">
        <v>0</v>
      </c>
      <c r="O370" s="102">
        <v>0</v>
      </c>
      <c r="P370" s="102">
        <v>0</v>
      </c>
      <c r="Q370" s="102">
        <v>0</v>
      </c>
      <c r="R370" s="120"/>
      <c r="S370" s="120"/>
      <c r="T370" s="120"/>
      <c r="U370" s="120"/>
      <c r="V370" s="120"/>
      <c r="W370" s="120"/>
      <c r="X370" s="120"/>
      <c r="Y370" s="120"/>
      <c r="Z370" s="120"/>
      <c r="AA370" s="120"/>
      <c r="AB370" s="120"/>
    </row>
    <row r="371" spans="1:28" ht="15.75" customHeight="1" x14ac:dyDescent="0.55000000000000004">
      <c r="A371" s="127">
        <v>170</v>
      </c>
      <c r="B371" s="127" t="s">
        <v>1965</v>
      </c>
      <c r="C371" s="127" t="s">
        <v>1966</v>
      </c>
      <c r="D371" s="128">
        <v>43681</v>
      </c>
      <c r="E371" s="102" t="s">
        <v>2163</v>
      </c>
      <c r="F371" s="102">
        <v>1</v>
      </c>
      <c r="G371" s="102">
        <v>2</v>
      </c>
      <c r="H371" s="102">
        <v>0</v>
      </c>
      <c r="I371" s="102">
        <v>0</v>
      </c>
      <c r="J371" s="102" t="s">
        <v>853</v>
      </c>
      <c r="K371" s="102"/>
      <c r="L371" s="102">
        <v>1</v>
      </c>
      <c r="M371" s="102">
        <v>0</v>
      </c>
      <c r="N371" s="102">
        <v>0</v>
      </c>
      <c r="O371" s="102">
        <v>0</v>
      </c>
      <c r="P371" s="102">
        <v>0</v>
      </c>
      <c r="Q371" s="102">
        <v>0</v>
      </c>
      <c r="R371" s="120"/>
      <c r="S371" s="120"/>
      <c r="T371" s="120"/>
      <c r="U371" s="120"/>
      <c r="V371" s="120"/>
      <c r="W371" s="120"/>
      <c r="X371" s="120"/>
      <c r="Y371" s="120"/>
      <c r="Z371" s="120"/>
      <c r="AA371" s="120"/>
      <c r="AB371" s="120"/>
    </row>
    <row r="372" spans="1:28" ht="15.75" customHeight="1" x14ac:dyDescent="0.55000000000000004">
      <c r="A372" s="118">
        <v>171</v>
      </c>
      <c r="B372" s="118" t="s">
        <v>1975</v>
      </c>
      <c r="C372" s="118" t="s">
        <v>1976</v>
      </c>
      <c r="D372" s="119">
        <v>43708</v>
      </c>
      <c r="E372" s="102" t="s">
        <v>2338</v>
      </c>
      <c r="F372" s="102">
        <v>3</v>
      </c>
      <c r="G372" s="102"/>
      <c r="H372" s="102">
        <v>1</v>
      </c>
      <c r="I372" s="102">
        <v>0</v>
      </c>
      <c r="J372" s="102">
        <v>0</v>
      </c>
      <c r="K372" s="102"/>
      <c r="L372" s="102">
        <v>2</v>
      </c>
      <c r="M372" s="102">
        <v>0</v>
      </c>
      <c r="N372" s="102">
        <v>0</v>
      </c>
      <c r="O372" s="102">
        <v>0</v>
      </c>
      <c r="P372" s="102">
        <v>0</v>
      </c>
      <c r="Q372" s="102">
        <v>0</v>
      </c>
      <c r="R372" s="120"/>
      <c r="S372" s="120"/>
      <c r="T372" s="120"/>
      <c r="U372" s="120"/>
      <c r="V372" s="120"/>
      <c r="W372" s="120"/>
      <c r="X372" s="120"/>
      <c r="Y372" s="120"/>
      <c r="Z372" s="120"/>
      <c r="AA372" s="120"/>
      <c r="AB372" s="120"/>
    </row>
    <row r="373" spans="1:28" ht="15.75" customHeight="1" x14ac:dyDescent="0.55000000000000004">
      <c r="A373" s="121" t="s">
        <v>2339</v>
      </c>
      <c r="B373" s="121" t="s">
        <v>2340</v>
      </c>
      <c r="C373" s="121" t="s">
        <v>2341</v>
      </c>
      <c r="D373" s="122">
        <v>43809</v>
      </c>
      <c r="E373" s="102" t="s">
        <v>2342</v>
      </c>
      <c r="F373" s="102">
        <v>3</v>
      </c>
      <c r="G373" s="102">
        <v>2</v>
      </c>
      <c r="H373" s="102">
        <v>1</v>
      </c>
      <c r="I373" s="102">
        <v>0</v>
      </c>
      <c r="J373" s="102">
        <v>0</v>
      </c>
      <c r="K373" s="102"/>
      <c r="L373" s="102"/>
      <c r="M373" s="102"/>
      <c r="N373" s="102"/>
      <c r="O373" s="102"/>
      <c r="P373" s="102"/>
      <c r="Q373" s="102">
        <v>1</v>
      </c>
      <c r="R373" s="120"/>
      <c r="S373" s="120"/>
      <c r="T373" s="120"/>
      <c r="U373" s="120"/>
      <c r="V373" s="120"/>
      <c r="W373" s="120"/>
      <c r="X373" s="120"/>
      <c r="Y373" s="120"/>
      <c r="Z373" s="120"/>
      <c r="AA373" s="120"/>
      <c r="AB373" s="120"/>
    </row>
    <row r="374" spans="1:28" ht="15.75" customHeight="1" x14ac:dyDescent="0.55000000000000004">
      <c r="A374" s="121" t="s">
        <v>2339</v>
      </c>
      <c r="B374" s="121" t="s">
        <v>2340</v>
      </c>
      <c r="C374" s="121" t="s">
        <v>2341</v>
      </c>
      <c r="D374" s="122">
        <v>43809</v>
      </c>
      <c r="E374" s="102" t="s">
        <v>2343</v>
      </c>
      <c r="F374" s="102">
        <v>1</v>
      </c>
      <c r="G374" s="102">
        <v>1</v>
      </c>
      <c r="H374" s="102">
        <v>1</v>
      </c>
      <c r="I374" s="102">
        <v>0</v>
      </c>
      <c r="J374" s="102" t="s">
        <v>853</v>
      </c>
      <c r="K374" s="102">
        <v>1</v>
      </c>
      <c r="L374" s="102">
        <v>1</v>
      </c>
      <c r="M374" s="102">
        <v>0</v>
      </c>
      <c r="N374" s="102">
        <v>0</v>
      </c>
      <c r="O374" s="102">
        <v>0</v>
      </c>
      <c r="P374" s="102">
        <v>0</v>
      </c>
      <c r="Q374" s="102">
        <v>0</v>
      </c>
      <c r="R374" s="120"/>
      <c r="S374" s="120"/>
      <c r="T374" s="120"/>
      <c r="U374" s="120"/>
      <c r="V374" s="120"/>
      <c r="W374" s="120"/>
      <c r="X374" s="120"/>
      <c r="Y374" s="120"/>
      <c r="Z374" s="120"/>
      <c r="AA374" s="120"/>
      <c r="AB374" s="120"/>
    </row>
    <row r="375" spans="1:28" ht="15.75" customHeight="1" x14ac:dyDescent="0.55000000000000004">
      <c r="A375" s="121" t="s">
        <v>2339</v>
      </c>
      <c r="B375" s="121" t="s">
        <v>2340</v>
      </c>
      <c r="C375" s="121" t="s">
        <v>2341</v>
      </c>
      <c r="D375" s="122">
        <v>43809</v>
      </c>
      <c r="E375" s="102" t="s">
        <v>2344</v>
      </c>
      <c r="F375" s="102">
        <v>0</v>
      </c>
      <c r="G375" s="102">
        <v>1</v>
      </c>
      <c r="H375" s="102"/>
      <c r="I375" s="102">
        <v>0</v>
      </c>
      <c r="J375" s="102">
        <v>0</v>
      </c>
      <c r="K375" s="102"/>
      <c r="L375" s="102"/>
      <c r="M375" s="102"/>
      <c r="N375" s="102"/>
      <c r="O375" s="102"/>
      <c r="P375" s="102"/>
      <c r="Q375" s="102">
        <v>1</v>
      </c>
      <c r="R375" s="120"/>
      <c r="S375" s="120"/>
      <c r="T375" s="120"/>
      <c r="U375" s="120"/>
      <c r="V375" s="120"/>
      <c r="W375" s="120"/>
      <c r="X375" s="120"/>
      <c r="Y375" s="120"/>
      <c r="Z375" s="120"/>
      <c r="AA375" s="120"/>
      <c r="AB375" s="120"/>
    </row>
    <row r="376" spans="1:28" ht="15.75" customHeight="1" x14ac:dyDescent="0.55000000000000004">
      <c r="A376" s="121" t="s">
        <v>2339</v>
      </c>
      <c r="B376" s="121" t="s">
        <v>2340</v>
      </c>
      <c r="C376" s="121" t="s">
        <v>2341</v>
      </c>
      <c r="D376" s="122">
        <v>43809</v>
      </c>
      <c r="E376" s="102" t="s">
        <v>2189</v>
      </c>
      <c r="F376" s="102">
        <v>0</v>
      </c>
      <c r="G376" s="102">
        <v>0</v>
      </c>
      <c r="H376" s="102"/>
      <c r="I376" s="102">
        <v>0</v>
      </c>
      <c r="J376" s="102">
        <v>0</v>
      </c>
      <c r="K376" s="102"/>
      <c r="L376" s="102"/>
      <c r="M376" s="102"/>
      <c r="N376" s="102"/>
      <c r="O376" s="102"/>
      <c r="P376" s="102"/>
      <c r="Q376" s="102">
        <v>1</v>
      </c>
      <c r="R376" s="120"/>
      <c r="S376" s="120"/>
      <c r="T376" s="120"/>
      <c r="U376" s="120"/>
      <c r="V376" s="120"/>
      <c r="W376" s="120"/>
      <c r="X376" s="120"/>
      <c r="Y376" s="120"/>
      <c r="Z376" s="120"/>
      <c r="AA376" s="120"/>
      <c r="AB376" s="120"/>
    </row>
    <row r="377" spans="1:28" ht="15.75" customHeight="1" x14ac:dyDescent="0.55000000000000004">
      <c r="A377" s="121" t="s">
        <v>2339</v>
      </c>
      <c r="B377" s="121" t="s">
        <v>2340</v>
      </c>
      <c r="C377" s="121" t="s">
        <v>2341</v>
      </c>
      <c r="D377" s="122">
        <v>43809</v>
      </c>
      <c r="E377" s="102" t="s">
        <v>2345</v>
      </c>
      <c r="F377" s="102">
        <v>0</v>
      </c>
      <c r="G377" s="102"/>
      <c r="H377" s="102">
        <v>0</v>
      </c>
      <c r="I377" s="102">
        <v>1</v>
      </c>
      <c r="J377" s="102">
        <v>0</v>
      </c>
      <c r="K377" s="102">
        <v>1</v>
      </c>
      <c r="L377" s="102">
        <v>1</v>
      </c>
      <c r="M377" s="102">
        <v>0</v>
      </c>
      <c r="N377" s="102">
        <v>0</v>
      </c>
      <c r="O377" s="102">
        <v>0</v>
      </c>
      <c r="P377" s="102">
        <v>0</v>
      </c>
      <c r="Q377" s="102">
        <v>0</v>
      </c>
      <c r="R377" s="120"/>
      <c r="S377" s="120"/>
      <c r="T377" s="120"/>
      <c r="U377" s="120"/>
      <c r="V377" s="120"/>
      <c r="W377" s="120"/>
      <c r="X377" s="120"/>
      <c r="Y377" s="120"/>
      <c r="Z377" s="120"/>
      <c r="AA377" s="120"/>
      <c r="AB377" s="120"/>
    </row>
    <row r="378" spans="1:28" ht="15.75" customHeight="1" x14ac:dyDescent="0.55000000000000004">
      <c r="A378" s="123">
        <v>174</v>
      </c>
      <c r="B378" s="123" t="s">
        <v>1991</v>
      </c>
      <c r="C378" s="123" t="s">
        <v>1524</v>
      </c>
      <c r="D378" s="124">
        <v>43887</v>
      </c>
      <c r="E378" s="102" t="s">
        <v>2346</v>
      </c>
      <c r="F378" s="102">
        <v>0</v>
      </c>
      <c r="G378" s="102"/>
      <c r="H378" s="102"/>
      <c r="I378" s="102">
        <v>1</v>
      </c>
      <c r="J378" s="102">
        <v>0</v>
      </c>
      <c r="K378" s="102">
        <v>1</v>
      </c>
      <c r="L378" s="102">
        <v>3</v>
      </c>
      <c r="M378" s="102">
        <v>0</v>
      </c>
      <c r="N378" s="102"/>
      <c r="O378" s="102">
        <v>0</v>
      </c>
      <c r="P378" s="102">
        <v>0</v>
      </c>
      <c r="Q378" s="102">
        <v>0</v>
      </c>
      <c r="R378" s="120"/>
      <c r="S378" s="120"/>
      <c r="T378" s="120"/>
      <c r="U378" s="120"/>
      <c r="V378" s="120"/>
      <c r="W378" s="120"/>
      <c r="X378" s="120"/>
      <c r="Y378" s="120"/>
      <c r="Z378" s="120"/>
      <c r="AA378" s="120"/>
      <c r="AB378" s="120"/>
    </row>
    <row r="379" spans="1:28" ht="15.75" customHeight="1" x14ac:dyDescent="0.55000000000000004">
      <c r="A379" s="123">
        <v>174</v>
      </c>
      <c r="B379" s="123" t="s">
        <v>1991</v>
      </c>
      <c r="C379" s="123" t="s">
        <v>1524</v>
      </c>
      <c r="D379" s="124">
        <v>43887</v>
      </c>
      <c r="E379" s="102" t="s">
        <v>2074</v>
      </c>
      <c r="F379" s="102">
        <v>0</v>
      </c>
      <c r="G379" s="102"/>
      <c r="H379" s="102"/>
      <c r="I379" s="102">
        <v>0</v>
      </c>
      <c r="J379" s="102">
        <v>0</v>
      </c>
      <c r="K379" s="102">
        <v>1</v>
      </c>
      <c r="L379" s="102">
        <v>3</v>
      </c>
      <c r="M379" s="102">
        <v>0</v>
      </c>
      <c r="N379" s="102"/>
      <c r="O379" s="102">
        <v>0</v>
      </c>
      <c r="P379" s="102">
        <v>0</v>
      </c>
      <c r="Q379" s="102">
        <v>0</v>
      </c>
      <c r="R379" s="120"/>
      <c r="S379" s="120"/>
      <c r="T379" s="120"/>
      <c r="U379" s="120"/>
      <c r="V379" s="120"/>
      <c r="W379" s="120"/>
      <c r="X379" s="120"/>
      <c r="Y379" s="120"/>
      <c r="Z379" s="120"/>
      <c r="AA379" s="120"/>
      <c r="AB379" s="120"/>
    </row>
    <row r="380" spans="1:28" ht="17.25" customHeight="1" x14ac:dyDescent="0.55000000000000004">
      <c r="A380" s="125">
        <v>175</v>
      </c>
      <c r="B380" s="132" t="s">
        <v>1997</v>
      </c>
      <c r="C380" s="132" t="s">
        <v>1998</v>
      </c>
      <c r="D380" s="126">
        <v>43905</v>
      </c>
      <c r="E380" s="102" t="s">
        <v>2153</v>
      </c>
      <c r="F380" s="102">
        <v>0</v>
      </c>
      <c r="G380" s="102">
        <v>1</v>
      </c>
      <c r="H380" s="102">
        <v>1</v>
      </c>
      <c r="I380" s="102"/>
      <c r="J380" s="102"/>
      <c r="K380" s="102"/>
      <c r="L380" s="102">
        <v>3</v>
      </c>
      <c r="M380" s="102">
        <v>0</v>
      </c>
      <c r="N380" s="102">
        <v>0</v>
      </c>
      <c r="O380" s="102">
        <v>0</v>
      </c>
      <c r="P380" s="102">
        <v>0</v>
      </c>
      <c r="Q380" s="102">
        <v>0</v>
      </c>
      <c r="R380" s="133"/>
      <c r="S380" s="133"/>
      <c r="T380" s="133"/>
      <c r="U380" s="133"/>
      <c r="V380" s="133"/>
      <c r="W380" s="133"/>
      <c r="X380" s="133"/>
      <c r="Y380" s="133"/>
      <c r="Z380" s="134"/>
      <c r="AA380" s="134"/>
      <c r="AB380" s="134"/>
    </row>
    <row r="381" spans="1:28" ht="17.25" customHeight="1" x14ac:dyDescent="0.55000000000000004">
      <c r="A381" s="125">
        <v>175</v>
      </c>
      <c r="B381" s="132" t="s">
        <v>1997</v>
      </c>
      <c r="C381" s="132" t="s">
        <v>1998</v>
      </c>
      <c r="D381" s="126">
        <v>43905</v>
      </c>
      <c r="E381" s="102" t="s">
        <v>2347</v>
      </c>
      <c r="F381" s="102">
        <v>3</v>
      </c>
      <c r="G381" s="102">
        <v>2</v>
      </c>
      <c r="H381" s="102">
        <v>1</v>
      </c>
      <c r="I381" s="102"/>
      <c r="J381" s="102"/>
      <c r="K381" s="102"/>
      <c r="L381" s="102">
        <v>3</v>
      </c>
      <c r="M381" s="102">
        <v>0</v>
      </c>
      <c r="N381" s="102">
        <v>0</v>
      </c>
      <c r="O381" s="102">
        <v>0</v>
      </c>
      <c r="P381" s="102">
        <v>0</v>
      </c>
      <c r="Q381" s="102">
        <v>0</v>
      </c>
      <c r="R381" s="133"/>
      <c r="S381" s="133"/>
      <c r="T381" s="133"/>
      <c r="U381" s="133"/>
      <c r="V381" s="133"/>
      <c r="W381" s="133"/>
      <c r="X381" s="133"/>
      <c r="Y381" s="133"/>
      <c r="Z381" s="134"/>
      <c r="AA381" s="134"/>
      <c r="AB381" s="134"/>
    </row>
    <row r="382" spans="1:28" ht="15.75" customHeight="1" x14ac:dyDescent="0.55000000000000004">
      <c r="A382" s="135">
        <v>176</v>
      </c>
      <c r="B382" s="136" t="s">
        <v>1942</v>
      </c>
      <c r="C382" s="135" t="s">
        <v>859</v>
      </c>
      <c r="D382" s="137">
        <v>44271</v>
      </c>
      <c r="E382" s="102" t="s">
        <v>2149</v>
      </c>
      <c r="F382" s="102">
        <v>0</v>
      </c>
      <c r="G382" s="102">
        <v>1</v>
      </c>
      <c r="H382" s="102">
        <v>1</v>
      </c>
      <c r="I382" s="102">
        <v>0</v>
      </c>
      <c r="J382" s="102">
        <v>0</v>
      </c>
      <c r="K382" s="102">
        <v>0</v>
      </c>
      <c r="L382" s="102">
        <v>1</v>
      </c>
      <c r="M382" s="102">
        <v>0</v>
      </c>
      <c r="N382" s="102">
        <v>0</v>
      </c>
      <c r="O382" s="102">
        <v>0</v>
      </c>
      <c r="P382" s="102">
        <v>0</v>
      </c>
      <c r="Q382" s="102">
        <v>0</v>
      </c>
      <c r="R382" s="138"/>
      <c r="S382" s="138"/>
      <c r="T382" s="138"/>
      <c r="U382" s="138"/>
      <c r="V382" s="138"/>
      <c r="W382" s="138"/>
      <c r="X382" s="138"/>
      <c r="Y382" s="138"/>
      <c r="Z382" s="138"/>
      <c r="AA382" s="138"/>
      <c r="AB382" s="138"/>
    </row>
    <row r="383" spans="1:28" ht="15.75" customHeight="1" x14ac:dyDescent="0.55000000000000004">
      <c r="A383" s="139">
        <v>177</v>
      </c>
      <c r="B383" s="140" t="s">
        <v>2005</v>
      </c>
      <c r="C383" s="141" t="s">
        <v>2006</v>
      </c>
      <c r="D383" s="142">
        <v>44277</v>
      </c>
      <c r="E383" s="102" t="s">
        <v>2348</v>
      </c>
      <c r="F383" s="102">
        <v>0</v>
      </c>
      <c r="G383" s="102">
        <v>1</v>
      </c>
      <c r="H383" s="102">
        <v>0</v>
      </c>
      <c r="I383" s="102">
        <v>0</v>
      </c>
      <c r="J383" s="102">
        <v>0</v>
      </c>
      <c r="K383" s="102"/>
      <c r="L383" s="102"/>
      <c r="M383" s="102"/>
      <c r="N383" s="102"/>
      <c r="O383" s="102"/>
      <c r="P383" s="102"/>
      <c r="Q383" s="102">
        <v>1</v>
      </c>
      <c r="R383" s="138"/>
      <c r="S383" s="138"/>
      <c r="T383" s="138"/>
      <c r="U383" s="138"/>
      <c r="V383" s="138"/>
      <c r="W383" s="138"/>
      <c r="X383" s="138"/>
      <c r="Y383" s="138"/>
      <c r="Z383" s="138"/>
      <c r="AA383" s="138"/>
      <c r="AB383" s="138"/>
    </row>
    <row r="384" spans="1:28" ht="15.75" customHeight="1" x14ac:dyDescent="0.55000000000000004">
      <c r="A384" s="139">
        <v>177</v>
      </c>
      <c r="B384" s="140" t="s">
        <v>2005</v>
      </c>
      <c r="C384" s="141" t="s">
        <v>2006</v>
      </c>
      <c r="D384" s="142">
        <v>44277</v>
      </c>
      <c r="E384" s="102" t="s">
        <v>2349</v>
      </c>
      <c r="F384" s="102">
        <v>3</v>
      </c>
      <c r="G384" s="102">
        <v>0</v>
      </c>
      <c r="H384" s="102">
        <v>1</v>
      </c>
      <c r="I384" s="102">
        <v>1</v>
      </c>
      <c r="J384" s="102">
        <v>0</v>
      </c>
      <c r="K384" s="102">
        <v>0</v>
      </c>
      <c r="L384" s="102">
        <v>1</v>
      </c>
      <c r="M384" s="102">
        <v>0</v>
      </c>
      <c r="N384" s="102">
        <v>0</v>
      </c>
      <c r="O384" s="102">
        <v>0</v>
      </c>
      <c r="P384" s="102">
        <v>0</v>
      </c>
      <c r="Q384" s="102">
        <v>0</v>
      </c>
      <c r="R384" s="138"/>
      <c r="S384" s="138"/>
      <c r="T384" s="138"/>
      <c r="U384" s="138"/>
      <c r="V384" s="138"/>
      <c r="W384" s="138"/>
      <c r="X384" s="138"/>
      <c r="Y384" s="138"/>
      <c r="Z384" s="138"/>
      <c r="AA384" s="138"/>
      <c r="AB384" s="138"/>
    </row>
    <row r="385" spans="1:28" ht="15.75" customHeight="1" x14ac:dyDescent="0.55000000000000004">
      <c r="A385" s="143">
        <v>178</v>
      </c>
      <c r="B385" s="144" t="s">
        <v>2013</v>
      </c>
      <c r="C385" s="145" t="s">
        <v>2014</v>
      </c>
      <c r="D385" s="146">
        <v>44286</v>
      </c>
      <c r="E385" s="102" t="s">
        <v>2350</v>
      </c>
      <c r="F385" s="102">
        <v>0</v>
      </c>
      <c r="G385" s="102"/>
      <c r="H385" s="102">
        <v>1</v>
      </c>
      <c r="I385" s="102">
        <v>0</v>
      </c>
      <c r="J385" s="102">
        <v>0</v>
      </c>
      <c r="K385" s="102"/>
      <c r="L385" s="102"/>
      <c r="M385" s="102"/>
      <c r="N385" s="102"/>
      <c r="O385" s="102"/>
      <c r="P385" s="102"/>
      <c r="Q385" s="102">
        <v>1</v>
      </c>
      <c r="R385" s="138"/>
      <c r="S385" s="138"/>
      <c r="T385" s="138"/>
      <c r="U385" s="138"/>
      <c r="V385" s="138"/>
      <c r="W385" s="138"/>
      <c r="X385" s="138"/>
      <c r="Y385" s="138"/>
      <c r="Z385" s="138"/>
      <c r="AA385" s="138"/>
      <c r="AB385" s="138"/>
    </row>
    <row r="386" spans="1:28" ht="15.75" customHeight="1" x14ac:dyDescent="0.55000000000000004">
      <c r="A386" s="147">
        <v>179</v>
      </c>
      <c r="B386" s="148" t="s">
        <v>2017</v>
      </c>
      <c r="C386" s="147" t="s">
        <v>2018</v>
      </c>
      <c r="D386" s="149">
        <v>44301</v>
      </c>
      <c r="E386" s="102" t="s">
        <v>2351</v>
      </c>
      <c r="F386" s="102">
        <v>3</v>
      </c>
      <c r="G386" s="102">
        <v>0</v>
      </c>
      <c r="H386" s="102">
        <v>1</v>
      </c>
      <c r="I386" s="102">
        <v>0</v>
      </c>
      <c r="J386" s="102">
        <v>0</v>
      </c>
      <c r="K386" s="102">
        <v>1</v>
      </c>
      <c r="L386" s="102">
        <v>3</v>
      </c>
      <c r="M386" s="102">
        <v>0</v>
      </c>
      <c r="N386" s="102">
        <v>0</v>
      </c>
      <c r="O386" s="102">
        <v>0</v>
      </c>
      <c r="P386" s="102">
        <v>0</v>
      </c>
      <c r="Q386" s="102">
        <v>0</v>
      </c>
      <c r="R386" s="138"/>
      <c r="S386" s="138"/>
      <c r="T386" s="138"/>
      <c r="U386" s="138"/>
      <c r="V386" s="138"/>
      <c r="W386" s="138"/>
      <c r="X386" s="138"/>
      <c r="Y386" s="138"/>
      <c r="Z386" s="138"/>
      <c r="AA386" s="138"/>
      <c r="AB386" s="138"/>
    </row>
    <row r="387" spans="1:28" ht="15.75" customHeight="1" x14ac:dyDescent="0.55000000000000004">
      <c r="A387" s="147">
        <v>179</v>
      </c>
      <c r="B387" s="148" t="s">
        <v>2017</v>
      </c>
      <c r="C387" s="147" t="s">
        <v>2018</v>
      </c>
      <c r="D387" s="149">
        <v>44301</v>
      </c>
      <c r="E387" s="102" t="s">
        <v>2352</v>
      </c>
      <c r="F387" s="102">
        <v>3</v>
      </c>
      <c r="G387" s="102">
        <v>0</v>
      </c>
      <c r="H387" s="102">
        <v>1</v>
      </c>
      <c r="I387" s="102">
        <v>0</v>
      </c>
      <c r="J387" s="102">
        <v>0</v>
      </c>
      <c r="K387" s="102">
        <v>1</v>
      </c>
      <c r="L387" s="102">
        <v>3</v>
      </c>
      <c r="M387" s="102">
        <v>0</v>
      </c>
      <c r="N387" s="102">
        <v>0</v>
      </c>
      <c r="O387" s="102">
        <v>0</v>
      </c>
      <c r="P387" s="102">
        <v>0</v>
      </c>
      <c r="Q387" s="102">
        <v>0</v>
      </c>
      <c r="R387" s="138"/>
      <c r="S387" s="138"/>
      <c r="T387" s="138"/>
      <c r="U387" s="138"/>
      <c r="V387" s="138"/>
      <c r="W387" s="138"/>
      <c r="X387" s="138"/>
      <c r="Y387" s="138"/>
      <c r="Z387" s="138"/>
      <c r="AA387" s="138"/>
      <c r="AB387" s="138"/>
    </row>
    <row r="388" spans="1:28" ht="15.75" customHeight="1" x14ac:dyDescent="0.55000000000000004">
      <c r="A388" s="150">
        <v>180</v>
      </c>
      <c r="B388" s="150" t="s">
        <v>2024</v>
      </c>
      <c r="C388" s="150" t="s">
        <v>2025</v>
      </c>
      <c r="D388" s="151">
        <v>44342</v>
      </c>
      <c r="E388" s="102" t="s">
        <v>2353</v>
      </c>
      <c r="F388" s="102">
        <v>0</v>
      </c>
      <c r="G388" s="102">
        <v>1</v>
      </c>
      <c r="H388" s="102">
        <v>1</v>
      </c>
      <c r="I388" s="102">
        <v>0</v>
      </c>
      <c r="J388" s="102">
        <v>1</v>
      </c>
      <c r="K388" s="102"/>
      <c r="L388" s="102">
        <v>1</v>
      </c>
      <c r="M388" s="102">
        <v>0</v>
      </c>
      <c r="N388" s="102">
        <v>0</v>
      </c>
      <c r="O388" s="102">
        <v>0</v>
      </c>
      <c r="P388" s="102">
        <v>0</v>
      </c>
      <c r="Q388" s="102">
        <v>0</v>
      </c>
      <c r="R388" s="138"/>
      <c r="S388" s="138"/>
      <c r="T388" s="138"/>
      <c r="U388" s="138"/>
      <c r="V388" s="138"/>
      <c r="W388" s="138"/>
      <c r="X388" s="138"/>
      <c r="Y388" s="138"/>
      <c r="Z388" s="138"/>
      <c r="AA388" s="138"/>
      <c r="AB388" s="138"/>
    </row>
    <row r="389" spans="1:28" ht="15.75" customHeight="1" x14ac:dyDescent="0.55000000000000004">
      <c r="A389" s="150">
        <v>180</v>
      </c>
      <c r="B389" s="150" t="s">
        <v>2024</v>
      </c>
      <c r="C389" s="150" t="s">
        <v>2025</v>
      </c>
      <c r="D389" s="151">
        <v>44342</v>
      </c>
      <c r="E389" s="102" t="s">
        <v>2353</v>
      </c>
      <c r="F389" s="102">
        <v>0</v>
      </c>
      <c r="G389" s="102">
        <v>1</v>
      </c>
      <c r="H389" s="102">
        <v>1</v>
      </c>
      <c r="I389" s="102">
        <v>0</v>
      </c>
      <c r="J389" s="102">
        <v>1</v>
      </c>
      <c r="K389" s="102"/>
      <c r="L389" s="102">
        <v>1</v>
      </c>
      <c r="M389" s="102">
        <v>0</v>
      </c>
      <c r="N389" s="102">
        <v>0</v>
      </c>
      <c r="O389" s="102">
        <v>0</v>
      </c>
      <c r="P389" s="102">
        <v>0</v>
      </c>
      <c r="Q389" s="102">
        <v>0</v>
      </c>
      <c r="R389" s="138"/>
      <c r="S389" s="138"/>
      <c r="T389" s="138"/>
      <c r="U389" s="138"/>
      <c r="V389" s="138"/>
      <c r="W389" s="138"/>
      <c r="X389" s="138"/>
      <c r="Y389" s="138"/>
      <c r="Z389" s="138"/>
      <c r="AA389" s="138"/>
      <c r="AB389" s="138"/>
    </row>
    <row r="390" spans="1:28" ht="15.75" customHeight="1" x14ac:dyDescent="0.55000000000000004">
      <c r="A390" s="150">
        <v>180</v>
      </c>
      <c r="B390" s="150" t="s">
        <v>2024</v>
      </c>
      <c r="C390" s="150" t="s">
        <v>2025</v>
      </c>
      <c r="D390" s="151">
        <v>44342</v>
      </c>
      <c r="E390" s="102" t="s">
        <v>2353</v>
      </c>
      <c r="F390" s="102">
        <v>0</v>
      </c>
      <c r="G390" s="102">
        <v>1</v>
      </c>
      <c r="H390" s="102">
        <v>1</v>
      </c>
      <c r="I390" s="102">
        <v>0</v>
      </c>
      <c r="J390" s="102">
        <v>1</v>
      </c>
      <c r="K390" s="102"/>
      <c r="L390" s="102">
        <v>1</v>
      </c>
      <c r="M390" s="102">
        <v>0</v>
      </c>
      <c r="N390" s="102">
        <v>0</v>
      </c>
      <c r="O390" s="102">
        <v>0</v>
      </c>
      <c r="P390" s="102">
        <v>0</v>
      </c>
      <c r="Q390" s="102">
        <v>0</v>
      </c>
      <c r="R390" s="138"/>
      <c r="S390" s="138"/>
      <c r="T390" s="138"/>
      <c r="U390" s="138"/>
      <c r="V390" s="138"/>
      <c r="W390" s="138"/>
      <c r="X390" s="138"/>
      <c r="Y390" s="138"/>
      <c r="Z390" s="138"/>
      <c r="AA390" s="138"/>
      <c r="AB390" s="138"/>
    </row>
    <row r="391" spans="1:28" ht="15.75" customHeight="1" x14ac:dyDescent="0.55000000000000004">
      <c r="A391" s="145">
        <v>181</v>
      </c>
      <c r="B391" s="152" t="s">
        <v>2031</v>
      </c>
      <c r="C391" s="145" t="s">
        <v>2032</v>
      </c>
      <c r="D391" s="119">
        <v>44530</v>
      </c>
      <c r="E391" s="102" t="s">
        <v>2354</v>
      </c>
      <c r="F391" s="102">
        <v>0</v>
      </c>
      <c r="G391" s="102">
        <v>1</v>
      </c>
      <c r="H391" s="102">
        <v>1</v>
      </c>
      <c r="I391" s="102">
        <v>0</v>
      </c>
      <c r="J391" s="102">
        <v>0</v>
      </c>
      <c r="K391" s="102">
        <v>0</v>
      </c>
      <c r="L391" s="102">
        <v>0</v>
      </c>
      <c r="M391" s="102">
        <v>0</v>
      </c>
      <c r="N391" s="102">
        <v>0</v>
      </c>
      <c r="O391" s="102">
        <v>1</v>
      </c>
      <c r="P391" s="102">
        <v>0</v>
      </c>
      <c r="Q391" s="102">
        <v>0</v>
      </c>
      <c r="R391" s="120"/>
      <c r="S391" s="120"/>
      <c r="T391" s="120"/>
      <c r="U391" s="120"/>
      <c r="V391" s="120"/>
      <c r="W391" s="120"/>
      <c r="X391" s="120"/>
      <c r="Y391" s="120"/>
      <c r="Z391" s="120"/>
      <c r="AA391" s="120"/>
      <c r="AB391" s="120"/>
    </row>
    <row r="392" spans="1:28" ht="15.75" customHeight="1" x14ac:dyDescent="0.55000000000000004">
      <c r="A392" s="241">
        <v>182</v>
      </c>
      <c r="B392" s="241" t="s">
        <v>2039</v>
      </c>
      <c r="C392" s="241" t="s">
        <v>2040</v>
      </c>
      <c r="D392" s="242">
        <v>44666</v>
      </c>
      <c r="E392" s="153" t="s">
        <v>2355</v>
      </c>
      <c r="F392" s="153">
        <v>3</v>
      </c>
      <c r="G392" s="104">
        <v>0</v>
      </c>
      <c r="H392" s="153">
        <v>1</v>
      </c>
      <c r="I392" s="153">
        <v>1</v>
      </c>
      <c r="J392" s="153">
        <v>1</v>
      </c>
      <c r="K392" s="153">
        <v>1</v>
      </c>
      <c r="L392" s="153">
        <v>1</v>
      </c>
      <c r="M392" s="153">
        <v>0</v>
      </c>
      <c r="N392" s="153">
        <v>0</v>
      </c>
      <c r="O392" s="153">
        <v>0</v>
      </c>
      <c r="P392" s="153">
        <v>0</v>
      </c>
      <c r="Q392" s="153">
        <v>0</v>
      </c>
      <c r="R392" s="120"/>
      <c r="S392" s="120"/>
      <c r="T392" s="120"/>
      <c r="U392" s="120"/>
      <c r="V392" s="120"/>
      <c r="W392" s="120"/>
      <c r="X392" s="120"/>
      <c r="Y392" s="120"/>
      <c r="Z392" s="120"/>
      <c r="AA392" s="120"/>
      <c r="AB392" s="120"/>
    </row>
    <row r="393" spans="1:28" ht="15.75" customHeight="1" x14ac:dyDescent="0.55000000000000004">
      <c r="A393" s="120"/>
      <c r="B393" s="120"/>
      <c r="C393" s="120"/>
      <c r="D393" s="154"/>
      <c r="E393" s="120"/>
      <c r="F393" s="120"/>
      <c r="G393" s="102"/>
      <c r="H393" s="120"/>
      <c r="I393" s="120"/>
      <c r="J393" s="120"/>
      <c r="K393" s="120"/>
      <c r="L393" s="120"/>
      <c r="M393" s="120"/>
      <c r="N393" s="120"/>
      <c r="O393" s="120"/>
      <c r="P393" s="120"/>
      <c r="Q393" s="120"/>
      <c r="R393" s="120"/>
      <c r="S393" s="120"/>
      <c r="T393" s="120"/>
      <c r="U393" s="120"/>
      <c r="V393" s="120"/>
      <c r="W393" s="120"/>
      <c r="X393" s="120"/>
      <c r="Y393" s="120"/>
      <c r="Z393" s="120"/>
      <c r="AA393" s="120"/>
      <c r="AB393" s="120"/>
    </row>
    <row r="394" spans="1:28" ht="15.75" customHeight="1" x14ac:dyDescent="0.55000000000000004">
      <c r="A394" s="120"/>
      <c r="B394" s="120"/>
      <c r="C394" s="120"/>
      <c r="D394" s="154"/>
      <c r="E394" s="120"/>
      <c r="F394" s="120"/>
      <c r="G394" s="102"/>
      <c r="H394" s="120"/>
      <c r="I394" s="120"/>
      <c r="J394" s="120"/>
      <c r="K394" s="120"/>
      <c r="L394" s="120"/>
      <c r="M394" s="120"/>
      <c r="N394" s="120"/>
      <c r="O394" s="120"/>
      <c r="P394" s="120"/>
      <c r="Q394" s="120"/>
      <c r="R394" s="120"/>
      <c r="S394" s="120"/>
      <c r="T394" s="120"/>
      <c r="U394" s="120"/>
      <c r="V394" s="120"/>
      <c r="W394" s="120"/>
      <c r="X394" s="120"/>
      <c r="Y394" s="120"/>
      <c r="Z394" s="120"/>
      <c r="AA394" s="120"/>
      <c r="AB394" s="120"/>
    </row>
    <row r="395" spans="1:28" ht="15.75" customHeight="1" x14ac:dyDescent="0.55000000000000004">
      <c r="A395" s="120"/>
      <c r="B395" s="120"/>
      <c r="C395" s="120"/>
      <c r="D395" s="154"/>
      <c r="E395" s="120"/>
      <c r="F395" s="120"/>
      <c r="G395" s="102"/>
      <c r="H395" s="120"/>
      <c r="I395" s="120"/>
      <c r="J395" s="120"/>
      <c r="K395" s="120"/>
      <c r="L395" s="120"/>
      <c r="M395" s="120"/>
      <c r="N395" s="120"/>
      <c r="O395" s="120"/>
      <c r="P395" s="120"/>
      <c r="Q395" s="120"/>
      <c r="R395" s="120"/>
      <c r="S395" s="120"/>
      <c r="T395" s="120"/>
      <c r="U395" s="120"/>
      <c r="V395" s="120"/>
      <c r="W395" s="120"/>
      <c r="X395" s="120"/>
      <c r="Y395" s="120"/>
      <c r="Z395" s="120"/>
      <c r="AA395" s="120"/>
      <c r="AB395" s="120"/>
    </row>
    <row r="396" spans="1:28" ht="15.75" customHeight="1" x14ac:dyDescent="0.55000000000000004">
      <c r="A396" s="120"/>
      <c r="B396" s="120"/>
      <c r="C396" s="120"/>
      <c r="D396" s="154"/>
      <c r="E396" s="120"/>
      <c r="F396" s="120"/>
      <c r="G396" s="102"/>
      <c r="H396" s="120"/>
      <c r="I396" s="120"/>
      <c r="J396" s="120"/>
      <c r="K396" s="120"/>
      <c r="L396" s="120"/>
      <c r="M396" s="120"/>
      <c r="N396" s="120"/>
      <c r="O396" s="120"/>
      <c r="P396" s="120"/>
      <c r="Q396" s="120"/>
      <c r="R396" s="120"/>
      <c r="S396" s="120"/>
      <c r="T396" s="120"/>
      <c r="U396" s="120"/>
      <c r="V396" s="120"/>
      <c r="W396" s="120"/>
      <c r="X396" s="120"/>
      <c r="Y396" s="120"/>
      <c r="Z396" s="120"/>
      <c r="AA396" s="120"/>
      <c r="AB396" s="120"/>
    </row>
    <row r="397" spans="1:28" ht="15.75" customHeight="1" x14ac:dyDescent="0.55000000000000004">
      <c r="A397" s="120"/>
      <c r="B397" s="120"/>
      <c r="C397" s="120"/>
      <c r="D397" s="154"/>
      <c r="E397" s="120"/>
      <c r="F397" s="120"/>
      <c r="G397" s="102"/>
      <c r="H397" s="120"/>
      <c r="I397" s="120"/>
      <c r="J397" s="120"/>
      <c r="K397" s="120"/>
      <c r="L397" s="120"/>
      <c r="M397" s="120"/>
      <c r="N397" s="120"/>
      <c r="O397" s="120"/>
      <c r="P397" s="120"/>
      <c r="Q397" s="120"/>
      <c r="R397" s="120"/>
      <c r="S397" s="120"/>
      <c r="T397" s="120"/>
      <c r="U397" s="120"/>
      <c r="V397" s="120"/>
      <c r="W397" s="120"/>
      <c r="X397" s="120"/>
      <c r="Y397" s="120"/>
      <c r="Z397" s="120"/>
      <c r="AA397" s="120"/>
      <c r="AB397" s="120"/>
    </row>
    <row r="398" spans="1:28" ht="15.75" customHeight="1" x14ac:dyDescent="0.55000000000000004">
      <c r="A398" s="120"/>
      <c r="B398" s="120"/>
      <c r="C398" s="120"/>
      <c r="D398" s="154"/>
      <c r="E398" s="120"/>
      <c r="F398" s="120"/>
      <c r="G398" s="102"/>
      <c r="H398" s="120"/>
      <c r="I398" s="120"/>
      <c r="J398" s="120"/>
      <c r="K398" s="120"/>
      <c r="L398" s="120"/>
      <c r="M398" s="120"/>
      <c r="N398" s="120"/>
      <c r="O398" s="120"/>
      <c r="P398" s="120"/>
      <c r="Q398" s="120"/>
      <c r="R398" s="120"/>
      <c r="S398" s="120"/>
      <c r="T398" s="120"/>
      <c r="U398" s="120"/>
      <c r="V398" s="120"/>
      <c r="W398" s="120"/>
      <c r="X398" s="120"/>
      <c r="Y398" s="120"/>
      <c r="Z398" s="120"/>
      <c r="AA398" s="120"/>
      <c r="AB398" s="120"/>
    </row>
    <row r="399" spans="1:28" ht="15.75" customHeight="1" x14ac:dyDescent="0.55000000000000004">
      <c r="A399" s="120"/>
      <c r="B399" s="120"/>
      <c r="C399" s="120"/>
      <c r="D399" s="154"/>
      <c r="E399" s="120"/>
      <c r="F399" s="120"/>
      <c r="G399" s="102"/>
      <c r="H399" s="120"/>
      <c r="I399" s="120"/>
      <c r="J399" s="120"/>
      <c r="K399" s="120"/>
      <c r="L399" s="120"/>
      <c r="M399" s="120"/>
      <c r="N399" s="120"/>
      <c r="O399" s="120"/>
      <c r="P399" s="120"/>
      <c r="Q399" s="120"/>
      <c r="R399" s="120"/>
      <c r="S399" s="120"/>
      <c r="T399" s="120"/>
      <c r="U399" s="120"/>
      <c r="V399" s="120"/>
      <c r="W399" s="120"/>
      <c r="X399" s="120"/>
      <c r="Y399" s="120"/>
      <c r="Z399" s="120"/>
      <c r="AA399" s="120"/>
      <c r="AB399" s="120"/>
    </row>
    <row r="400" spans="1:28" ht="15.75" customHeight="1" x14ac:dyDescent="0.55000000000000004">
      <c r="A400" s="120"/>
      <c r="B400" s="120"/>
      <c r="C400" s="120"/>
      <c r="D400" s="154"/>
      <c r="E400" s="120"/>
      <c r="F400" s="120"/>
      <c r="G400" s="102"/>
      <c r="H400" s="120"/>
      <c r="I400" s="120"/>
      <c r="J400" s="120"/>
      <c r="K400" s="120"/>
      <c r="L400" s="120"/>
      <c r="M400" s="120"/>
      <c r="N400" s="120"/>
      <c r="O400" s="120"/>
      <c r="P400" s="120"/>
      <c r="Q400" s="120"/>
      <c r="R400" s="120"/>
      <c r="S400" s="120"/>
      <c r="T400" s="120"/>
      <c r="U400" s="120"/>
      <c r="V400" s="120"/>
      <c r="W400" s="120"/>
      <c r="X400" s="120"/>
      <c r="Y400" s="120"/>
      <c r="Z400" s="120"/>
      <c r="AA400" s="120"/>
      <c r="AB400" s="120"/>
    </row>
    <row r="401" spans="1:28" ht="15.75" customHeight="1" x14ac:dyDescent="0.55000000000000004">
      <c r="A401" s="120"/>
      <c r="B401" s="120"/>
      <c r="C401" s="120"/>
      <c r="D401" s="154"/>
      <c r="E401" s="120"/>
      <c r="F401" s="120"/>
      <c r="G401" s="102"/>
      <c r="H401" s="120"/>
      <c r="I401" s="120"/>
      <c r="J401" s="120"/>
      <c r="K401" s="120"/>
      <c r="L401" s="120"/>
      <c r="M401" s="120"/>
      <c r="N401" s="120"/>
      <c r="O401" s="120"/>
      <c r="P401" s="120"/>
      <c r="Q401" s="120"/>
      <c r="R401" s="120"/>
      <c r="S401" s="120"/>
      <c r="T401" s="120"/>
      <c r="U401" s="120"/>
      <c r="V401" s="120"/>
      <c r="W401" s="120"/>
      <c r="X401" s="120"/>
      <c r="Y401" s="120"/>
      <c r="Z401" s="120"/>
      <c r="AA401" s="120"/>
      <c r="AB401" s="120"/>
    </row>
    <row r="402" spans="1:28" ht="15.75" customHeight="1" x14ac:dyDescent="0.55000000000000004">
      <c r="A402" s="120"/>
      <c r="B402" s="120"/>
      <c r="C402" s="120"/>
      <c r="D402" s="154"/>
      <c r="E402" s="120"/>
      <c r="F402" s="120"/>
      <c r="G402" s="102"/>
      <c r="H402" s="120"/>
      <c r="I402" s="120"/>
      <c r="J402" s="120"/>
      <c r="K402" s="120"/>
      <c r="L402" s="120"/>
      <c r="M402" s="120"/>
      <c r="N402" s="120"/>
      <c r="O402" s="120"/>
      <c r="P402" s="120"/>
      <c r="Q402" s="120"/>
      <c r="R402" s="120"/>
      <c r="S402" s="120"/>
      <c r="T402" s="120"/>
      <c r="U402" s="120"/>
      <c r="V402" s="120"/>
      <c r="W402" s="120"/>
      <c r="X402" s="120"/>
      <c r="Y402" s="120"/>
      <c r="Z402" s="120"/>
      <c r="AA402" s="120"/>
      <c r="AB402" s="120"/>
    </row>
    <row r="403" spans="1:28" ht="15.75" customHeight="1" x14ac:dyDescent="0.55000000000000004">
      <c r="A403" s="120"/>
      <c r="B403" s="120"/>
      <c r="C403" s="120"/>
      <c r="D403" s="154"/>
      <c r="E403" s="120"/>
      <c r="F403" s="120"/>
      <c r="G403" s="102"/>
      <c r="H403" s="120"/>
      <c r="I403" s="120"/>
      <c r="J403" s="120"/>
      <c r="K403" s="120"/>
      <c r="L403" s="120"/>
      <c r="M403" s="120"/>
      <c r="N403" s="120"/>
      <c r="O403" s="120"/>
      <c r="P403" s="120"/>
      <c r="Q403" s="120"/>
      <c r="R403" s="120"/>
      <c r="S403" s="120"/>
      <c r="T403" s="120"/>
      <c r="U403" s="120"/>
      <c r="V403" s="120"/>
      <c r="W403" s="120"/>
      <c r="X403" s="120"/>
      <c r="Y403" s="120"/>
      <c r="Z403" s="120"/>
      <c r="AA403" s="120"/>
      <c r="AB403" s="120"/>
    </row>
    <row r="404" spans="1:28" ht="15.75" customHeight="1" x14ac:dyDescent="0.55000000000000004">
      <c r="A404" s="120"/>
      <c r="B404" s="120"/>
      <c r="C404" s="120"/>
      <c r="D404" s="154"/>
      <c r="E404" s="120"/>
      <c r="F404" s="120"/>
      <c r="G404" s="102"/>
      <c r="H404" s="120"/>
      <c r="I404" s="120"/>
      <c r="J404" s="120"/>
      <c r="K404" s="120"/>
      <c r="L404" s="120"/>
      <c r="M404" s="120"/>
      <c r="N404" s="120"/>
      <c r="O404" s="120"/>
      <c r="P404" s="120"/>
      <c r="Q404" s="120"/>
      <c r="R404" s="120"/>
      <c r="S404" s="120"/>
      <c r="T404" s="120"/>
      <c r="U404" s="120"/>
      <c r="V404" s="120"/>
      <c r="W404" s="120"/>
      <c r="X404" s="120"/>
      <c r="Y404" s="120"/>
      <c r="Z404" s="120"/>
      <c r="AA404" s="120"/>
      <c r="AB404" s="120"/>
    </row>
    <row r="405" spans="1:28" ht="15.75" customHeight="1" x14ac:dyDescent="0.55000000000000004">
      <c r="A405" s="120"/>
      <c r="B405" s="120"/>
      <c r="C405" s="120"/>
      <c r="D405" s="154"/>
      <c r="E405" s="120"/>
      <c r="F405" s="120"/>
      <c r="G405" s="102"/>
      <c r="H405" s="120"/>
      <c r="I405" s="120"/>
      <c r="J405" s="120"/>
      <c r="K405" s="120"/>
      <c r="L405" s="120"/>
      <c r="M405" s="120"/>
      <c r="N405" s="120"/>
      <c r="O405" s="120"/>
      <c r="P405" s="120"/>
      <c r="Q405" s="120"/>
      <c r="R405" s="120"/>
      <c r="S405" s="120"/>
      <c r="T405" s="120"/>
      <c r="U405" s="120"/>
      <c r="V405" s="120"/>
      <c r="W405" s="120"/>
      <c r="X405" s="120"/>
      <c r="Y405" s="120"/>
      <c r="Z405" s="120"/>
      <c r="AA405" s="120"/>
      <c r="AB405" s="120"/>
    </row>
    <row r="406" spans="1:28" ht="15.75" customHeight="1" x14ac:dyDescent="0.55000000000000004">
      <c r="A406" s="120"/>
      <c r="B406" s="120"/>
      <c r="C406" s="120"/>
      <c r="D406" s="154"/>
      <c r="E406" s="120"/>
      <c r="F406" s="120"/>
      <c r="G406" s="102"/>
      <c r="H406" s="120"/>
      <c r="I406" s="120"/>
      <c r="J406" s="120"/>
      <c r="K406" s="120"/>
      <c r="L406" s="120"/>
      <c r="M406" s="120"/>
      <c r="N406" s="120"/>
      <c r="O406" s="120"/>
      <c r="P406" s="120"/>
      <c r="Q406" s="120"/>
      <c r="R406" s="120"/>
      <c r="S406" s="120"/>
      <c r="T406" s="120"/>
      <c r="U406" s="120"/>
      <c r="V406" s="120"/>
      <c r="W406" s="120"/>
      <c r="X406" s="120"/>
      <c r="Y406" s="120"/>
      <c r="Z406" s="120"/>
      <c r="AA406" s="120"/>
      <c r="AB406" s="120"/>
    </row>
    <row r="407" spans="1:28" ht="15.75" customHeight="1" x14ac:dyDescent="0.55000000000000004">
      <c r="A407" s="120"/>
      <c r="B407" s="120"/>
      <c r="C407" s="120"/>
      <c r="D407" s="154"/>
      <c r="E407" s="120"/>
      <c r="F407" s="120"/>
      <c r="G407" s="102"/>
      <c r="H407" s="120"/>
      <c r="I407" s="120"/>
      <c r="J407" s="120"/>
      <c r="K407" s="120"/>
      <c r="L407" s="120"/>
      <c r="M407" s="120"/>
      <c r="N407" s="120"/>
      <c r="O407" s="120"/>
      <c r="P407" s="120"/>
      <c r="Q407" s="120"/>
      <c r="R407" s="120"/>
      <c r="S407" s="120"/>
      <c r="T407" s="120"/>
      <c r="U407" s="120"/>
      <c r="V407" s="120"/>
      <c r="W407" s="120"/>
      <c r="X407" s="120"/>
      <c r="Y407" s="120"/>
      <c r="Z407" s="120"/>
      <c r="AA407" s="120"/>
      <c r="AB407" s="120"/>
    </row>
    <row r="408" spans="1:28" ht="15.75" customHeight="1" x14ac:dyDescent="0.55000000000000004">
      <c r="A408" s="120"/>
      <c r="B408" s="120"/>
      <c r="C408" s="120"/>
      <c r="D408" s="154"/>
      <c r="E408" s="120"/>
      <c r="F408" s="120"/>
      <c r="G408" s="102"/>
      <c r="H408" s="120"/>
      <c r="I408" s="120"/>
      <c r="J408" s="120"/>
      <c r="K408" s="120"/>
      <c r="L408" s="120"/>
      <c r="M408" s="120"/>
      <c r="N408" s="120"/>
      <c r="O408" s="120"/>
      <c r="P408" s="120"/>
      <c r="Q408" s="120"/>
      <c r="R408" s="120"/>
      <c r="S408" s="120"/>
      <c r="T408" s="120"/>
      <c r="U408" s="120"/>
      <c r="V408" s="120"/>
      <c r="W408" s="120"/>
      <c r="X408" s="120"/>
      <c r="Y408" s="120"/>
      <c r="Z408" s="120"/>
      <c r="AA408" s="120"/>
      <c r="AB408" s="120"/>
    </row>
    <row r="409" spans="1:28" ht="15.75" customHeight="1" x14ac:dyDescent="0.55000000000000004">
      <c r="A409" s="120"/>
      <c r="B409" s="120"/>
      <c r="C409" s="120"/>
      <c r="D409" s="154"/>
      <c r="E409" s="120"/>
      <c r="F409" s="120"/>
      <c r="G409" s="102"/>
      <c r="H409" s="120"/>
      <c r="I409" s="120"/>
      <c r="J409" s="120"/>
      <c r="K409" s="120"/>
      <c r="L409" s="120"/>
      <c r="M409" s="120"/>
      <c r="N409" s="120"/>
      <c r="O409" s="120"/>
      <c r="P409" s="120"/>
      <c r="Q409" s="120"/>
      <c r="R409" s="120"/>
      <c r="S409" s="120"/>
      <c r="T409" s="120"/>
      <c r="U409" s="120"/>
      <c r="V409" s="120"/>
      <c r="W409" s="120"/>
      <c r="X409" s="120"/>
      <c r="Y409" s="120"/>
      <c r="Z409" s="120"/>
      <c r="AA409" s="120"/>
      <c r="AB409" s="120"/>
    </row>
    <row r="410" spans="1:28" ht="15.75" customHeight="1" x14ac:dyDescent="0.55000000000000004">
      <c r="A410" s="120"/>
      <c r="B410" s="120"/>
      <c r="C410" s="120"/>
      <c r="D410" s="154"/>
      <c r="E410" s="120"/>
      <c r="F410" s="120"/>
      <c r="G410" s="102"/>
      <c r="H410" s="120"/>
      <c r="I410" s="120"/>
      <c r="J410" s="120"/>
      <c r="K410" s="120"/>
      <c r="L410" s="120"/>
      <c r="M410" s="120"/>
      <c r="N410" s="120"/>
      <c r="O410" s="120"/>
      <c r="P410" s="120"/>
      <c r="Q410" s="120"/>
      <c r="R410" s="120"/>
      <c r="S410" s="120"/>
      <c r="T410" s="120"/>
      <c r="U410" s="120"/>
      <c r="V410" s="120"/>
      <c r="W410" s="120"/>
      <c r="X410" s="120"/>
      <c r="Y410" s="120"/>
      <c r="Z410" s="120"/>
      <c r="AA410" s="120"/>
      <c r="AB410" s="120"/>
    </row>
    <row r="411" spans="1:28" ht="15.75" customHeight="1" x14ac:dyDescent="0.55000000000000004">
      <c r="A411" s="120"/>
      <c r="B411" s="120"/>
      <c r="C411" s="120"/>
      <c r="D411" s="154"/>
      <c r="E411" s="120"/>
      <c r="F411" s="120"/>
      <c r="G411" s="102"/>
      <c r="H411" s="120"/>
      <c r="I411" s="120"/>
      <c r="J411" s="120"/>
      <c r="K411" s="120"/>
      <c r="L411" s="120"/>
      <c r="M411" s="120"/>
      <c r="N411" s="120"/>
      <c r="O411" s="120"/>
      <c r="P411" s="120"/>
      <c r="Q411" s="120"/>
      <c r="R411" s="120"/>
      <c r="S411" s="120"/>
      <c r="T411" s="120"/>
      <c r="U411" s="120"/>
      <c r="V411" s="120"/>
      <c r="W411" s="120"/>
      <c r="X411" s="120"/>
      <c r="Y411" s="120"/>
      <c r="Z411" s="120"/>
      <c r="AA411" s="120"/>
      <c r="AB411" s="120"/>
    </row>
    <row r="412" spans="1:28" ht="15.75" customHeight="1" x14ac:dyDescent="0.55000000000000004">
      <c r="A412" s="120"/>
      <c r="B412" s="120"/>
      <c r="C412" s="120"/>
      <c r="D412" s="154"/>
      <c r="E412" s="120"/>
      <c r="F412" s="120"/>
      <c r="G412" s="102"/>
      <c r="H412" s="120"/>
      <c r="I412" s="120"/>
      <c r="J412" s="120"/>
      <c r="K412" s="120"/>
      <c r="L412" s="120"/>
      <c r="M412" s="120"/>
      <c r="N412" s="120"/>
      <c r="O412" s="120"/>
      <c r="P412" s="120"/>
      <c r="Q412" s="120"/>
      <c r="R412" s="120"/>
      <c r="S412" s="120"/>
      <c r="T412" s="120"/>
      <c r="U412" s="120"/>
      <c r="V412" s="120"/>
      <c r="W412" s="120"/>
      <c r="X412" s="120"/>
      <c r="Y412" s="120"/>
      <c r="Z412" s="120"/>
      <c r="AA412" s="120"/>
      <c r="AB412" s="120"/>
    </row>
    <row r="413" spans="1:28" ht="15.75" customHeight="1" x14ac:dyDescent="0.55000000000000004">
      <c r="A413" s="120"/>
      <c r="B413" s="120"/>
      <c r="C413" s="120"/>
      <c r="D413" s="154"/>
      <c r="E413" s="120"/>
      <c r="F413" s="120"/>
      <c r="G413" s="102"/>
      <c r="H413" s="120"/>
      <c r="I413" s="120"/>
      <c r="J413" s="120"/>
      <c r="K413" s="120"/>
      <c r="L413" s="120"/>
      <c r="M413" s="120"/>
      <c r="N413" s="120"/>
      <c r="O413" s="120"/>
      <c r="P413" s="120"/>
      <c r="Q413" s="120"/>
      <c r="R413" s="120"/>
      <c r="S413" s="120"/>
      <c r="T413" s="120"/>
      <c r="U413" s="120"/>
      <c r="V413" s="120"/>
      <c r="W413" s="120"/>
      <c r="X413" s="120"/>
      <c r="Y413" s="120"/>
      <c r="Z413" s="120"/>
      <c r="AA413" s="120"/>
      <c r="AB413" s="120"/>
    </row>
    <row r="414" spans="1:28" ht="15.75" customHeight="1" x14ac:dyDescent="0.55000000000000004">
      <c r="A414" s="120"/>
      <c r="B414" s="120"/>
      <c r="C414" s="120"/>
      <c r="D414" s="154"/>
      <c r="E414" s="120"/>
      <c r="F414" s="120"/>
      <c r="G414" s="102"/>
      <c r="H414" s="120"/>
      <c r="I414" s="120"/>
      <c r="J414" s="120"/>
      <c r="K414" s="120"/>
      <c r="L414" s="120"/>
      <c r="M414" s="120"/>
      <c r="N414" s="120"/>
      <c r="O414" s="120"/>
      <c r="P414" s="120"/>
      <c r="Q414" s="120"/>
      <c r="R414" s="120"/>
      <c r="S414" s="120"/>
      <c r="T414" s="120"/>
      <c r="U414" s="120"/>
      <c r="V414" s="120"/>
      <c r="W414" s="120"/>
      <c r="X414" s="120"/>
      <c r="Y414" s="120"/>
      <c r="Z414" s="120"/>
      <c r="AA414" s="120"/>
      <c r="AB414" s="120"/>
    </row>
    <row r="415" spans="1:28" ht="15.75" customHeight="1" x14ac:dyDescent="0.55000000000000004">
      <c r="A415" s="120"/>
      <c r="B415" s="120"/>
      <c r="C415" s="120"/>
      <c r="D415" s="154"/>
      <c r="E415" s="120"/>
      <c r="F415" s="120"/>
      <c r="G415" s="102"/>
      <c r="H415" s="120"/>
      <c r="I415" s="120"/>
      <c r="J415" s="120"/>
      <c r="K415" s="120"/>
      <c r="L415" s="120"/>
      <c r="M415" s="120"/>
      <c r="N415" s="120"/>
      <c r="O415" s="120"/>
      <c r="P415" s="120"/>
      <c r="Q415" s="120"/>
      <c r="R415" s="120"/>
      <c r="S415" s="120"/>
      <c r="T415" s="120"/>
      <c r="U415" s="120"/>
      <c r="V415" s="120"/>
      <c r="W415" s="120"/>
      <c r="X415" s="120"/>
      <c r="Y415" s="120"/>
      <c r="Z415" s="120"/>
      <c r="AA415" s="120"/>
      <c r="AB415" s="120"/>
    </row>
    <row r="416" spans="1:28" ht="15.75" customHeight="1" x14ac:dyDescent="0.55000000000000004">
      <c r="A416" s="120"/>
      <c r="B416" s="120"/>
      <c r="C416" s="120"/>
      <c r="D416" s="154"/>
      <c r="E416" s="120"/>
      <c r="F416" s="120"/>
      <c r="G416" s="102"/>
      <c r="H416" s="120"/>
      <c r="I416" s="120"/>
      <c r="J416" s="120"/>
      <c r="K416" s="120"/>
      <c r="L416" s="120"/>
      <c r="M416" s="120"/>
      <c r="N416" s="120"/>
      <c r="O416" s="120"/>
      <c r="P416" s="120"/>
      <c r="Q416" s="120"/>
      <c r="R416" s="120"/>
      <c r="S416" s="120"/>
      <c r="T416" s="120"/>
      <c r="U416" s="120"/>
      <c r="V416" s="120"/>
      <c r="W416" s="120"/>
      <c r="X416" s="120"/>
      <c r="Y416" s="120"/>
      <c r="Z416" s="120"/>
      <c r="AA416" s="120"/>
      <c r="AB416" s="120"/>
    </row>
    <row r="417" spans="1:28" ht="15.75" customHeight="1" x14ac:dyDescent="0.55000000000000004">
      <c r="A417" s="120"/>
      <c r="B417" s="120"/>
      <c r="C417" s="120"/>
      <c r="D417" s="154"/>
      <c r="E417" s="120"/>
      <c r="F417" s="120"/>
      <c r="G417" s="102"/>
      <c r="H417" s="120"/>
      <c r="I417" s="120"/>
      <c r="J417" s="120"/>
      <c r="K417" s="120"/>
      <c r="L417" s="120"/>
      <c r="M417" s="120"/>
      <c r="N417" s="120"/>
      <c r="O417" s="120"/>
      <c r="P417" s="120"/>
      <c r="Q417" s="120"/>
      <c r="R417" s="120"/>
      <c r="S417" s="120"/>
      <c r="T417" s="120"/>
      <c r="U417" s="120"/>
      <c r="V417" s="120"/>
      <c r="W417" s="120"/>
      <c r="X417" s="120"/>
      <c r="Y417" s="120"/>
      <c r="Z417" s="120"/>
      <c r="AA417" s="120"/>
      <c r="AB417" s="120"/>
    </row>
    <row r="418" spans="1:28" ht="15.75" customHeight="1" x14ac:dyDescent="0.55000000000000004">
      <c r="A418" s="120"/>
      <c r="B418" s="120"/>
      <c r="C418" s="120"/>
      <c r="D418" s="154"/>
      <c r="E418" s="120"/>
      <c r="F418" s="120"/>
      <c r="G418" s="102"/>
      <c r="H418" s="120"/>
      <c r="I418" s="120"/>
      <c r="J418" s="120"/>
      <c r="K418" s="120"/>
      <c r="L418" s="120"/>
      <c r="M418" s="120"/>
      <c r="N418" s="120"/>
      <c r="O418" s="120"/>
      <c r="P418" s="120"/>
      <c r="Q418" s="120"/>
      <c r="R418" s="120"/>
      <c r="S418" s="120"/>
      <c r="T418" s="120"/>
      <c r="U418" s="120"/>
      <c r="V418" s="120"/>
      <c r="W418" s="120"/>
      <c r="X418" s="120"/>
      <c r="Y418" s="120"/>
      <c r="Z418" s="120"/>
      <c r="AA418" s="120"/>
      <c r="AB418" s="120"/>
    </row>
    <row r="419" spans="1:28" ht="15.75" customHeight="1" x14ac:dyDescent="0.55000000000000004">
      <c r="A419" s="120"/>
      <c r="B419" s="120"/>
      <c r="C419" s="120"/>
      <c r="D419" s="154"/>
      <c r="E419" s="120"/>
      <c r="F419" s="120"/>
      <c r="G419" s="102"/>
      <c r="H419" s="120"/>
      <c r="I419" s="120"/>
      <c r="J419" s="120"/>
      <c r="K419" s="120"/>
      <c r="L419" s="120"/>
      <c r="M419" s="120"/>
      <c r="N419" s="120"/>
      <c r="O419" s="120"/>
      <c r="P419" s="120"/>
      <c r="Q419" s="120"/>
      <c r="R419" s="120"/>
      <c r="S419" s="120"/>
      <c r="T419" s="120"/>
      <c r="U419" s="120"/>
      <c r="V419" s="120"/>
      <c r="W419" s="120"/>
      <c r="X419" s="120"/>
      <c r="Y419" s="120"/>
      <c r="Z419" s="120"/>
      <c r="AA419" s="120"/>
      <c r="AB419" s="120"/>
    </row>
    <row r="420" spans="1:28" ht="15.75" customHeight="1" x14ac:dyDescent="0.55000000000000004">
      <c r="A420" s="120"/>
      <c r="B420" s="120"/>
      <c r="C420" s="120"/>
      <c r="D420" s="154"/>
      <c r="E420" s="120"/>
      <c r="F420" s="120"/>
      <c r="G420" s="102"/>
      <c r="H420" s="120"/>
      <c r="I420" s="120"/>
      <c r="J420" s="120"/>
      <c r="K420" s="120"/>
      <c r="L420" s="120"/>
      <c r="M420" s="120"/>
      <c r="N420" s="120"/>
      <c r="O420" s="120"/>
      <c r="P420" s="120"/>
      <c r="Q420" s="120"/>
      <c r="R420" s="120"/>
      <c r="S420" s="120"/>
      <c r="T420" s="120"/>
      <c r="U420" s="120"/>
      <c r="V420" s="120"/>
      <c r="W420" s="120"/>
      <c r="X420" s="120"/>
      <c r="Y420" s="120"/>
      <c r="Z420" s="120"/>
      <c r="AA420" s="120"/>
      <c r="AB420" s="120"/>
    </row>
    <row r="421" spans="1:28" ht="15.75" customHeight="1" x14ac:dyDescent="0.55000000000000004">
      <c r="A421" s="120"/>
      <c r="B421" s="120"/>
      <c r="C421" s="120"/>
      <c r="D421" s="154"/>
      <c r="E421" s="120"/>
      <c r="F421" s="120"/>
      <c r="G421" s="102"/>
      <c r="H421" s="120"/>
      <c r="I421" s="120"/>
      <c r="J421" s="120"/>
      <c r="K421" s="120"/>
      <c r="L421" s="120"/>
      <c r="M421" s="120"/>
      <c r="N421" s="120"/>
      <c r="O421" s="120"/>
      <c r="P421" s="120"/>
      <c r="Q421" s="120"/>
      <c r="R421" s="120"/>
      <c r="S421" s="120"/>
      <c r="T421" s="120"/>
      <c r="U421" s="120"/>
      <c r="V421" s="120"/>
      <c r="W421" s="120"/>
      <c r="X421" s="120"/>
      <c r="Y421" s="120"/>
      <c r="Z421" s="120"/>
      <c r="AA421" s="120"/>
      <c r="AB421" s="120"/>
    </row>
    <row r="422" spans="1:28" ht="15.75" customHeight="1" x14ac:dyDescent="0.55000000000000004">
      <c r="A422" s="120"/>
      <c r="B422" s="120"/>
      <c r="C422" s="120"/>
      <c r="D422" s="154"/>
      <c r="E422" s="120"/>
      <c r="F422" s="120"/>
      <c r="G422" s="102"/>
      <c r="H422" s="120"/>
      <c r="I422" s="120"/>
      <c r="J422" s="120"/>
      <c r="K422" s="120"/>
      <c r="L422" s="120"/>
      <c r="M422" s="120"/>
      <c r="N422" s="120"/>
      <c r="O422" s="120"/>
      <c r="P422" s="120"/>
      <c r="Q422" s="120"/>
      <c r="R422" s="120"/>
      <c r="S422" s="120"/>
      <c r="T422" s="120"/>
      <c r="U422" s="120"/>
      <c r="V422" s="120"/>
      <c r="W422" s="120"/>
      <c r="X422" s="120"/>
      <c r="Y422" s="120"/>
      <c r="Z422" s="120"/>
      <c r="AA422" s="120"/>
      <c r="AB422" s="120"/>
    </row>
    <row r="423" spans="1:28" ht="15.75" customHeight="1" x14ac:dyDescent="0.55000000000000004">
      <c r="A423" s="120"/>
      <c r="B423" s="120"/>
      <c r="C423" s="120"/>
      <c r="D423" s="154"/>
      <c r="E423" s="120"/>
      <c r="F423" s="120"/>
      <c r="G423" s="102"/>
      <c r="H423" s="120"/>
      <c r="I423" s="120"/>
      <c r="J423" s="120"/>
      <c r="K423" s="120"/>
      <c r="L423" s="120"/>
      <c r="M423" s="120"/>
      <c r="N423" s="120"/>
      <c r="O423" s="120"/>
      <c r="P423" s="120"/>
      <c r="Q423" s="120"/>
      <c r="R423" s="120"/>
      <c r="S423" s="120"/>
      <c r="T423" s="120"/>
      <c r="U423" s="120"/>
      <c r="V423" s="120"/>
      <c r="W423" s="120"/>
      <c r="X423" s="120"/>
      <c r="Y423" s="120"/>
      <c r="Z423" s="120"/>
      <c r="AA423" s="120"/>
      <c r="AB423" s="120"/>
    </row>
    <row r="424" spans="1:28" ht="15.75" customHeight="1" x14ac:dyDescent="0.55000000000000004">
      <c r="A424" s="120"/>
      <c r="B424" s="120"/>
      <c r="C424" s="120"/>
      <c r="D424" s="154"/>
      <c r="E424" s="120"/>
      <c r="F424" s="120"/>
      <c r="G424" s="102"/>
      <c r="H424" s="120"/>
      <c r="I424" s="120"/>
      <c r="J424" s="120"/>
      <c r="K424" s="120"/>
      <c r="L424" s="120"/>
      <c r="M424" s="120"/>
      <c r="N424" s="120"/>
      <c r="O424" s="120"/>
      <c r="P424" s="120"/>
      <c r="Q424" s="120"/>
      <c r="R424" s="120"/>
      <c r="S424" s="120"/>
      <c r="T424" s="120"/>
      <c r="U424" s="120"/>
      <c r="V424" s="120"/>
      <c r="W424" s="120"/>
      <c r="X424" s="120"/>
      <c r="Y424" s="120"/>
      <c r="Z424" s="120"/>
      <c r="AA424" s="120"/>
      <c r="AB424" s="120"/>
    </row>
    <row r="425" spans="1:28" ht="15.75" customHeight="1" x14ac:dyDescent="0.55000000000000004">
      <c r="A425" s="120"/>
      <c r="B425" s="120"/>
      <c r="C425" s="120"/>
      <c r="D425" s="154"/>
      <c r="E425" s="120"/>
      <c r="F425" s="120"/>
      <c r="G425" s="102"/>
      <c r="H425" s="120"/>
      <c r="I425" s="120"/>
      <c r="J425" s="120"/>
      <c r="K425" s="120"/>
      <c r="L425" s="120"/>
      <c r="M425" s="120"/>
      <c r="N425" s="120"/>
      <c r="O425" s="120"/>
      <c r="P425" s="120"/>
      <c r="Q425" s="120"/>
      <c r="R425" s="120"/>
      <c r="S425" s="120"/>
      <c r="T425" s="120"/>
      <c r="U425" s="120"/>
      <c r="V425" s="120"/>
      <c r="W425" s="120"/>
      <c r="X425" s="120"/>
      <c r="Y425" s="120"/>
      <c r="Z425" s="120"/>
      <c r="AA425" s="120"/>
      <c r="AB425" s="120"/>
    </row>
    <row r="426" spans="1:28" ht="15.75" customHeight="1" x14ac:dyDescent="0.55000000000000004">
      <c r="A426" s="120"/>
      <c r="B426" s="120"/>
      <c r="C426" s="120"/>
      <c r="D426" s="154"/>
      <c r="E426" s="120"/>
      <c r="F426" s="120"/>
      <c r="G426" s="102"/>
      <c r="H426" s="120"/>
      <c r="I426" s="120"/>
      <c r="J426" s="120"/>
      <c r="K426" s="120"/>
      <c r="L426" s="120"/>
      <c r="M426" s="120"/>
      <c r="N426" s="120"/>
      <c r="O426" s="120"/>
      <c r="P426" s="120"/>
      <c r="Q426" s="120"/>
      <c r="R426" s="120"/>
      <c r="S426" s="120"/>
      <c r="T426" s="120"/>
      <c r="U426" s="120"/>
      <c r="V426" s="120"/>
      <c r="W426" s="120"/>
      <c r="X426" s="120"/>
      <c r="Y426" s="120"/>
      <c r="Z426" s="120"/>
      <c r="AA426" s="120"/>
      <c r="AB426" s="120"/>
    </row>
    <row r="427" spans="1:28" ht="15.75" customHeight="1" x14ac:dyDescent="0.55000000000000004">
      <c r="A427" s="120"/>
      <c r="B427" s="120"/>
      <c r="C427" s="120"/>
      <c r="D427" s="154"/>
      <c r="E427" s="120"/>
      <c r="F427" s="120"/>
      <c r="G427" s="102"/>
      <c r="H427" s="120"/>
      <c r="I427" s="120"/>
      <c r="J427" s="120"/>
      <c r="K427" s="120"/>
      <c r="L427" s="120"/>
      <c r="M427" s="120"/>
      <c r="N427" s="120"/>
      <c r="O427" s="120"/>
      <c r="P427" s="120"/>
      <c r="Q427" s="120"/>
      <c r="R427" s="120"/>
      <c r="S427" s="120"/>
      <c r="T427" s="120"/>
      <c r="U427" s="120"/>
      <c r="V427" s="120"/>
      <c r="W427" s="120"/>
      <c r="X427" s="120"/>
      <c r="Y427" s="120"/>
      <c r="Z427" s="120"/>
      <c r="AA427" s="120"/>
      <c r="AB427" s="120"/>
    </row>
    <row r="428" spans="1:28" ht="15.75" customHeight="1" x14ac:dyDescent="0.55000000000000004">
      <c r="A428" s="120"/>
      <c r="B428" s="120"/>
      <c r="C428" s="120"/>
      <c r="D428" s="154"/>
      <c r="E428" s="120"/>
      <c r="F428" s="120"/>
      <c r="G428" s="102"/>
      <c r="H428" s="120"/>
      <c r="I428" s="120"/>
      <c r="J428" s="120"/>
      <c r="K428" s="120"/>
      <c r="L428" s="120"/>
      <c r="M428" s="120"/>
      <c r="N428" s="120"/>
      <c r="O428" s="120"/>
      <c r="P428" s="120"/>
      <c r="Q428" s="120"/>
      <c r="R428" s="120"/>
      <c r="S428" s="120"/>
      <c r="T428" s="120"/>
      <c r="U428" s="120"/>
      <c r="V428" s="120"/>
      <c r="W428" s="120"/>
      <c r="X428" s="120"/>
      <c r="Y428" s="120"/>
      <c r="Z428" s="120"/>
      <c r="AA428" s="120"/>
      <c r="AB428" s="120"/>
    </row>
    <row r="429" spans="1:28" ht="15.75" customHeight="1" x14ac:dyDescent="0.55000000000000004">
      <c r="A429" s="120"/>
      <c r="B429" s="120"/>
      <c r="C429" s="120"/>
      <c r="D429" s="154"/>
      <c r="E429" s="120"/>
      <c r="F429" s="120"/>
      <c r="G429" s="102"/>
      <c r="H429" s="120"/>
      <c r="I429" s="120"/>
      <c r="J429" s="120"/>
      <c r="K429" s="120"/>
      <c r="L429" s="120"/>
      <c r="M429" s="120"/>
      <c r="N429" s="120"/>
      <c r="O429" s="120"/>
      <c r="P429" s="120"/>
      <c r="Q429" s="120"/>
      <c r="R429" s="120"/>
      <c r="S429" s="120"/>
      <c r="T429" s="120"/>
      <c r="U429" s="120"/>
      <c r="V429" s="120"/>
      <c r="W429" s="120"/>
      <c r="X429" s="120"/>
      <c r="Y429" s="120"/>
      <c r="Z429" s="120"/>
      <c r="AA429" s="120"/>
      <c r="AB429" s="120"/>
    </row>
    <row r="430" spans="1:28" ht="15.75" customHeight="1" x14ac:dyDescent="0.55000000000000004">
      <c r="A430" s="120"/>
      <c r="B430" s="120"/>
      <c r="C430" s="120"/>
      <c r="D430" s="154"/>
      <c r="E430" s="120"/>
      <c r="F430" s="120"/>
      <c r="G430" s="102"/>
      <c r="H430" s="120"/>
      <c r="I430" s="120"/>
      <c r="J430" s="120"/>
      <c r="K430" s="120"/>
      <c r="L430" s="120"/>
      <c r="M430" s="120"/>
      <c r="N430" s="120"/>
      <c r="O430" s="120"/>
      <c r="P430" s="120"/>
      <c r="Q430" s="120"/>
      <c r="R430" s="120"/>
      <c r="S430" s="120"/>
      <c r="T430" s="120"/>
      <c r="U430" s="120"/>
      <c r="V430" s="120"/>
      <c r="W430" s="120"/>
      <c r="X430" s="120"/>
      <c r="Y430" s="120"/>
      <c r="Z430" s="120"/>
      <c r="AA430" s="120"/>
      <c r="AB430" s="120"/>
    </row>
    <row r="431" spans="1:28" ht="15.75" customHeight="1" x14ac:dyDescent="0.55000000000000004">
      <c r="A431" s="120"/>
      <c r="B431" s="120"/>
      <c r="C431" s="120"/>
      <c r="D431" s="154"/>
      <c r="E431" s="120"/>
      <c r="F431" s="120"/>
      <c r="G431" s="102"/>
      <c r="H431" s="120"/>
      <c r="I431" s="120"/>
      <c r="J431" s="120"/>
      <c r="K431" s="120"/>
      <c r="L431" s="120"/>
      <c r="M431" s="120"/>
      <c r="N431" s="120"/>
      <c r="O431" s="120"/>
      <c r="P431" s="120"/>
      <c r="Q431" s="120"/>
      <c r="R431" s="120"/>
      <c r="S431" s="120"/>
      <c r="T431" s="120"/>
      <c r="U431" s="120"/>
      <c r="V431" s="120"/>
      <c r="W431" s="120"/>
      <c r="X431" s="120"/>
      <c r="Y431" s="120"/>
      <c r="Z431" s="120"/>
      <c r="AA431" s="120"/>
      <c r="AB431" s="120"/>
    </row>
    <row r="432" spans="1:28" ht="15.75" customHeight="1" x14ac:dyDescent="0.55000000000000004">
      <c r="A432" s="120"/>
      <c r="B432" s="120"/>
      <c r="C432" s="120"/>
      <c r="D432" s="154"/>
      <c r="E432" s="120"/>
      <c r="F432" s="120"/>
      <c r="G432" s="102"/>
      <c r="H432" s="120"/>
      <c r="I432" s="120"/>
      <c r="J432" s="120"/>
      <c r="K432" s="120"/>
      <c r="L432" s="120"/>
      <c r="M432" s="120"/>
      <c r="N432" s="120"/>
      <c r="O432" s="120"/>
      <c r="P432" s="120"/>
      <c r="Q432" s="120"/>
      <c r="R432" s="120"/>
      <c r="S432" s="120"/>
      <c r="T432" s="120"/>
      <c r="U432" s="120"/>
      <c r="V432" s="120"/>
      <c r="W432" s="120"/>
      <c r="X432" s="120"/>
      <c r="Y432" s="120"/>
      <c r="Z432" s="120"/>
      <c r="AA432" s="120"/>
      <c r="AB432" s="120"/>
    </row>
    <row r="433" spans="1:28" ht="15.75" customHeight="1" x14ac:dyDescent="0.55000000000000004">
      <c r="A433" s="120"/>
      <c r="B433" s="120"/>
      <c r="C433" s="120"/>
      <c r="D433" s="154"/>
      <c r="E433" s="120"/>
      <c r="F433" s="120"/>
      <c r="G433" s="102"/>
      <c r="H433" s="120"/>
      <c r="I433" s="120"/>
      <c r="J433" s="120"/>
      <c r="K433" s="120"/>
      <c r="L433" s="120"/>
      <c r="M433" s="120"/>
      <c r="N433" s="120"/>
      <c r="O433" s="120"/>
      <c r="P433" s="120"/>
      <c r="Q433" s="120"/>
      <c r="R433" s="120"/>
      <c r="S433" s="120"/>
      <c r="T433" s="120"/>
      <c r="U433" s="120"/>
      <c r="V433" s="120"/>
      <c r="W433" s="120"/>
      <c r="X433" s="120"/>
      <c r="Y433" s="120"/>
      <c r="Z433" s="120"/>
      <c r="AA433" s="120"/>
      <c r="AB433" s="120"/>
    </row>
    <row r="434" spans="1:28" ht="15.75" customHeight="1" x14ac:dyDescent="0.55000000000000004">
      <c r="A434" s="120"/>
      <c r="B434" s="120"/>
      <c r="C434" s="120"/>
      <c r="D434" s="154"/>
      <c r="E434" s="120"/>
      <c r="F434" s="120"/>
      <c r="G434" s="102"/>
      <c r="H434" s="120"/>
      <c r="I434" s="120"/>
      <c r="J434" s="120"/>
      <c r="K434" s="120"/>
      <c r="L434" s="120"/>
      <c r="M434" s="120"/>
      <c r="N434" s="120"/>
      <c r="O434" s="120"/>
      <c r="P434" s="120"/>
      <c r="Q434" s="120"/>
      <c r="R434" s="120"/>
      <c r="S434" s="120"/>
      <c r="T434" s="120"/>
      <c r="U434" s="120"/>
      <c r="V434" s="120"/>
      <c r="W434" s="120"/>
      <c r="X434" s="120"/>
      <c r="Y434" s="120"/>
      <c r="Z434" s="120"/>
      <c r="AA434" s="120"/>
      <c r="AB434" s="120"/>
    </row>
    <row r="435" spans="1:28" ht="15.75" customHeight="1" x14ac:dyDescent="0.55000000000000004">
      <c r="A435" s="120"/>
      <c r="B435" s="120"/>
      <c r="C435" s="120"/>
      <c r="D435" s="154"/>
      <c r="E435" s="120"/>
      <c r="F435" s="120"/>
      <c r="G435" s="102"/>
      <c r="H435" s="120"/>
      <c r="I435" s="120"/>
      <c r="J435" s="120"/>
      <c r="K435" s="120"/>
      <c r="L435" s="120"/>
      <c r="M435" s="120"/>
      <c r="N435" s="120"/>
      <c r="O435" s="120"/>
      <c r="P435" s="120"/>
      <c r="Q435" s="120"/>
      <c r="R435" s="120"/>
      <c r="S435" s="120"/>
      <c r="T435" s="120"/>
      <c r="U435" s="120"/>
      <c r="V435" s="120"/>
      <c r="W435" s="120"/>
      <c r="X435" s="120"/>
      <c r="Y435" s="120"/>
      <c r="Z435" s="120"/>
      <c r="AA435" s="120"/>
      <c r="AB435" s="120"/>
    </row>
    <row r="436" spans="1:28" ht="15.75" customHeight="1" x14ac:dyDescent="0.55000000000000004">
      <c r="A436" s="120"/>
      <c r="B436" s="120"/>
      <c r="C436" s="120"/>
      <c r="D436" s="154"/>
      <c r="E436" s="120"/>
      <c r="F436" s="120"/>
      <c r="G436" s="102"/>
      <c r="H436" s="120"/>
      <c r="I436" s="120"/>
      <c r="J436" s="120"/>
      <c r="K436" s="120"/>
      <c r="L436" s="120"/>
      <c r="M436" s="120"/>
      <c r="N436" s="120"/>
      <c r="O436" s="120"/>
      <c r="P436" s="120"/>
      <c r="Q436" s="120"/>
      <c r="R436" s="120"/>
      <c r="S436" s="120"/>
      <c r="T436" s="120"/>
      <c r="U436" s="120"/>
      <c r="V436" s="120"/>
      <c r="W436" s="120"/>
      <c r="X436" s="120"/>
      <c r="Y436" s="120"/>
      <c r="Z436" s="120"/>
      <c r="AA436" s="120"/>
      <c r="AB436" s="120"/>
    </row>
    <row r="437" spans="1:28" ht="15.75" customHeight="1" x14ac:dyDescent="0.55000000000000004">
      <c r="A437" s="120"/>
      <c r="B437" s="120"/>
      <c r="C437" s="120"/>
      <c r="D437" s="154"/>
      <c r="E437" s="120"/>
      <c r="F437" s="120"/>
      <c r="G437" s="102"/>
      <c r="H437" s="120"/>
      <c r="I437" s="120"/>
      <c r="J437" s="120"/>
      <c r="K437" s="120"/>
      <c r="L437" s="120"/>
      <c r="M437" s="120"/>
      <c r="N437" s="120"/>
      <c r="O437" s="120"/>
      <c r="P437" s="120"/>
      <c r="Q437" s="120"/>
      <c r="R437" s="120"/>
      <c r="S437" s="120"/>
      <c r="T437" s="120"/>
      <c r="U437" s="120"/>
      <c r="V437" s="120"/>
      <c r="W437" s="120"/>
      <c r="X437" s="120"/>
      <c r="Y437" s="120"/>
      <c r="Z437" s="120"/>
      <c r="AA437" s="120"/>
      <c r="AB437" s="120"/>
    </row>
    <row r="438" spans="1:28" ht="15.75" customHeight="1" x14ac:dyDescent="0.55000000000000004">
      <c r="A438" s="120"/>
      <c r="B438" s="120"/>
      <c r="C438" s="120"/>
      <c r="D438" s="154"/>
      <c r="E438" s="120"/>
      <c r="F438" s="120"/>
      <c r="G438" s="102"/>
      <c r="H438" s="120"/>
      <c r="I438" s="120"/>
      <c r="J438" s="120"/>
      <c r="K438" s="120"/>
      <c r="L438" s="120"/>
      <c r="M438" s="120"/>
      <c r="N438" s="120"/>
      <c r="O438" s="120"/>
      <c r="P438" s="120"/>
      <c r="Q438" s="120"/>
      <c r="R438" s="120"/>
      <c r="S438" s="120"/>
      <c r="T438" s="120"/>
      <c r="U438" s="120"/>
      <c r="V438" s="120"/>
      <c r="W438" s="120"/>
      <c r="X438" s="120"/>
      <c r="Y438" s="120"/>
      <c r="Z438" s="120"/>
      <c r="AA438" s="120"/>
      <c r="AB438" s="120"/>
    </row>
    <row r="439" spans="1:28" ht="15.75" customHeight="1" x14ac:dyDescent="0.55000000000000004">
      <c r="A439" s="120"/>
      <c r="B439" s="120"/>
      <c r="C439" s="120"/>
      <c r="D439" s="154"/>
      <c r="E439" s="120"/>
      <c r="F439" s="120"/>
      <c r="G439" s="102"/>
      <c r="H439" s="120"/>
      <c r="I439" s="120"/>
      <c r="J439" s="120"/>
      <c r="K439" s="120"/>
      <c r="L439" s="120"/>
      <c r="M439" s="120"/>
      <c r="N439" s="120"/>
      <c r="O439" s="120"/>
      <c r="P439" s="120"/>
      <c r="Q439" s="120"/>
      <c r="R439" s="120"/>
      <c r="S439" s="120"/>
      <c r="T439" s="120"/>
      <c r="U439" s="120"/>
      <c r="V439" s="120"/>
      <c r="W439" s="120"/>
      <c r="X439" s="120"/>
      <c r="Y439" s="120"/>
      <c r="Z439" s="120"/>
      <c r="AA439" s="120"/>
      <c r="AB439" s="120"/>
    </row>
    <row r="440" spans="1:28" ht="15.75" customHeight="1" x14ac:dyDescent="0.55000000000000004">
      <c r="A440" s="120"/>
      <c r="B440" s="120"/>
      <c r="C440" s="120"/>
      <c r="D440" s="154"/>
      <c r="E440" s="120"/>
      <c r="F440" s="120"/>
      <c r="G440" s="102"/>
      <c r="H440" s="120"/>
      <c r="I440" s="120"/>
      <c r="J440" s="120"/>
      <c r="K440" s="120"/>
      <c r="L440" s="120"/>
      <c r="M440" s="120"/>
      <c r="N440" s="120"/>
      <c r="O440" s="120"/>
      <c r="P440" s="120"/>
      <c r="Q440" s="120"/>
      <c r="R440" s="120"/>
      <c r="S440" s="120"/>
      <c r="T440" s="120"/>
      <c r="U440" s="120"/>
      <c r="V440" s="120"/>
      <c r="W440" s="120"/>
      <c r="X440" s="120"/>
      <c r="Y440" s="120"/>
      <c r="Z440" s="120"/>
      <c r="AA440" s="120"/>
      <c r="AB440" s="120"/>
    </row>
    <row r="441" spans="1:28" ht="15.75" customHeight="1" x14ac:dyDescent="0.55000000000000004">
      <c r="A441" s="120"/>
      <c r="B441" s="120"/>
      <c r="C441" s="120"/>
      <c r="D441" s="154"/>
      <c r="E441" s="120"/>
      <c r="F441" s="120"/>
      <c r="G441" s="102"/>
      <c r="H441" s="120"/>
      <c r="I441" s="120"/>
      <c r="J441" s="120"/>
      <c r="K441" s="120"/>
      <c r="L441" s="120"/>
      <c r="M441" s="120"/>
      <c r="N441" s="120"/>
      <c r="O441" s="120"/>
      <c r="P441" s="120"/>
      <c r="Q441" s="120"/>
      <c r="R441" s="120"/>
      <c r="S441" s="120"/>
      <c r="T441" s="120"/>
      <c r="U441" s="120"/>
      <c r="V441" s="120"/>
      <c r="W441" s="120"/>
      <c r="X441" s="120"/>
      <c r="Y441" s="120"/>
      <c r="Z441" s="120"/>
      <c r="AA441" s="120"/>
      <c r="AB441" s="120"/>
    </row>
    <row r="442" spans="1:28" ht="15.75" customHeight="1" x14ac:dyDescent="0.55000000000000004">
      <c r="A442" s="120"/>
      <c r="B442" s="120"/>
      <c r="C442" s="120"/>
      <c r="D442" s="154"/>
      <c r="E442" s="120"/>
      <c r="F442" s="120"/>
      <c r="G442" s="102"/>
      <c r="H442" s="120"/>
      <c r="I442" s="120"/>
      <c r="J442" s="120"/>
      <c r="K442" s="120"/>
      <c r="L442" s="120"/>
      <c r="M442" s="120"/>
      <c r="N442" s="120"/>
      <c r="O442" s="120"/>
      <c r="P442" s="120"/>
      <c r="Q442" s="120"/>
      <c r="R442" s="120"/>
      <c r="S442" s="120"/>
      <c r="T442" s="120"/>
      <c r="U442" s="120"/>
      <c r="V442" s="120"/>
      <c r="W442" s="120"/>
      <c r="X442" s="120"/>
      <c r="Y442" s="120"/>
      <c r="Z442" s="120"/>
      <c r="AA442" s="120"/>
      <c r="AB442" s="120"/>
    </row>
    <row r="443" spans="1:28" ht="15.75" customHeight="1" x14ac:dyDescent="0.55000000000000004">
      <c r="A443" s="120"/>
      <c r="B443" s="120"/>
      <c r="C443" s="120"/>
      <c r="D443" s="154"/>
      <c r="E443" s="120"/>
      <c r="F443" s="120"/>
      <c r="G443" s="102"/>
      <c r="H443" s="120"/>
      <c r="I443" s="120"/>
      <c r="J443" s="120"/>
      <c r="K443" s="120"/>
      <c r="L443" s="120"/>
      <c r="M443" s="120"/>
      <c r="N443" s="120"/>
      <c r="O443" s="120"/>
      <c r="P443" s="120"/>
      <c r="Q443" s="120"/>
      <c r="R443" s="120"/>
      <c r="S443" s="120"/>
      <c r="T443" s="120"/>
      <c r="U443" s="120"/>
      <c r="V443" s="120"/>
      <c r="W443" s="120"/>
      <c r="X443" s="120"/>
      <c r="Y443" s="120"/>
      <c r="Z443" s="120"/>
      <c r="AA443" s="120"/>
      <c r="AB443" s="120"/>
    </row>
    <row r="444" spans="1:28" ht="15.75" customHeight="1" x14ac:dyDescent="0.55000000000000004">
      <c r="A444" s="120"/>
      <c r="B444" s="120"/>
      <c r="C444" s="120"/>
      <c r="D444" s="154"/>
      <c r="E444" s="120"/>
      <c r="F444" s="120"/>
      <c r="G444" s="102"/>
      <c r="H444" s="120"/>
      <c r="I444" s="120"/>
      <c r="J444" s="120"/>
      <c r="K444" s="120"/>
      <c r="L444" s="120"/>
      <c r="M444" s="120"/>
      <c r="N444" s="120"/>
      <c r="O444" s="120"/>
      <c r="P444" s="120"/>
      <c r="Q444" s="120"/>
      <c r="R444" s="120"/>
      <c r="S444" s="120"/>
      <c r="T444" s="120"/>
      <c r="U444" s="120"/>
      <c r="V444" s="120"/>
      <c r="W444" s="120"/>
      <c r="X444" s="120"/>
      <c r="Y444" s="120"/>
      <c r="Z444" s="120"/>
      <c r="AA444" s="120"/>
      <c r="AB444" s="120"/>
    </row>
    <row r="445" spans="1:28" ht="15.75" customHeight="1" x14ac:dyDescent="0.55000000000000004">
      <c r="A445" s="120"/>
      <c r="B445" s="120"/>
      <c r="C445" s="120"/>
      <c r="D445" s="154"/>
      <c r="E445" s="120"/>
      <c r="F445" s="120"/>
      <c r="G445" s="102"/>
      <c r="H445" s="120"/>
      <c r="I445" s="120"/>
      <c r="J445" s="120"/>
      <c r="K445" s="120"/>
      <c r="L445" s="120"/>
      <c r="M445" s="120"/>
      <c r="N445" s="120"/>
      <c r="O445" s="120"/>
      <c r="P445" s="120"/>
      <c r="Q445" s="120"/>
      <c r="R445" s="120"/>
      <c r="S445" s="120"/>
      <c r="T445" s="120"/>
      <c r="U445" s="120"/>
      <c r="V445" s="120"/>
      <c r="W445" s="120"/>
      <c r="X445" s="120"/>
      <c r="Y445" s="120"/>
      <c r="Z445" s="120"/>
      <c r="AA445" s="120"/>
      <c r="AB445" s="120"/>
    </row>
    <row r="446" spans="1:28" ht="15.75" customHeight="1" x14ac:dyDescent="0.55000000000000004">
      <c r="A446" s="120"/>
      <c r="B446" s="120"/>
      <c r="C446" s="120"/>
      <c r="D446" s="154"/>
      <c r="E446" s="120"/>
      <c r="F446" s="120"/>
      <c r="G446" s="102"/>
      <c r="H446" s="120"/>
      <c r="I446" s="120"/>
      <c r="J446" s="120"/>
      <c r="K446" s="120"/>
      <c r="L446" s="120"/>
      <c r="M446" s="120"/>
      <c r="N446" s="120"/>
      <c r="O446" s="120"/>
      <c r="P446" s="120"/>
      <c r="Q446" s="120"/>
      <c r="R446" s="120"/>
      <c r="S446" s="120"/>
      <c r="T446" s="120"/>
      <c r="U446" s="120"/>
      <c r="V446" s="120"/>
      <c r="W446" s="120"/>
      <c r="X446" s="120"/>
      <c r="Y446" s="120"/>
      <c r="Z446" s="120"/>
      <c r="AA446" s="120"/>
      <c r="AB446" s="120"/>
    </row>
    <row r="447" spans="1:28" ht="15.75" customHeight="1" x14ac:dyDescent="0.55000000000000004">
      <c r="A447" s="120"/>
      <c r="B447" s="120"/>
      <c r="C447" s="120"/>
      <c r="D447" s="154"/>
      <c r="E447" s="120"/>
      <c r="F447" s="120"/>
      <c r="G447" s="102"/>
      <c r="H447" s="120"/>
      <c r="I447" s="120"/>
      <c r="J447" s="120"/>
      <c r="K447" s="120"/>
      <c r="L447" s="120"/>
      <c r="M447" s="120"/>
      <c r="N447" s="120"/>
      <c r="O447" s="120"/>
      <c r="P447" s="120"/>
      <c r="Q447" s="120"/>
      <c r="R447" s="120"/>
      <c r="S447" s="120"/>
      <c r="T447" s="120"/>
      <c r="U447" s="120"/>
      <c r="V447" s="120"/>
      <c r="W447" s="120"/>
      <c r="X447" s="120"/>
      <c r="Y447" s="120"/>
      <c r="Z447" s="120"/>
      <c r="AA447" s="120"/>
      <c r="AB447" s="120"/>
    </row>
    <row r="448" spans="1:28" ht="15.75" customHeight="1" x14ac:dyDescent="0.55000000000000004">
      <c r="A448" s="120"/>
      <c r="B448" s="120"/>
      <c r="C448" s="120"/>
      <c r="D448" s="154"/>
      <c r="E448" s="120"/>
      <c r="F448" s="120"/>
      <c r="G448" s="102"/>
      <c r="H448" s="120"/>
      <c r="I448" s="120"/>
      <c r="J448" s="120"/>
      <c r="K448" s="120"/>
      <c r="L448" s="120"/>
      <c r="M448" s="120"/>
      <c r="N448" s="120"/>
      <c r="O448" s="120"/>
      <c r="P448" s="120"/>
      <c r="Q448" s="120"/>
      <c r="R448" s="120"/>
      <c r="S448" s="120"/>
      <c r="T448" s="120"/>
      <c r="U448" s="120"/>
      <c r="V448" s="120"/>
      <c r="W448" s="120"/>
      <c r="X448" s="120"/>
      <c r="Y448" s="120"/>
      <c r="Z448" s="120"/>
      <c r="AA448" s="120"/>
      <c r="AB448" s="120"/>
    </row>
    <row r="449" spans="1:28" ht="15.75" customHeight="1" x14ac:dyDescent="0.55000000000000004">
      <c r="A449" s="120"/>
      <c r="B449" s="120"/>
      <c r="C449" s="120"/>
      <c r="D449" s="154"/>
      <c r="E449" s="120"/>
      <c r="F449" s="120"/>
      <c r="G449" s="102"/>
      <c r="H449" s="120"/>
      <c r="I449" s="120"/>
      <c r="J449" s="120"/>
      <c r="K449" s="120"/>
      <c r="L449" s="120"/>
      <c r="M449" s="120"/>
      <c r="N449" s="120"/>
      <c r="O449" s="120"/>
      <c r="P449" s="120"/>
      <c r="Q449" s="120"/>
      <c r="R449" s="120"/>
      <c r="S449" s="120"/>
      <c r="T449" s="120"/>
      <c r="U449" s="120"/>
      <c r="V449" s="120"/>
      <c r="W449" s="120"/>
      <c r="X449" s="120"/>
      <c r="Y449" s="120"/>
      <c r="Z449" s="120"/>
      <c r="AA449" s="120"/>
      <c r="AB449" s="120"/>
    </row>
    <row r="450" spans="1:28" ht="15.75" customHeight="1" x14ac:dyDescent="0.55000000000000004">
      <c r="A450" s="120"/>
      <c r="B450" s="120"/>
      <c r="C450" s="120"/>
      <c r="D450" s="154"/>
      <c r="E450" s="120"/>
      <c r="F450" s="120"/>
      <c r="G450" s="102"/>
      <c r="H450" s="120"/>
      <c r="I450" s="120"/>
      <c r="J450" s="120"/>
      <c r="K450" s="120"/>
      <c r="L450" s="120"/>
      <c r="M450" s="120"/>
      <c r="N450" s="120"/>
      <c r="O450" s="120"/>
      <c r="P450" s="120"/>
      <c r="Q450" s="120"/>
      <c r="R450" s="120"/>
      <c r="S450" s="120"/>
      <c r="T450" s="120"/>
      <c r="U450" s="120"/>
      <c r="V450" s="120"/>
      <c r="W450" s="120"/>
      <c r="X450" s="120"/>
      <c r="Y450" s="120"/>
      <c r="Z450" s="120"/>
      <c r="AA450" s="120"/>
      <c r="AB450" s="120"/>
    </row>
    <row r="451" spans="1:28" ht="15.75" customHeight="1" x14ac:dyDescent="0.55000000000000004">
      <c r="A451" s="120"/>
      <c r="B451" s="120"/>
      <c r="C451" s="120"/>
      <c r="D451" s="154"/>
      <c r="E451" s="120"/>
      <c r="F451" s="120"/>
      <c r="G451" s="102"/>
      <c r="H451" s="120"/>
      <c r="I451" s="120"/>
      <c r="J451" s="120"/>
      <c r="K451" s="120"/>
      <c r="L451" s="120"/>
      <c r="M451" s="120"/>
      <c r="N451" s="120"/>
      <c r="O451" s="120"/>
      <c r="P451" s="120"/>
      <c r="Q451" s="120"/>
      <c r="R451" s="120"/>
      <c r="S451" s="120"/>
      <c r="T451" s="120"/>
      <c r="U451" s="120"/>
      <c r="V451" s="120"/>
      <c r="W451" s="120"/>
      <c r="X451" s="120"/>
      <c r="Y451" s="120"/>
      <c r="Z451" s="120"/>
      <c r="AA451" s="120"/>
      <c r="AB451" s="120"/>
    </row>
    <row r="452" spans="1:28" ht="15.75" customHeight="1" x14ac:dyDescent="0.55000000000000004">
      <c r="A452" s="120"/>
      <c r="B452" s="120"/>
      <c r="C452" s="120"/>
      <c r="D452" s="154"/>
      <c r="E452" s="120"/>
      <c r="F452" s="120"/>
      <c r="G452" s="102"/>
      <c r="H452" s="120"/>
      <c r="I452" s="120"/>
      <c r="J452" s="120"/>
      <c r="K452" s="120"/>
      <c r="L452" s="120"/>
      <c r="M452" s="120"/>
      <c r="N452" s="120"/>
      <c r="O452" s="120"/>
      <c r="P452" s="120"/>
      <c r="Q452" s="120"/>
      <c r="R452" s="120"/>
      <c r="S452" s="120"/>
      <c r="T452" s="120"/>
      <c r="U452" s="120"/>
      <c r="V452" s="120"/>
      <c r="W452" s="120"/>
      <c r="X452" s="120"/>
      <c r="Y452" s="120"/>
      <c r="Z452" s="120"/>
      <c r="AA452" s="120"/>
      <c r="AB452" s="120"/>
    </row>
    <row r="453" spans="1:28" ht="15.75" customHeight="1" x14ac:dyDescent="0.55000000000000004">
      <c r="A453" s="120"/>
      <c r="B453" s="120"/>
      <c r="C453" s="120"/>
      <c r="D453" s="154"/>
      <c r="E453" s="120"/>
      <c r="F453" s="120"/>
      <c r="G453" s="102"/>
      <c r="H453" s="120"/>
      <c r="I453" s="120"/>
      <c r="J453" s="120"/>
      <c r="K453" s="120"/>
      <c r="L453" s="120"/>
      <c r="M453" s="120"/>
      <c r="N453" s="120"/>
      <c r="O453" s="120"/>
      <c r="P453" s="120"/>
      <c r="Q453" s="120"/>
      <c r="R453" s="120"/>
      <c r="S453" s="120"/>
      <c r="T453" s="120"/>
      <c r="U453" s="120"/>
      <c r="V453" s="120"/>
      <c r="W453" s="120"/>
      <c r="X453" s="120"/>
      <c r="Y453" s="120"/>
      <c r="Z453" s="120"/>
      <c r="AA453" s="120"/>
      <c r="AB453" s="120"/>
    </row>
    <row r="454" spans="1:28" ht="15.75" customHeight="1" x14ac:dyDescent="0.55000000000000004">
      <c r="A454" s="120"/>
      <c r="B454" s="120"/>
      <c r="C454" s="120"/>
      <c r="D454" s="154"/>
      <c r="E454" s="120"/>
      <c r="F454" s="120"/>
      <c r="G454" s="102"/>
      <c r="H454" s="120"/>
      <c r="I454" s="120"/>
      <c r="J454" s="120"/>
      <c r="K454" s="120"/>
      <c r="L454" s="120"/>
      <c r="M454" s="120"/>
      <c r="N454" s="120"/>
      <c r="O454" s="120"/>
      <c r="P454" s="120"/>
      <c r="Q454" s="120"/>
      <c r="R454" s="120"/>
      <c r="S454" s="120"/>
      <c r="T454" s="120"/>
      <c r="U454" s="120"/>
      <c r="V454" s="120"/>
      <c r="W454" s="120"/>
      <c r="X454" s="120"/>
      <c r="Y454" s="120"/>
      <c r="Z454" s="120"/>
      <c r="AA454" s="120"/>
      <c r="AB454" s="120"/>
    </row>
    <row r="455" spans="1:28" ht="15.75" customHeight="1" x14ac:dyDescent="0.55000000000000004">
      <c r="A455" s="120"/>
      <c r="B455" s="120"/>
      <c r="C455" s="120"/>
      <c r="D455" s="154"/>
      <c r="E455" s="120"/>
      <c r="F455" s="120"/>
      <c r="G455" s="102"/>
      <c r="H455" s="120"/>
      <c r="I455" s="120"/>
      <c r="J455" s="120"/>
      <c r="K455" s="120"/>
      <c r="L455" s="120"/>
      <c r="M455" s="120"/>
      <c r="N455" s="120"/>
      <c r="O455" s="120"/>
      <c r="P455" s="120"/>
      <c r="Q455" s="120"/>
      <c r="R455" s="120"/>
      <c r="S455" s="120"/>
      <c r="T455" s="120"/>
      <c r="U455" s="120"/>
      <c r="V455" s="120"/>
      <c r="W455" s="120"/>
      <c r="X455" s="120"/>
      <c r="Y455" s="120"/>
      <c r="Z455" s="120"/>
      <c r="AA455" s="120"/>
      <c r="AB455" s="120"/>
    </row>
    <row r="456" spans="1:28" ht="15.75" customHeight="1" x14ac:dyDescent="0.55000000000000004">
      <c r="A456" s="120"/>
      <c r="B456" s="120"/>
      <c r="C456" s="120"/>
      <c r="D456" s="154"/>
      <c r="E456" s="120"/>
      <c r="F456" s="120"/>
      <c r="G456" s="102"/>
      <c r="H456" s="120"/>
      <c r="I456" s="120"/>
      <c r="J456" s="120"/>
      <c r="K456" s="120"/>
      <c r="L456" s="120"/>
      <c r="M456" s="120"/>
      <c r="N456" s="120"/>
      <c r="O456" s="120"/>
      <c r="P456" s="120"/>
      <c r="Q456" s="120"/>
      <c r="R456" s="120"/>
      <c r="S456" s="120"/>
      <c r="T456" s="120"/>
      <c r="U456" s="120"/>
      <c r="V456" s="120"/>
      <c r="W456" s="120"/>
      <c r="X456" s="120"/>
      <c r="Y456" s="120"/>
      <c r="Z456" s="120"/>
      <c r="AA456" s="120"/>
      <c r="AB456" s="120"/>
    </row>
    <row r="457" spans="1:28" ht="15.75" customHeight="1" x14ac:dyDescent="0.55000000000000004">
      <c r="A457" s="120"/>
      <c r="B457" s="120"/>
      <c r="C457" s="120"/>
      <c r="D457" s="154"/>
      <c r="E457" s="120"/>
      <c r="F457" s="120"/>
      <c r="G457" s="102"/>
      <c r="H457" s="120"/>
      <c r="I457" s="120"/>
      <c r="J457" s="120"/>
      <c r="K457" s="120"/>
      <c r="L457" s="120"/>
      <c r="M457" s="120"/>
      <c r="N457" s="120"/>
      <c r="O457" s="120"/>
      <c r="P457" s="120"/>
      <c r="Q457" s="120"/>
      <c r="R457" s="120"/>
      <c r="S457" s="120"/>
      <c r="T457" s="120"/>
      <c r="U457" s="120"/>
      <c r="V457" s="120"/>
      <c r="W457" s="120"/>
      <c r="X457" s="120"/>
      <c r="Y457" s="120"/>
      <c r="Z457" s="120"/>
      <c r="AA457" s="120"/>
      <c r="AB457" s="120"/>
    </row>
    <row r="458" spans="1:28" ht="15.75" customHeight="1" x14ac:dyDescent="0.55000000000000004">
      <c r="A458" s="120"/>
      <c r="B458" s="120"/>
      <c r="C458" s="120"/>
      <c r="D458" s="154"/>
      <c r="E458" s="120"/>
      <c r="F458" s="120"/>
      <c r="G458" s="102"/>
      <c r="H458" s="120"/>
      <c r="I458" s="120"/>
      <c r="J458" s="120"/>
      <c r="K458" s="120"/>
      <c r="L458" s="120"/>
      <c r="M458" s="120"/>
      <c r="N458" s="120"/>
      <c r="O458" s="120"/>
      <c r="P458" s="120"/>
      <c r="Q458" s="120"/>
      <c r="R458" s="120"/>
      <c r="S458" s="120"/>
      <c r="T458" s="120"/>
      <c r="U458" s="120"/>
      <c r="V458" s="120"/>
      <c r="W458" s="120"/>
      <c r="X458" s="120"/>
      <c r="Y458" s="120"/>
      <c r="Z458" s="120"/>
      <c r="AA458" s="120"/>
      <c r="AB458" s="120"/>
    </row>
    <row r="459" spans="1:28" ht="15.75" customHeight="1" x14ac:dyDescent="0.55000000000000004">
      <c r="A459" s="120"/>
      <c r="B459" s="120"/>
      <c r="C459" s="120"/>
      <c r="D459" s="154"/>
      <c r="E459" s="120"/>
      <c r="F459" s="120"/>
      <c r="G459" s="102"/>
      <c r="H459" s="120"/>
      <c r="I459" s="120"/>
      <c r="J459" s="120"/>
      <c r="K459" s="120"/>
      <c r="L459" s="120"/>
      <c r="M459" s="120"/>
      <c r="N459" s="120"/>
      <c r="O459" s="120"/>
      <c r="P459" s="120"/>
      <c r="Q459" s="120"/>
      <c r="R459" s="120"/>
      <c r="S459" s="120"/>
      <c r="T459" s="120"/>
      <c r="U459" s="120"/>
      <c r="V459" s="120"/>
      <c r="W459" s="120"/>
      <c r="X459" s="120"/>
      <c r="Y459" s="120"/>
      <c r="Z459" s="120"/>
      <c r="AA459" s="120"/>
      <c r="AB459" s="120"/>
    </row>
    <row r="460" spans="1:28" ht="15.75" customHeight="1" x14ac:dyDescent="0.55000000000000004">
      <c r="A460" s="120"/>
      <c r="B460" s="120"/>
      <c r="C460" s="120"/>
      <c r="D460" s="154"/>
      <c r="E460" s="120"/>
      <c r="F460" s="120"/>
      <c r="G460" s="102"/>
      <c r="H460" s="120"/>
      <c r="I460" s="120"/>
      <c r="J460" s="120"/>
      <c r="K460" s="120"/>
      <c r="L460" s="120"/>
      <c r="M460" s="120"/>
      <c r="N460" s="120"/>
      <c r="O460" s="120"/>
      <c r="P460" s="120"/>
      <c r="Q460" s="120"/>
      <c r="R460" s="120"/>
      <c r="S460" s="120"/>
      <c r="T460" s="120"/>
      <c r="U460" s="120"/>
      <c r="V460" s="120"/>
      <c r="W460" s="120"/>
      <c r="X460" s="120"/>
      <c r="Y460" s="120"/>
      <c r="Z460" s="120"/>
      <c r="AA460" s="120"/>
      <c r="AB460" s="120"/>
    </row>
    <row r="461" spans="1:28" ht="15.75" customHeight="1" x14ac:dyDescent="0.55000000000000004">
      <c r="A461" s="120"/>
      <c r="B461" s="120"/>
      <c r="C461" s="120"/>
      <c r="D461" s="120"/>
      <c r="E461" s="120"/>
      <c r="F461" s="120"/>
      <c r="G461" s="102"/>
      <c r="H461" s="120"/>
      <c r="I461" s="120"/>
      <c r="J461" s="120"/>
      <c r="K461" s="120"/>
      <c r="L461" s="120"/>
      <c r="M461" s="120"/>
      <c r="N461" s="120"/>
      <c r="O461" s="120"/>
      <c r="P461" s="120"/>
      <c r="Q461" s="120"/>
      <c r="R461" s="120"/>
      <c r="S461" s="120"/>
      <c r="T461" s="120"/>
      <c r="U461" s="120"/>
      <c r="V461" s="120"/>
      <c r="W461" s="120"/>
      <c r="X461" s="120"/>
      <c r="Y461" s="120"/>
      <c r="Z461" s="120"/>
      <c r="AA461" s="120"/>
      <c r="AB461" s="120"/>
    </row>
    <row r="462" spans="1:28" ht="15.75" customHeight="1" x14ac:dyDescent="0.55000000000000004">
      <c r="A462" s="120"/>
      <c r="B462" s="120"/>
      <c r="C462" s="120"/>
      <c r="D462" s="120"/>
      <c r="E462" s="120"/>
      <c r="F462" s="120"/>
      <c r="G462" s="102"/>
      <c r="H462" s="120"/>
      <c r="I462" s="120"/>
      <c r="J462" s="120"/>
      <c r="K462" s="120"/>
      <c r="L462" s="120"/>
      <c r="M462" s="120"/>
      <c r="N462" s="120"/>
      <c r="O462" s="120"/>
      <c r="P462" s="120"/>
      <c r="Q462" s="120"/>
      <c r="R462" s="120"/>
      <c r="S462" s="120"/>
      <c r="T462" s="120"/>
      <c r="U462" s="120"/>
      <c r="V462" s="120"/>
      <c r="W462" s="120"/>
      <c r="X462" s="120"/>
      <c r="Y462" s="120"/>
      <c r="Z462" s="120"/>
      <c r="AA462" s="120"/>
      <c r="AB462" s="120"/>
    </row>
    <row r="463" spans="1:28" ht="15.75" customHeight="1" x14ac:dyDescent="0.55000000000000004">
      <c r="A463" s="120"/>
      <c r="B463" s="120"/>
      <c r="C463" s="120"/>
      <c r="D463" s="120"/>
      <c r="E463" s="120"/>
      <c r="F463" s="120"/>
      <c r="G463" s="102"/>
      <c r="H463" s="120"/>
      <c r="I463" s="120"/>
      <c r="J463" s="120"/>
      <c r="K463" s="120"/>
      <c r="L463" s="120"/>
      <c r="M463" s="120"/>
      <c r="N463" s="120"/>
      <c r="O463" s="120"/>
      <c r="P463" s="120"/>
      <c r="Q463" s="120"/>
      <c r="R463" s="120"/>
      <c r="S463" s="120"/>
      <c r="T463" s="120"/>
      <c r="U463" s="120"/>
      <c r="V463" s="120"/>
      <c r="W463" s="120"/>
      <c r="X463" s="120"/>
      <c r="Y463" s="120"/>
      <c r="Z463" s="120"/>
      <c r="AA463" s="120"/>
      <c r="AB463" s="120"/>
    </row>
    <row r="464" spans="1:28" ht="15.75" customHeight="1" x14ac:dyDescent="0.55000000000000004">
      <c r="A464" s="120"/>
      <c r="B464" s="120"/>
      <c r="C464" s="120"/>
      <c r="D464" s="120"/>
      <c r="E464" s="120"/>
      <c r="F464" s="120"/>
      <c r="G464" s="102"/>
      <c r="H464" s="120"/>
      <c r="I464" s="120"/>
      <c r="J464" s="120"/>
      <c r="K464" s="120"/>
      <c r="L464" s="120"/>
      <c r="M464" s="120"/>
      <c r="N464" s="120"/>
      <c r="O464" s="120"/>
      <c r="P464" s="120"/>
      <c r="Q464" s="120"/>
      <c r="R464" s="120"/>
      <c r="S464" s="120"/>
      <c r="T464" s="120"/>
      <c r="U464" s="120"/>
      <c r="V464" s="120"/>
      <c r="W464" s="120"/>
      <c r="X464" s="120"/>
      <c r="Y464" s="120"/>
      <c r="Z464" s="120"/>
      <c r="AA464" s="120"/>
      <c r="AB464" s="120"/>
    </row>
    <row r="465" spans="1:28" ht="15.75" customHeight="1" x14ac:dyDescent="0.55000000000000004">
      <c r="A465" s="120"/>
      <c r="B465" s="120"/>
      <c r="C465" s="120"/>
      <c r="D465" s="120"/>
      <c r="E465" s="120"/>
      <c r="F465" s="120"/>
      <c r="G465" s="102"/>
      <c r="H465" s="120"/>
      <c r="I465" s="120"/>
      <c r="J465" s="120"/>
      <c r="K465" s="120"/>
      <c r="L465" s="120"/>
      <c r="M465" s="120"/>
      <c r="N465" s="120"/>
      <c r="O465" s="120"/>
      <c r="P465" s="120"/>
      <c r="Q465" s="120"/>
      <c r="R465" s="120"/>
      <c r="S465" s="120"/>
      <c r="T465" s="120"/>
      <c r="U465" s="120"/>
      <c r="V465" s="120"/>
      <c r="W465" s="120"/>
      <c r="X465" s="120"/>
      <c r="Y465" s="120"/>
      <c r="Z465" s="120"/>
      <c r="AA465" s="120"/>
      <c r="AB465" s="120"/>
    </row>
    <row r="466" spans="1:28" ht="15.75" customHeight="1" x14ac:dyDescent="0.55000000000000004">
      <c r="A466" s="120"/>
      <c r="B466" s="120"/>
      <c r="C466" s="120"/>
      <c r="D466" s="120"/>
      <c r="E466" s="120"/>
      <c r="F466" s="120"/>
      <c r="G466" s="102"/>
      <c r="H466" s="120"/>
      <c r="I466" s="120"/>
      <c r="J466" s="120"/>
      <c r="K466" s="120"/>
      <c r="L466" s="120"/>
      <c r="M466" s="120"/>
      <c r="N466" s="120"/>
      <c r="O466" s="120"/>
      <c r="P466" s="120"/>
      <c r="Q466" s="120"/>
      <c r="R466" s="120"/>
      <c r="S466" s="120"/>
      <c r="T466" s="120"/>
      <c r="U466" s="120"/>
      <c r="V466" s="120"/>
      <c r="W466" s="120"/>
      <c r="X466" s="120"/>
      <c r="Y466" s="120"/>
      <c r="Z466" s="120"/>
      <c r="AA466" s="120"/>
      <c r="AB466" s="120"/>
    </row>
    <row r="467" spans="1:28" ht="15.75" customHeight="1" x14ac:dyDescent="0.55000000000000004">
      <c r="A467" s="120"/>
      <c r="B467" s="120"/>
      <c r="C467" s="120"/>
      <c r="D467" s="120"/>
      <c r="E467" s="120"/>
      <c r="F467" s="120"/>
      <c r="G467" s="102"/>
      <c r="H467" s="120"/>
      <c r="I467" s="120"/>
      <c r="J467" s="120"/>
      <c r="K467" s="120"/>
      <c r="L467" s="120"/>
      <c r="M467" s="120"/>
      <c r="N467" s="120"/>
      <c r="O467" s="120"/>
      <c r="P467" s="120"/>
      <c r="Q467" s="120"/>
      <c r="R467" s="120"/>
      <c r="S467" s="120"/>
      <c r="T467" s="120"/>
      <c r="U467" s="120"/>
      <c r="V467" s="120"/>
      <c r="W467" s="120"/>
      <c r="X467" s="120"/>
      <c r="Y467" s="120"/>
      <c r="Z467" s="120"/>
      <c r="AA467" s="120"/>
      <c r="AB467" s="120"/>
    </row>
    <row r="468" spans="1:28" ht="15.75" customHeight="1" x14ac:dyDescent="0.55000000000000004">
      <c r="A468" s="120"/>
      <c r="B468" s="120"/>
      <c r="C468" s="120"/>
      <c r="D468" s="120"/>
      <c r="E468" s="120"/>
      <c r="F468" s="120"/>
      <c r="G468" s="102"/>
      <c r="H468" s="120"/>
      <c r="I468" s="120"/>
      <c r="J468" s="120"/>
      <c r="K468" s="120"/>
      <c r="L468" s="120"/>
      <c r="M468" s="120"/>
      <c r="N468" s="120"/>
      <c r="O468" s="120"/>
      <c r="P468" s="120"/>
      <c r="Q468" s="120"/>
      <c r="R468" s="120"/>
      <c r="S468" s="120"/>
      <c r="T468" s="120"/>
      <c r="U468" s="120"/>
      <c r="V468" s="120"/>
      <c r="W468" s="120"/>
      <c r="X468" s="120"/>
      <c r="Y468" s="120"/>
      <c r="Z468" s="120"/>
      <c r="AA468" s="120"/>
      <c r="AB468" s="120"/>
    </row>
    <row r="469" spans="1:28" ht="15.75" customHeight="1" x14ac:dyDescent="0.55000000000000004">
      <c r="A469" s="120"/>
      <c r="B469" s="120"/>
      <c r="C469" s="120"/>
      <c r="D469" s="120"/>
      <c r="E469" s="120"/>
      <c r="F469" s="120"/>
      <c r="G469" s="102"/>
      <c r="H469" s="120"/>
      <c r="I469" s="120"/>
      <c r="J469" s="120"/>
      <c r="K469" s="120"/>
      <c r="L469" s="120"/>
      <c r="M469" s="120"/>
      <c r="N469" s="120"/>
      <c r="O469" s="120"/>
      <c r="P469" s="120"/>
      <c r="Q469" s="120"/>
      <c r="R469" s="120"/>
      <c r="S469" s="120"/>
      <c r="T469" s="120"/>
      <c r="U469" s="120"/>
      <c r="V469" s="120"/>
      <c r="W469" s="120"/>
      <c r="X469" s="120"/>
      <c r="Y469" s="120"/>
      <c r="Z469" s="120"/>
      <c r="AA469" s="120"/>
      <c r="AB469" s="120"/>
    </row>
    <row r="470" spans="1:28" ht="15.75" customHeight="1" x14ac:dyDescent="0.55000000000000004">
      <c r="A470" s="120"/>
      <c r="B470" s="120"/>
      <c r="C470" s="120"/>
      <c r="D470" s="120"/>
      <c r="E470" s="120"/>
      <c r="F470" s="120"/>
      <c r="G470" s="102"/>
      <c r="H470" s="120"/>
      <c r="I470" s="120"/>
      <c r="J470" s="120"/>
      <c r="K470" s="120"/>
      <c r="L470" s="120"/>
      <c r="M470" s="120"/>
      <c r="N470" s="120"/>
      <c r="O470" s="120"/>
      <c r="P470" s="120"/>
      <c r="Q470" s="120"/>
      <c r="R470" s="120"/>
      <c r="S470" s="120"/>
      <c r="T470" s="120"/>
      <c r="U470" s="120"/>
      <c r="V470" s="120"/>
      <c r="W470" s="120"/>
      <c r="X470" s="120"/>
      <c r="Y470" s="120"/>
      <c r="Z470" s="120"/>
      <c r="AA470" s="120"/>
      <c r="AB470" s="120"/>
    </row>
    <row r="471" spans="1:28" ht="15.75" customHeight="1" x14ac:dyDescent="0.55000000000000004">
      <c r="A471" s="120"/>
      <c r="B471" s="120"/>
      <c r="C471" s="120"/>
      <c r="D471" s="120"/>
      <c r="E471" s="120"/>
      <c r="F471" s="120"/>
      <c r="G471" s="102"/>
      <c r="H471" s="120"/>
      <c r="I471" s="120"/>
      <c r="J471" s="120"/>
      <c r="K471" s="120"/>
      <c r="L471" s="120"/>
      <c r="M471" s="120"/>
      <c r="N471" s="120"/>
      <c r="O471" s="120"/>
      <c r="P471" s="120"/>
      <c r="Q471" s="120"/>
      <c r="R471" s="120"/>
      <c r="S471" s="120"/>
      <c r="T471" s="120"/>
      <c r="U471" s="120"/>
      <c r="V471" s="120"/>
      <c r="W471" s="120"/>
      <c r="X471" s="120"/>
      <c r="Y471" s="120"/>
      <c r="Z471" s="120"/>
      <c r="AA471" s="120"/>
      <c r="AB471" s="120"/>
    </row>
    <row r="472" spans="1:28" ht="15.75" customHeight="1" x14ac:dyDescent="0.55000000000000004">
      <c r="A472" s="120"/>
      <c r="B472" s="120"/>
      <c r="C472" s="120"/>
      <c r="D472" s="120"/>
      <c r="E472" s="120"/>
      <c r="F472" s="120"/>
      <c r="G472" s="102"/>
      <c r="H472" s="120"/>
      <c r="I472" s="120"/>
      <c r="J472" s="120"/>
      <c r="K472" s="120"/>
      <c r="L472" s="120"/>
      <c r="M472" s="120"/>
      <c r="N472" s="120"/>
      <c r="O472" s="120"/>
      <c r="P472" s="120"/>
      <c r="Q472" s="120"/>
      <c r="R472" s="120"/>
      <c r="S472" s="120"/>
      <c r="T472" s="120"/>
      <c r="U472" s="120"/>
      <c r="V472" s="120"/>
      <c r="W472" s="120"/>
      <c r="X472" s="120"/>
      <c r="Y472" s="120"/>
      <c r="Z472" s="120"/>
      <c r="AA472" s="120"/>
      <c r="AB472" s="120"/>
    </row>
    <row r="473" spans="1:28" ht="15.75" customHeight="1" x14ac:dyDescent="0.55000000000000004">
      <c r="A473" s="120"/>
      <c r="B473" s="120"/>
      <c r="C473" s="120"/>
      <c r="D473" s="120"/>
      <c r="E473" s="120"/>
      <c r="F473" s="120"/>
      <c r="G473" s="102"/>
      <c r="H473" s="120"/>
      <c r="I473" s="120"/>
      <c r="J473" s="120"/>
      <c r="K473" s="120"/>
      <c r="L473" s="120"/>
      <c r="M473" s="120"/>
      <c r="N473" s="120"/>
      <c r="O473" s="120"/>
      <c r="P473" s="120"/>
      <c r="Q473" s="120"/>
      <c r="R473" s="120"/>
      <c r="S473" s="120"/>
      <c r="T473" s="120"/>
      <c r="U473" s="120"/>
      <c r="V473" s="120"/>
      <c r="W473" s="120"/>
      <c r="X473" s="120"/>
      <c r="Y473" s="120"/>
      <c r="Z473" s="120"/>
      <c r="AA473" s="120"/>
      <c r="AB473" s="120"/>
    </row>
    <row r="474" spans="1:28" ht="15.75" customHeight="1" x14ac:dyDescent="0.55000000000000004">
      <c r="A474" s="120"/>
      <c r="B474" s="120"/>
      <c r="C474" s="120"/>
      <c r="D474" s="120"/>
      <c r="E474" s="120"/>
      <c r="F474" s="120"/>
      <c r="G474" s="102"/>
      <c r="H474" s="120"/>
      <c r="I474" s="120"/>
      <c r="J474" s="120"/>
      <c r="K474" s="120"/>
      <c r="L474" s="120"/>
      <c r="M474" s="120"/>
      <c r="N474" s="120"/>
      <c r="O474" s="120"/>
      <c r="P474" s="120"/>
      <c r="Q474" s="120"/>
      <c r="R474" s="120"/>
      <c r="S474" s="120"/>
      <c r="T474" s="120"/>
      <c r="U474" s="120"/>
      <c r="V474" s="120"/>
      <c r="W474" s="120"/>
      <c r="X474" s="120"/>
      <c r="Y474" s="120"/>
      <c r="Z474" s="120"/>
      <c r="AA474" s="120"/>
      <c r="AB474" s="120"/>
    </row>
    <row r="475" spans="1:28" ht="15.75" customHeight="1" x14ac:dyDescent="0.55000000000000004">
      <c r="A475" s="120"/>
      <c r="B475" s="120"/>
      <c r="C475" s="120"/>
      <c r="D475" s="120"/>
      <c r="E475" s="120"/>
      <c r="F475" s="120"/>
      <c r="G475" s="102"/>
      <c r="H475" s="120"/>
      <c r="I475" s="120"/>
      <c r="J475" s="120"/>
      <c r="K475" s="120"/>
      <c r="L475" s="120"/>
      <c r="M475" s="120"/>
      <c r="N475" s="120"/>
      <c r="O475" s="120"/>
      <c r="P475" s="120"/>
      <c r="Q475" s="120"/>
      <c r="R475" s="120"/>
      <c r="S475" s="120"/>
      <c r="T475" s="120"/>
      <c r="U475" s="120"/>
      <c r="V475" s="120"/>
      <c r="W475" s="120"/>
      <c r="X475" s="120"/>
      <c r="Y475" s="120"/>
      <c r="Z475" s="120"/>
      <c r="AA475" s="120"/>
      <c r="AB475" s="120"/>
    </row>
    <row r="476" spans="1:28" ht="15.75" customHeight="1" x14ac:dyDescent="0.55000000000000004">
      <c r="A476" s="120"/>
      <c r="B476" s="120"/>
      <c r="C476" s="120"/>
      <c r="D476" s="120"/>
      <c r="E476" s="120"/>
      <c r="F476" s="120"/>
      <c r="G476" s="102"/>
      <c r="H476" s="120"/>
      <c r="I476" s="120"/>
      <c r="J476" s="120"/>
      <c r="K476" s="120"/>
      <c r="L476" s="120"/>
      <c r="M476" s="120"/>
      <c r="N476" s="120"/>
      <c r="O476" s="120"/>
      <c r="P476" s="120"/>
      <c r="Q476" s="120"/>
      <c r="R476" s="120"/>
      <c r="S476" s="120"/>
      <c r="T476" s="120"/>
      <c r="U476" s="120"/>
      <c r="V476" s="120"/>
      <c r="W476" s="120"/>
      <c r="X476" s="120"/>
      <c r="Y476" s="120"/>
      <c r="Z476" s="120"/>
      <c r="AA476" s="120"/>
      <c r="AB476" s="120"/>
    </row>
    <row r="477" spans="1:28" ht="15.75" customHeight="1" x14ac:dyDescent="0.55000000000000004">
      <c r="A477" s="120"/>
      <c r="B477" s="120"/>
      <c r="C477" s="120"/>
      <c r="D477" s="120"/>
      <c r="E477" s="120"/>
      <c r="F477" s="120"/>
      <c r="G477" s="102"/>
      <c r="H477" s="120"/>
      <c r="I477" s="120"/>
      <c r="J477" s="120"/>
      <c r="K477" s="120"/>
      <c r="L477" s="120"/>
      <c r="M477" s="120"/>
      <c r="N477" s="120"/>
      <c r="O477" s="120"/>
      <c r="P477" s="120"/>
      <c r="Q477" s="120"/>
      <c r="R477" s="120"/>
      <c r="S477" s="120"/>
      <c r="T477" s="120"/>
      <c r="U477" s="120"/>
      <c r="V477" s="120"/>
      <c r="W477" s="120"/>
      <c r="X477" s="120"/>
      <c r="Y477" s="120"/>
      <c r="Z477" s="120"/>
      <c r="AA477" s="120"/>
      <c r="AB477" s="120"/>
    </row>
    <row r="478" spans="1:28" ht="15.75" customHeight="1" x14ac:dyDescent="0.55000000000000004">
      <c r="A478" s="120"/>
      <c r="B478" s="120"/>
      <c r="C478" s="120"/>
      <c r="D478" s="120"/>
      <c r="E478" s="120"/>
      <c r="F478" s="120"/>
      <c r="G478" s="102"/>
      <c r="H478" s="120"/>
      <c r="I478" s="120"/>
      <c r="J478" s="120"/>
      <c r="K478" s="120"/>
      <c r="L478" s="120"/>
      <c r="M478" s="120"/>
      <c r="N478" s="120"/>
      <c r="O478" s="120"/>
      <c r="P478" s="120"/>
      <c r="Q478" s="120"/>
      <c r="R478" s="120"/>
      <c r="S478" s="120"/>
      <c r="T478" s="120"/>
      <c r="U478" s="120"/>
      <c r="V478" s="120"/>
      <c r="W478" s="120"/>
      <c r="X478" s="120"/>
      <c r="Y478" s="120"/>
      <c r="Z478" s="120"/>
      <c r="AA478" s="120"/>
      <c r="AB478" s="120"/>
    </row>
    <row r="479" spans="1:28" ht="15.75" customHeight="1" x14ac:dyDescent="0.55000000000000004">
      <c r="A479" s="120"/>
      <c r="B479" s="120"/>
      <c r="C479" s="120"/>
      <c r="D479" s="120"/>
      <c r="E479" s="120"/>
      <c r="F479" s="120"/>
      <c r="G479" s="102"/>
      <c r="H479" s="120"/>
      <c r="I479" s="120"/>
      <c r="J479" s="120"/>
      <c r="K479" s="120"/>
      <c r="L479" s="120"/>
      <c r="M479" s="120"/>
      <c r="N479" s="120"/>
      <c r="O479" s="120"/>
      <c r="P479" s="120"/>
      <c r="Q479" s="120"/>
      <c r="R479" s="120"/>
      <c r="S479" s="120"/>
      <c r="T479" s="120"/>
      <c r="U479" s="120"/>
      <c r="V479" s="120"/>
      <c r="W479" s="120"/>
      <c r="X479" s="120"/>
      <c r="Y479" s="120"/>
      <c r="Z479" s="120"/>
      <c r="AA479" s="120"/>
      <c r="AB479" s="120"/>
    </row>
    <row r="480" spans="1:28" ht="15.75" customHeight="1" x14ac:dyDescent="0.55000000000000004">
      <c r="A480" s="120"/>
      <c r="B480" s="120"/>
      <c r="C480" s="120"/>
      <c r="D480" s="120"/>
      <c r="E480" s="120"/>
      <c r="F480" s="120"/>
      <c r="G480" s="102"/>
      <c r="H480" s="120"/>
      <c r="I480" s="120"/>
      <c r="J480" s="120"/>
      <c r="K480" s="120"/>
      <c r="L480" s="120"/>
      <c r="M480" s="120"/>
      <c r="N480" s="120"/>
      <c r="O480" s="120"/>
      <c r="P480" s="120"/>
      <c r="Q480" s="120"/>
      <c r="R480" s="120"/>
      <c r="S480" s="120"/>
      <c r="T480" s="120"/>
      <c r="U480" s="120"/>
      <c r="V480" s="120"/>
      <c r="W480" s="120"/>
      <c r="X480" s="120"/>
      <c r="Y480" s="120"/>
      <c r="Z480" s="120"/>
      <c r="AA480" s="120"/>
      <c r="AB480" s="120"/>
    </row>
    <row r="481" spans="1:28" ht="15.75" customHeight="1" x14ac:dyDescent="0.55000000000000004">
      <c r="A481" s="120"/>
      <c r="B481" s="120"/>
      <c r="C481" s="120"/>
      <c r="D481" s="120"/>
      <c r="E481" s="120"/>
      <c r="F481" s="120"/>
      <c r="G481" s="102"/>
      <c r="H481" s="120"/>
      <c r="I481" s="120"/>
      <c r="J481" s="120"/>
      <c r="K481" s="120"/>
      <c r="L481" s="120"/>
      <c r="M481" s="120"/>
      <c r="N481" s="120"/>
      <c r="O481" s="120"/>
      <c r="P481" s="120"/>
      <c r="Q481" s="120"/>
      <c r="R481" s="120"/>
      <c r="S481" s="120"/>
      <c r="T481" s="120"/>
      <c r="U481" s="120"/>
      <c r="V481" s="120"/>
      <c r="W481" s="120"/>
      <c r="X481" s="120"/>
      <c r="Y481" s="120"/>
      <c r="Z481" s="120"/>
      <c r="AA481" s="120"/>
      <c r="AB481" s="120"/>
    </row>
    <row r="482" spans="1:28" ht="15.75" customHeight="1" x14ac:dyDescent="0.55000000000000004">
      <c r="A482" s="120"/>
      <c r="B482" s="120"/>
      <c r="C482" s="120"/>
      <c r="D482" s="120"/>
      <c r="E482" s="120"/>
      <c r="F482" s="120"/>
      <c r="G482" s="102"/>
      <c r="H482" s="120"/>
      <c r="I482" s="120"/>
      <c r="J482" s="120"/>
      <c r="K482" s="120"/>
      <c r="L482" s="120"/>
      <c r="M482" s="120"/>
      <c r="N482" s="120"/>
      <c r="O482" s="120"/>
      <c r="P482" s="120"/>
      <c r="Q482" s="120"/>
      <c r="R482" s="120"/>
      <c r="S482" s="120"/>
      <c r="T482" s="120"/>
      <c r="U482" s="120"/>
      <c r="V482" s="120"/>
      <c r="W482" s="120"/>
      <c r="X482" s="120"/>
      <c r="Y482" s="120"/>
      <c r="Z482" s="120"/>
      <c r="AA482" s="120"/>
      <c r="AB482" s="120"/>
    </row>
    <row r="483" spans="1:28" ht="15.75" customHeight="1" x14ac:dyDescent="0.55000000000000004">
      <c r="A483" s="120"/>
      <c r="B483" s="120"/>
      <c r="C483" s="120"/>
      <c r="D483" s="120"/>
      <c r="E483" s="120"/>
      <c r="F483" s="120"/>
      <c r="G483" s="102"/>
      <c r="H483" s="120"/>
      <c r="I483" s="120"/>
      <c r="J483" s="120"/>
      <c r="K483" s="120"/>
      <c r="L483" s="120"/>
      <c r="M483" s="120"/>
      <c r="N483" s="120"/>
      <c r="O483" s="120"/>
      <c r="P483" s="120"/>
      <c r="Q483" s="120"/>
      <c r="R483" s="120"/>
      <c r="S483" s="120"/>
      <c r="T483" s="120"/>
      <c r="U483" s="120"/>
      <c r="V483" s="120"/>
      <c r="W483" s="120"/>
      <c r="X483" s="120"/>
      <c r="Y483" s="120"/>
      <c r="Z483" s="120"/>
      <c r="AA483" s="120"/>
      <c r="AB483" s="120"/>
    </row>
    <row r="484" spans="1:28" ht="15.75" customHeight="1" x14ac:dyDescent="0.55000000000000004">
      <c r="A484" s="120"/>
      <c r="B484" s="120"/>
      <c r="C484" s="120"/>
      <c r="D484" s="120"/>
      <c r="E484" s="120"/>
      <c r="F484" s="120"/>
      <c r="G484" s="102"/>
      <c r="H484" s="120"/>
      <c r="I484" s="120"/>
      <c r="J484" s="120"/>
      <c r="K484" s="120"/>
      <c r="L484" s="120"/>
      <c r="M484" s="120"/>
      <c r="N484" s="120"/>
      <c r="O484" s="120"/>
      <c r="P484" s="120"/>
      <c r="Q484" s="120"/>
      <c r="R484" s="120"/>
      <c r="S484" s="120"/>
      <c r="T484" s="120"/>
      <c r="U484" s="120"/>
      <c r="V484" s="120"/>
      <c r="W484" s="120"/>
      <c r="X484" s="120"/>
      <c r="Y484" s="120"/>
      <c r="Z484" s="120"/>
      <c r="AA484" s="120"/>
      <c r="AB484" s="120"/>
    </row>
    <row r="485" spans="1:28" ht="15.75" customHeight="1" x14ac:dyDescent="0.55000000000000004">
      <c r="A485" s="120"/>
      <c r="B485" s="120"/>
      <c r="C485" s="120"/>
      <c r="D485" s="120"/>
      <c r="E485" s="120"/>
      <c r="F485" s="120"/>
      <c r="G485" s="102"/>
      <c r="H485" s="120"/>
      <c r="I485" s="120"/>
      <c r="J485" s="120"/>
      <c r="K485" s="120"/>
      <c r="L485" s="120"/>
      <c r="M485" s="120"/>
      <c r="N485" s="120"/>
      <c r="O485" s="120"/>
      <c r="P485" s="120"/>
      <c r="Q485" s="120"/>
      <c r="R485" s="120"/>
      <c r="S485" s="120"/>
      <c r="T485" s="120"/>
      <c r="U485" s="120"/>
      <c r="V485" s="120"/>
      <c r="W485" s="120"/>
      <c r="X485" s="120"/>
      <c r="Y485" s="120"/>
      <c r="Z485" s="120"/>
      <c r="AA485" s="120"/>
      <c r="AB485" s="120"/>
    </row>
    <row r="486" spans="1:28" ht="15.75" customHeight="1" x14ac:dyDescent="0.55000000000000004">
      <c r="A486" s="120"/>
      <c r="B486" s="120"/>
      <c r="C486" s="120"/>
      <c r="D486" s="120"/>
      <c r="E486" s="120"/>
      <c r="F486" s="120"/>
      <c r="G486" s="102"/>
      <c r="H486" s="120"/>
      <c r="I486" s="120"/>
      <c r="J486" s="120"/>
      <c r="K486" s="120"/>
      <c r="L486" s="120"/>
      <c r="M486" s="120"/>
      <c r="N486" s="120"/>
      <c r="O486" s="120"/>
      <c r="P486" s="120"/>
      <c r="Q486" s="120"/>
      <c r="R486" s="120"/>
      <c r="S486" s="120"/>
      <c r="T486" s="120"/>
      <c r="U486" s="120"/>
      <c r="V486" s="120"/>
      <c r="W486" s="120"/>
      <c r="X486" s="120"/>
      <c r="Y486" s="120"/>
      <c r="Z486" s="120"/>
      <c r="AA486" s="120"/>
      <c r="AB486" s="120"/>
    </row>
    <row r="487" spans="1:28" ht="15.75" customHeight="1" x14ac:dyDescent="0.55000000000000004">
      <c r="A487" s="120"/>
      <c r="B487" s="120"/>
      <c r="C487" s="120"/>
      <c r="D487" s="120"/>
      <c r="E487" s="120"/>
      <c r="F487" s="120"/>
      <c r="G487" s="102"/>
      <c r="H487" s="120"/>
      <c r="I487" s="120"/>
      <c r="J487" s="120"/>
      <c r="K487" s="120"/>
      <c r="L487" s="120"/>
      <c r="M487" s="120"/>
      <c r="N487" s="120"/>
      <c r="O487" s="120"/>
      <c r="P487" s="120"/>
      <c r="Q487" s="120"/>
      <c r="R487" s="120"/>
      <c r="S487" s="120"/>
      <c r="T487" s="120"/>
      <c r="U487" s="120"/>
      <c r="V487" s="120"/>
      <c r="W487" s="120"/>
      <c r="X487" s="120"/>
      <c r="Y487" s="120"/>
      <c r="Z487" s="120"/>
      <c r="AA487" s="120"/>
      <c r="AB487" s="120"/>
    </row>
    <row r="488" spans="1:28" ht="15.75" customHeight="1" x14ac:dyDescent="0.55000000000000004">
      <c r="A488" s="120"/>
      <c r="B488" s="120"/>
      <c r="C488" s="120"/>
      <c r="D488" s="120"/>
      <c r="E488" s="120"/>
      <c r="F488" s="120"/>
      <c r="G488" s="102"/>
      <c r="H488" s="120"/>
      <c r="I488" s="120"/>
      <c r="J488" s="120"/>
      <c r="K488" s="120"/>
      <c r="L488" s="120"/>
      <c r="M488" s="120"/>
      <c r="N488" s="120"/>
      <c r="O488" s="120"/>
      <c r="P488" s="120"/>
      <c r="Q488" s="120"/>
      <c r="R488" s="120"/>
      <c r="S488" s="120"/>
      <c r="T488" s="120"/>
      <c r="U488" s="120"/>
      <c r="V488" s="120"/>
      <c r="W488" s="120"/>
      <c r="X488" s="120"/>
      <c r="Y488" s="120"/>
      <c r="Z488" s="120"/>
      <c r="AA488" s="120"/>
      <c r="AB488" s="120"/>
    </row>
    <row r="489" spans="1:28" ht="15.75" customHeight="1" x14ac:dyDescent="0.55000000000000004">
      <c r="A489" s="120"/>
      <c r="B489" s="120"/>
      <c r="C489" s="120"/>
      <c r="D489" s="120"/>
      <c r="E489" s="120"/>
      <c r="F489" s="120"/>
      <c r="G489" s="102"/>
      <c r="H489" s="120"/>
      <c r="I489" s="120"/>
      <c r="J489" s="120"/>
      <c r="K489" s="120"/>
      <c r="L489" s="120"/>
      <c r="M489" s="120"/>
      <c r="N489" s="120"/>
      <c r="O489" s="120"/>
      <c r="P489" s="120"/>
      <c r="Q489" s="120"/>
      <c r="R489" s="120"/>
      <c r="S489" s="120"/>
      <c r="T489" s="120"/>
      <c r="U489" s="120"/>
      <c r="V489" s="120"/>
      <c r="W489" s="120"/>
      <c r="X489" s="120"/>
      <c r="Y489" s="120"/>
      <c r="Z489" s="120"/>
      <c r="AA489" s="120"/>
      <c r="AB489" s="120"/>
    </row>
    <row r="490" spans="1:28" ht="15.75" customHeight="1" x14ac:dyDescent="0.55000000000000004">
      <c r="A490" s="120"/>
      <c r="B490" s="120"/>
      <c r="C490" s="120"/>
      <c r="D490" s="120"/>
      <c r="E490" s="120"/>
      <c r="F490" s="120"/>
      <c r="G490" s="102"/>
      <c r="H490" s="120"/>
      <c r="I490" s="120"/>
      <c r="J490" s="120"/>
      <c r="K490" s="120"/>
      <c r="L490" s="120"/>
      <c r="M490" s="120"/>
      <c r="N490" s="120"/>
      <c r="O490" s="120"/>
      <c r="P490" s="120"/>
      <c r="Q490" s="120"/>
      <c r="R490" s="120"/>
      <c r="S490" s="120"/>
      <c r="T490" s="120"/>
      <c r="U490" s="120"/>
      <c r="V490" s="120"/>
      <c r="W490" s="120"/>
      <c r="X490" s="120"/>
      <c r="Y490" s="120"/>
      <c r="Z490" s="120"/>
      <c r="AA490" s="120"/>
      <c r="AB490" s="120"/>
    </row>
    <row r="491" spans="1:28" ht="15.75" customHeight="1" x14ac:dyDescent="0.55000000000000004">
      <c r="A491" s="120"/>
      <c r="B491" s="120"/>
      <c r="C491" s="120"/>
      <c r="D491" s="120"/>
      <c r="E491" s="120"/>
      <c r="F491" s="120"/>
      <c r="G491" s="102"/>
      <c r="H491" s="120"/>
      <c r="I491" s="120"/>
      <c r="J491" s="120"/>
      <c r="K491" s="120"/>
      <c r="L491" s="120"/>
      <c r="M491" s="120"/>
      <c r="N491" s="120"/>
      <c r="O491" s="120"/>
      <c r="P491" s="120"/>
      <c r="Q491" s="120"/>
      <c r="R491" s="120"/>
      <c r="S491" s="120"/>
      <c r="T491" s="120"/>
      <c r="U491" s="120"/>
      <c r="V491" s="120"/>
      <c r="W491" s="120"/>
      <c r="X491" s="120"/>
      <c r="Y491" s="120"/>
      <c r="Z491" s="120"/>
      <c r="AA491" s="120"/>
      <c r="AB491" s="120"/>
    </row>
    <row r="492" spans="1:28" ht="15.75" customHeight="1" x14ac:dyDescent="0.55000000000000004">
      <c r="A492" s="120"/>
      <c r="B492" s="120"/>
      <c r="C492" s="120"/>
      <c r="D492" s="120"/>
      <c r="E492" s="120"/>
      <c r="F492" s="120"/>
      <c r="G492" s="102"/>
      <c r="H492" s="120"/>
      <c r="I492" s="120"/>
      <c r="J492" s="120"/>
      <c r="K492" s="120"/>
      <c r="L492" s="120"/>
      <c r="M492" s="120"/>
      <c r="N492" s="120"/>
      <c r="O492" s="120"/>
      <c r="P492" s="120"/>
      <c r="Q492" s="120"/>
      <c r="R492" s="120"/>
      <c r="S492" s="120"/>
      <c r="T492" s="120"/>
      <c r="U492" s="120"/>
      <c r="V492" s="120"/>
      <c r="W492" s="120"/>
      <c r="X492" s="120"/>
      <c r="Y492" s="120"/>
      <c r="Z492" s="120"/>
      <c r="AA492" s="120"/>
      <c r="AB492" s="120"/>
    </row>
    <row r="493" spans="1:28" ht="15.75" customHeight="1" x14ac:dyDescent="0.55000000000000004">
      <c r="A493" s="120"/>
      <c r="B493" s="120"/>
      <c r="C493" s="120"/>
      <c r="D493" s="120"/>
      <c r="E493" s="120"/>
      <c r="F493" s="120"/>
      <c r="G493" s="102"/>
      <c r="H493" s="120"/>
      <c r="I493" s="120"/>
      <c r="J493" s="120"/>
      <c r="K493" s="120"/>
      <c r="L493" s="120"/>
      <c r="M493" s="120"/>
      <c r="N493" s="120"/>
      <c r="O493" s="120"/>
      <c r="P493" s="120"/>
      <c r="Q493" s="120"/>
      <c r="R493" s="120"/>
      <c r="S493" s="120"/>
      <c r="T493" s="120"/>
      <c r="U493" s="120"/>
      <c r="V493" s="120"/>
      <c r="W493" s="120"/>
      <c r="X493" s="120"/>
      <c r="Y493" s="120"/>
      <c r="Z493" s="120"/>
      <c r="AA493" s="120"/>
      <c r="AB493" s="120"/>
    </row>
    <row r="494" spans="1:28" ht="15.75" customHeight="1" x14ac:dyDescent="0.55000000000000004">
      <c r="A494" s="120"/>
      <c r="B494" s="120"/>
      <c r="C494" s="120"/>
      <c r="D494" s="120"/>
      <c r="E494" s="120"/>
      <c r="F494" s="120"/>
      <c r="G494" s="102"/>
      <c r="H494" s="120"/>
      <c r="I494" s="120"/>
      <c r="J494" s="120"/>
      <c r="K494" s="120"/>
      <c r="L494" s="120"/>
      <c r="M494" s="120"/>
      <c r="N494" s="120"/>
      <c r="O494" s="120"/>
      <c r="P494" s="120"/>
      <c r="Q494" s="120"/>
      <c r="R494" s="120"/>
      <c r="S494" s="120"/>
      <c r="T494" s="120"/>
      <c r="U494" s="120"/>
      <c r="V494" s="120"/>
      <c r="W494" s="120"/>
      <c r="X494" s="120"/>
      <c r="Y494" s="120"/>
      <c r="Z494" s="120"/>
      <c r="AA494" s="120"/>
      <c r="AB494" s="120"/>
    </row>
    <row r="495" spans="1:28" ht="15.75" customHeight="1" x14ac:dyDescent="0.55000000000000004">
      <c r="A495" s="120"/>
      <c r="B495" s="120"/>
      <c r="C495" s="120"/>
      <c r="D495" s="120"/>
      <c r="E495" s="120"/>
      <c r="F495" s="120"/>
      <c r="G495" s="102"/>
      <c r="H495" s="120"/>
      <c r="I495" s="120"/>
      <c r="J495" s="120"/>
      <c r="K495" s="120"/>
      <c r="L495" s="120"/>
      <c r="M495" s="120"/>
      <c r="N495" s="120"/>
      <c r="O495" s="120"/>
      <c r="P495" s="120"/>
      <c r="Q495" s="120"/>
      <c r="R495" s="120"/>
      <c r="S495" s="120"/>
      <c r="T495" s="120"/>
      <c r="U495" s="120"/>
      <c r="V495" s="120"/>
      <c r="W495" s="120"/>
      <c r="X495" s="120"/>
      <c r="Y495" s="120"/>
      <c r="Z495" s="120"/>
      <c r="AA495" s="120"/>
      <c r="AB495" s="120"/>
    </row>
    <row r="496" spans="1:28" ht="15.75" customHeight="1" x14ac:dyDescent="0.55000000000000004">
      <c r="A496" s="120"/>
      <c r="B496" s="120"/>
      <c r="C496" s="120"/>
      <c r="D496" s="120"/>
      <c r="E496" s="120"/>
      <c r="F496" s="120"/>
      <c r="G496" s="102"/>
      <c r="H496" s="120"/>
      <c r="I496" s="120"/>
      <c r="J496" s="120"/>
      <c r="K496" s="120"/>
      <c r="L496" s="120"/>
      <c r="M496" s="120"/>
      <c r="N496" s="120"/>
      <c r="O496" s="120"/>
      <c r="P496" s="120"/>
      <c r="Q496" s="120"/>
      <c r="R496" s="120"/>
      <c r="S496" s="120"/>
      <c r="T496" s="120"/>
      <c r="U496" s="120"/>
      <c r="V496" s="120"/>
      <c r="W496" s="120"/>
      <c r="X496" s="120"/>
      <c r="Y496" s="120"/>
      <c r="Z496" s="120"/>
      <c r="AA496" s="120"/>
      <c r="AB496" s="120"/>
    </row>
    <row r="497" spans="1:28" ht="15.75" customHeight="1" x14ac:dyDescent="0.55000000000000004">
      <c r="A497" s="120"/>
      <c r="B497" s="120"/>
      <c r="C497" s="120"/>
      <c r="D497" s="120"/>
      <c r="E497" s="120"/>
      <c r="F497" s="120"/>
      <c r="G497" s="102"/>
      <c r="H497" s="120"/>
      <c r="I497" s="120"/>
      <c r="J497" s="120"/>
      <c r="K497" s="120"/>
      <c r="L497" s="120"/>
      <c r="M497" s="120"/>
      <c r="N497" s="120"/>
      <c r="O497" s="120"/>
      <c r="P497" s="120"/>
      <c r="Q497" s="120"/>
      <c r="R497" s="120"/>
      <c r="S497" s="120"/>
      <c r="T497" s="120"/>
      <c r="U497" s="120"/>
      <c r="V497" s="120"/>
      <c r="W497" s="120"/>
      <c r="X497" s="120"/>
      <c r="Y497" s="120"/>
      <c r="Z497" s="120"/>
      <c r="AA497" s="120"/>
      <c r="AB497" s="120"/>
    </row>
    <row r="498" spans="1:28" ht="15.75" customHeight="1" x14ac:dyDescent="0.55000000000000004">
      <c r="A498" s="120"/>
      <c r="B498" s="120"/>
      <c r="C498" s="120"/>
      <c r="D498" s="120"/>
      <c r="E498" s="120"/>
      <c r="F498" s="120"/>
      <c r="G498" s="102"/>
      <c r="H498" s="120"/>
      <c r="I498" s="120"/>
      <c r="J498" s="120"/>
      <c r="K498" s="120"/>
      <c r="L498" s="120"/>
      <c r="M498" s="120"/>
      <c r="N498" s="120"/>
      <c r="O498" s="120"/>
      <c r="P498" s="120"/>
      <c r="Q498" s="120"/>
      <c r="R498" s="120"/>
      <c r="S498" s="120"/>
      <c r="T498" s="120"/>
      <c r="U498" s="120"/>
      <c r="V498" s="120"/>
      <c r="W498" s="120"/>
      <c r="X498" s="120"/>
      <c r="Y498" s="120"/>
      <c r="Z498" s="120"/>
      <c r="AA498" s="120"/>
      <c r="AB498" s="120"/>
    </row>
    <row r="499" spans="1:28" ht="15.75" customHeight="1" x14ac:dyDescent="0.55000000000000004">
      <c r="A499" s="120"/>
      <c r="B499" s="120"/>
      <c r="C499" s="120"/>
      <c r="D499" s="120"/>
      <c r="E499" s="120"/>
      <c r="F499" s="120"/>
      <c r="G499" s="102"/>
      <c r="H499" s="120"/>
      <c r="I499" s="120"/>
      <c r="J499" s="120"/>
      <c r="K499" s="120"/>
      <c r="L499" s="120"/>
      <c r="M499" s="120"/>
      <c r="N499" s="120"/>
      <c r="O499" s="120"/>
      <c r="P499" s="120"/>
      <c r="Q499" s="120"/>
      <c r="R499" s="120"/>
      <c r="S499" s="120"/>
      <c r="T499" s="120"/>
      <c r="U499" s="120"/>
      <c r="V499" s="120"/>
      <c r="W499" s="120"/>
      <c r="X499" s="120"/>
      <c r="Y499" s="120"/>
      <c r="Z499" s="120"/>
      <c r="AA499" s="120"/>
      <c r="AB499" s="120"/>
    </row>
    <row r="500" spans="1:28" ht="15.75" customHeight="1" x14ac:dyDescent="0.55000000000000004">
      <c r="A500" s="120"/>
      <c r="B500" s="120"/>
      <c r="C500" s="120"/>
      <c r="D500" s="120"/>
      <c r="E500" s="120"/>
      <c r="F500" s="120"/>
      <c r="G500" s="102"/>
      <c r="H500" s="120"/>
      <c r="I500" s="120"/>
      <c r="J500" s="120"/>
      <c r="K500" s="120"/>
      <c r="L500" s="120"/>
      <c r="M500" s="120"/>
      <c r="N500" s="120"/>
      <c r="O500" s="120"/>
      <c r="P500" s="120"/>
      <c r="Q500" s="120"/>
      <c r="R500" s="120"/>
      <c r="S500" s="120"/>
      <c r="T500" s="120"/>
      <c r="U500" s="120"/>
      <c r="V500" s="120"/>
      <c r="W500" s="120"/>
      <c r="X500" s="120"/>
      <c r="Y500" s="120"/>
      <c r="Z500" s="120"/>
      <c r="AA500" s="120"/>
      <c r="AB500" s="120"/>
    </row>
    <row r="501" spans="1:28" ht="15.75" customHeight="1" x14ac:dyDescent="0.55000000000000004">
      <c r="A501" s="120"/>
      <c r="B501" s="120"/>
      <c r="C501" s="120"/>
      <c r="D501" s="120"/>
      <c r="E501" s="120"/>
      <c r="F501" s="120"/>
      <c r="G501" s="102"/>
      <c r="H501" s="120"/>
      <c r="I501" s="120"/>
      <c r="J501" s="120"/>
      <c r="K501" s="120"/>
      <c r="L501" s="120"/>
      <c r="M501" s="120"/>
      <c r="N501" s="120"/>
      <c r="O501" s="120"/>
      <c r="P501" s="120"/>
      <c r="Q501" s="120"/>
      <c r="R501" s="120"/>
      <c r="S501" s="120"/>
      <c r="T501" s="120"/>
      <c r="U501" s="120"/>
      <c r="V501" s="120"/>
      <c r="W501" s="120"/>
      <c r="X501" s="120"/>
      <c r="Y501" s="120"/>
      <c r="Z501" s="120"/>
      <c r="AA501" s="120"/>
      <c r="AB501" s="120"/>
    </row>
    <row r="502" spans="1:28" ht="15.75" customHeight="1" x14ac:dyDescent="0.55000000000000004">
      <c r="A502" s="120"/>
      <c r="B502" s="120"/>
      <c r="C502" s="120"/>
      <c r="D502" s="120"/>
      <c r="E502" s="120"/>
      <c r="F502" s="120"/>
      <c r="G502" s="102"/>
      <c r="H502" s="120"/>
      <c r="I502" s="120"/>
      <c r="J502" s="120"/>
      <c r="K502" s="120"/>
      <c r="L502" s="120"/>
      <c r="M502" s="120"/>
      <c r="N502" s="120"/>
      <c r="O502" s="120"/>
      <c r="P502" s="120"/>
      <c r="Q502" s="120"/>
      <c r="R502" s="120"/>
      <c r="S502" s="120"/>
      <c r="T502" s="120"/>
      <c r="U502" s="120"/>
      <c r="V502" s="120"/>
      <c r="W502" s="120"/>
      <c r="X502" s="120"/>
      <c r="Y502" s="120"/>
      <c r="Z502" s="120"/>
      <c r="AA502" s="120"/>
      <c r="AB502" s="120"/>
    </row>
    <row r="503" spans="1:28" ht="15.75" customHeight="1" x14ac:dyDescent="0.55000000000000004">
      <c r="A503" s="120"/>
      <c r="B503" s="120"/>
      <c r="C503" s="120"/>
      <c r="D503" s="120"/>
      <c r="E503" s="120"/>
      <c r="F503" s="120"/>
      <c r="G503" s="102"/>
      <c r="H503" s="120"/>
      <c r="I503" s="120"/>
      <c r="J503" s="120"/>
      <c r="K503" s="120"/>
      <c r="L503" s="120"/>
      <c r="M503" s="120"/>
      <c r="N503" s="120"/>
      <c r="O503" s="120"/>
      <c r="P503" s="120"/>
      <c r="Q503" s="120"/>
      <c r="R503" s="120"/>
      <c r="S503" s="120"/>
      <c r="T503" s="120"/>
      <c r="U503" s="120"/>
      <c r="V503" s="120"/>
      <c r="W503" s="120"/>
      <c r="X503" s="120"/>
      <c r="Y503" s="120"/>
      <c r="Z503" s="120"/>
      <c r="AA503" s="120"/>
      <c r="AB503" s="120"/>
    </row>
    <row r="504" spans="1:28" ht="15.75" customHeight="1" x14ac:dyDescent="0.55000000000000004">
      <c r="A504" s="120"/>
      <c r="B504" s="120"/>
      <c r="C504" s="120"/>
      <c r="D504" s="120"/>
      <c r="E504" s="120"/>
      <c r="F504" s="120"/>
      <c r="G504" s="102"/>
      <c r="H504" s="120"/>
      <c r="I504" s="120"/>
      <c r="J504" s="120"/>
      <c r="K504" s="120"/>
      <c r="L504" s="120"/>
      <c r="M504" s="120"/>
      <c r="N504" s="120"/>
      <c r="O504" s="120"/>
      <c r="P504" s="120"/>
      <c r="Q504" s="120"/>
      <c r="R504" s="120"/>
      <c r="S504" s="120"/>
      <c r="T504" s="120"/>
      <c r="U504" s="120"/>
      <c r="V504" s="120"/>
      <c r="W504" s="120"/>
      <c r="X504" s="120"/>
      <c r="Y504" s="120"/>
      <c r="Z504" s="120"/>
      <c r="AA504" s="120"/>
      <c r="AB504" s="120"/>
    </row>
    <row r="505" spans="1:28" ht="15.75" customHeight="1" x14ac:dyDescent="0.55000000000000004">
      <c r="A505" s="120"/>
      <c r="B505" s="120"/>
      <c r="C505" s="120"/>
      <c r="D505" s="120"/>
      <c r="E505" s="120"/>
      <c r="F505" s="120"/>
      <c r="G505" s="102"/>
      <c r="H505" s="120"/>
      <c r="I505" s="120"/>
      <c r="J505" s="120"/>
      <c r="K505" s="120"/>
      <c r="L505" s="120"/>
      <c r="M505" s="120"/>
      <c r="N505" s="120"/>
      <c r="O505" s="120"/>
      <c r="P505" s="120"/>
      <c r="Q505" s="120"/>
      <c r="R505" s="120"/>
      <c r="S505" s="120"/>
      <c r="T505" s="120"/>
      <c r="U505" s="120"/>
      <c r="V505" s="120"/>
      <c r="W505" s="120"/>
      <c r="X505" s="120"/>
      <c r="Y505" s="120"/>
      <c r="Z505" s="120"/>
      <c r="AA505" s="120"/>
      <c r="AB505" s="120"/>
    </row>
    <row r="506" spans="1:28" ht="15.75" customHeight="1" x14ac:dyDescent="0.55000000000000004">
      <c r="A506" s="120"/>
      <c r="B506" s="120"/>
      <c r="C506" s="120"/>
      <c r="D506" s="120"/>
      <c r="E506" s="120"/>
      <c r="F506" s="120"/>
      <c r="G506" s="102"/>
      <c r="H506" s="120"/>
      <c r="I506" s="120"/>
      <c r="J506" s="120"/>
      <c r="K506" s="120"/>
      <c r="L506" s="120"/>
      <c r="M506" s="120"/>
      <c r="N506" s="120"/>
      <c r="O506" s="120"/>
      <c r="P506" s="120"/>
      <c r="Q506" s="120"/>
      <c r="R506" s="120"/>
      <c r="S506" s="120"/>
      <c r="T506" s="120"/>
      <c r="U506" s="120"/>
      <c r="V506" s="120"/>
      <c r="W506" s="120"/>
      <c r="X506" s="120"/>
      <c r="Y506" s="120"/>
      <c r="Z506" s="120"/>
      <c r="AA506" s="120"/>
      <c r="AB506" s="120"/>
    </row>
    <row r="507" spans="1:28" ht="15.75" customHeight="1" x14ac:dyDescent="0.55000000000000004">
      <c r="A507" s="120"/>
      <c r="B507" s="120"/>
      <c r="C507" s="120"/>
      <c r="D507" s="120"/>
      <c r="E507" s="120"/>
      <c r="F507" s="120"/>
      <c r="G507" s="102"/>
      <c r="H507" s="120"/>
      <c r="I507" s="120"/>
      <c r="J507" s="120"/>
      <c r="K507" s="120"/>
      <c r="L507" s="120"/>
      <c r="M507" s="120"/>
      <c r="N507" s="120"/>
      <c r="O507" s="120"/>
      <c r="P507" s="120"/>
      <c r="Q507" s="120"/>
      <c r="R507" s="120"/>
      <c r="S507" s="120"/>
      <c r="T507" s="120"/>
      <c r="U507" s="120"/>
      <c r="V507" s="120"/>
      <c r="W507" s="120"/>
      <c r="X507" s="120"/>
      <c r="Y507" s="120"/>
      <c r="Z507" s="120"/>
      <c r="AA507" s="120"/>
      <c r="AB507" s="120"/>
    </row>
    <row r="508" spans="1:28" ht="15.75" customHeight="1" x14ac:dyDescent="0.55000000000000004">
      <c r="A508" s="120"/>
      <c r="B508" s="120"/>
      <c r="C508" s="120"/>
      <c r="D508" s="120"/>
      <c r="E508" s="120"/>
      <c r="F508" s="120"/>
      <c r="G508" s="102"/>
      <c r="H508" s="120"/>
      <c r="I508" s="120"/>
      <c r="J508" s="120"/>
      <c r="K508" s="120"/>
      <c r="L508" s="120"/>
      <c r="M508" s="120"/>
      <c r="N508" s="120"/>
      <c r="O508" s="120"/>
      <c r="P508" s="120"/>
      <c r="Q508" s="120"/>
      <c r="R508" s="120"/>
      <c r="S508" s="120"/>
      <c r="T508" s="120"/>
      <c r="U508" s="120"/>
      <c r="V508" s="120"/>
      <c r="W508" s="120"/>
      <c r="X508" s="120"/>
      <c r="Y508" s="120"/>
      <c r="Z508" s="120"/>
      <c r="AA508" s="120"/>
      <c r="AB508" s="120"/>
    </row>
    <row r="509" spans="1:28" ht="15.75" customHeight="1" x14ac:dyDescent="0.55000000000000004">
      <c r="A509" s="120"/>
      <c r="B509" s="120"/>
      <c r="C509" s="120"/>
      <c r="D509" s="120"/>
      <c r="E509" s="120"/>
      <c r="F509" s="120"/>
      <c r="G509" s="102"/>
      <c r="H509" s="120"/>
      <c r="I509" s="120"/>
      <c r="J509" s="120"/>
      <c r="K509" s="120"/>
      <c r="L509" s="120"/>
      <c r="M509" s="120"/>
      <c r="N509" s="120"/>
      <c r="O509" s="120"/>
      <c r="P509" s="120"/>
      <c r="Q509" s="120"/>
      <c r="R509" s="120"/>
      <c r="S509" s="120"/>
      <c r="T509" s="120"/>
      <c r="U509" s="120"/>
      <c r="V509" s="120"/>
      <c r="W509" s="120"/>
      <c r="X509" s="120"/>
      <c r="Y509" s="120"/>
      <c r="Z509" s="120"/>
      <c r="AA509" s="120"/>
      <c r="AB509" s="120"/>
    </row>
    <row r="510" spans="1:28" ht="15.75" customHeight="1" x14ac:dyDescent="0.55000000000000004">
      <c r="A510" s="120"/>
      <c r="B510" s="120"/>
      <c r="C510" s="120"/>
      <c r="D510" s="120"/>
      <c r="E510" s="120"/>
      <c r="F510" s="120"/>
      <c r="G510" s="102"/>
      <c r="H510" s="120"/>
      <c r="I510" s="120"/>
      <c r="J510" s="120"/>
      <c r="K510" s="120"/>
      <c r="L510" s="120"/>
      <c r="M510" s="120"/>
      <c r="N510" s="120"/>
      <c r="O510" s="120"/>
      <c r="P510" s="120"/>
      <c r="Q510" s="120"/>
      <c r="R510" s="120"/>
      <c r="S510" s="120"/>
      <c r="T510" s="120"/>
      <c r="U510" s="120"/>
      <c r="V510" s="120"/>
      <c r="W510" s="120"/>
      <c r="X510" s="120"/>
      <c r="Y510" s="120"/>
      <c r="Z510" s="120"/>
      <c r="AA510" s="120"/>
      <c r="AB510" s="120"/>
    </row>
    <row r="511" spans="1:28" ht="15.75" customHeight="1" x14ac:dyDescent="0.55000000000000004">
      <c r="A511" s="120"/>
      <c r="B511" s="120"/>
      <c r="C511" s="120"/>
      <c r="D511" s="120"/>
      <c r="E511" s="120"/>
      <c r="F511" s="120"/>
      <c r="G511" s="102"/>
      <c r="H511" s="120"/>
      <c r="I511" s="120"/>
      <c r="J511" s="120"/>
      <c r="K511" s="120"/>
      <c r="L511" s="120"/>
      <c r="M511" s="120"/>
      <c r="N511" s="120"/>
      <c r="O511" s="120"/>
      <c r="P511" s="120"/>
      <c r="Q511" s="120"/>
      <c r="R511" s="120"/>
      <c r="S511" s="120"/>
      <c r="T511" s="120"/>
      <c r="U511" s="120"/>
      <c r="V511" s="120"/>
      <c r="W511" s="120"/>
      <c r="X511" s="120"/>
      <c r="Y511" s="120"/>
      <c r="Z511" s="120"/>
      <c r="AA511" s="120"/>
      <c r="AB511" s="120"/>
    </row>
    <row r="512" spans="1:28" ht="15.75" customHeight="1" x14ac:dyDescent="0.55000000000000004">
      <c r="A512" s="120"/>
      <c r="B512" s="120"/>
      <c r="C512" s="120"/>
      <c r="D512" s="120"/>
      <c r="E512" s="120"/>
      <c r="F512" s="120"/>
      <c r="G512" s="102"/>
      <c r="H512" s="120"/>
      <c r="I512" s="120"/>
      <c r="J512" s="120"/>
      <c r="K512" s="120"/>
      <c r="L512" s="120"/>
      <c r="M512" s="120"/>
      <c r="N512" s="120"/>
      <c r="O512" s="120"/>
      <c r="P512" s="120"/>
      <c r="Q512" s="120"/>
      <c r="R512" s="120"/>
      <c r="S512" s="120"/>
      <c r="T512" s="120"/>
      <c r="U512" s="120"/>
      <c r="V512" s="120"/>
      <c r="W512" s="120"/>
      <c r="X512" s="120"/>
      <c r="Y512" s="120"/>
      <c r="Z512" s="120"/>
      <c r="AA512" s="120"/>
      <c r="AB512" s="120"/>
    </row>
    <row r="513" spans="1:28" ht="15.75" customHeight="1" x14ac:dyDescent="0.55000000000000004">
      <c r="A513" s="120"/>
      <c r="B513" s="120"/>
      <c r="C513" s="120"/>
      <c r="D513" s="120"/>
      <c r="E513" s="120"/>
      <c r="F513" s="120"/>
      <c r="G513" s="102"/>
      <c r="H513" s="120"/>
      <c r="I513" s="120"/>
      <c r="J513" s="120"/>
      <c r="K513" s="120"/>
      <c r="L513" s="120"/>
      <c r="M513" s="120"/>
      <c r="N513" s="120"/>
      <c r="O513" s="120"/>
      <c r="P513" s="120"/>
      <c r="Q513" s="120"/>
      <c r="R513" s="120"/>
      <c r="S513" s="120"/>
      <c r="T513" s="120"/>
      <c r="U513" s="120"/>
      <c r="V513" s="120"/>
      <c r="W513" s="120"/>
      <c r="X513" s="120"/>
      <c r="Y513" s="120"/>
      <c r="Z513" s="120"/>
      <c r="AA513" s="120"/>
      <c r="AB513" s="120"/>
    </row>
    <row r="514" spans="1:28" ht="15.75" customHeight="1" x14ac:dyDescent="0.55000000000000004">
      <c r="A514" s="120"/>
      <c r="B514" s="120"/>
      <c r="C514" s="120"/>
      <c r="D514" s="120"/>
      <c r="E514" s="120"/>
      <c r="F514" s="120"/>
      <c r="G514" s="102"/>
      <c r="H514" s="120"/>
      <c r="I514" s="120"/>
      <c r="J514" s="120"/>
      <c r="K514" s="120"/>
      <c r="L514" s="120"/>
      <c r="M514" s="120"/>
      <c r="N514" s="120"/>
      <c r="O514" s="120"/>
      <c r="P514" s="120"/>
      <c r="Q514" s="120"/>
      <c r="R514" s="120"/>
      <c r="S514" s="120"/>
      <c r="T514" s="120"/>
      <c r="U514" s="120"/>
      <c r="V514" s="120"/>
      <c r="W514" s="120"/>
      <c r="X514" s="120"/>
      <c r="Y514" s="120"/>
      <c r="Z514" s="120"/>
      <c r="AA514" s="120"/>
      <c r="AB514" s="120"/>
    </row>
    <row r="515" spans="1:28" ht="15.75" customHeight="1" x14ac:dyDescent="0.55000000000000004">
      <c r="A515" s="120"/>
      <c r="B515" s="120"/>
      <c r="C515" s="120"/>
      <c r="D515" s="120"/>
      <c r="E515" s="120"/>
      <c r="F515" s="120"/>
      <c r="G515" s="102"/>
      <c r="H515" s="120"/>
      <c r="I515" s="120"/>
      <c r="J515" s="120"/>
      <c r="K515" s="120"/>
      <c r="L515" s="120"/>
      <c r="M515" s="120"/>
      <c r="N515" s="120"/>
      <c r="O515" s="120"/>
      <c r="P515" s="120"/>
      <c r="Q515" s="120"/>
      <c r="R515" s="120"/>
      <c r="S515" s="120"/>
      <c r="T515" s="120"/>
      <c r="U515" s="120"/>
      <c r="V515" s="120"/>
      <c r="W515" s="120"/>
      <c r="X515" s="120"/>
      <c r="Y515" s="120"/>
      <c r="Z515" s="120"/>
      <c r="AA515" s="120"/>
      <c r="AB515" s="120"/>
    </row>
    <row r="516" spans="1:28" ht="15.75" customHeight="1" x14ac:dyDescent="0.55000000000000004">
      <c r="A516" s="120"/>
      <c r="B516" s="120"/>
      <c r="C516" s="120"/>
      <c r="D516" s="120"/>
      <c r="E516" s="120"/>
      <c r="F516" s="120"/>
      <c r="G516" s="102"/>
      <c r="H516" s="120"/>
      <c r="I516" s="120"/>
      <c r="J516" s="120"/>
      <c r="K516" s="120"/>
      <c r="L516" s="120"/>
      <c r="M516" s="120"/>
      <c r="N516" s="120"/>
      <c r="O516" s="120"/>
      <c r="P516" s="120"/>
      <c r="Q516" s="120"/>
      <c r="R516" s="120"/>
      <c r="S516" s="120"/>
      <c r="T516" s="120"/>
      <c r="U516" s="120"/>
      <c r="V516" s="120"/>
      <c r="W516" s="120"/>
      <c r="X516" s="120"/>
      <c r="Y516" s="120"/>
      <c r="Z516" s="120"/>
      <c r="AA516" s="120"/>
      <c r="AB516" s="120"/>
    </row>
    <row r="517" spans="1:28" ht="15.75" customHeight="1" x14ac:dyDescent="0.55000000000000004">
      <c r="A517" s="120"/>
      <c r="B517" s="120"/>
      <c r="C517" s="120"/>
      <c r="D517" s="120"/>
      <c r="E517" s="120"/>
      <c r="F517" s="120"/>
      <c r="G517" s="102"/>
      <c r="H517" s="120"/>
      <c r="I517" s="120"/>
      <c r="J517" s="120"/>
      <c r="K517" s="120"/>
      <c r="L517" s="120"/>
      <c r="M517" s="120"/>
      <c r="N517" s="120"/>
      <c r="O517" s="120"/>
      <c r="P517" s="120"/>
      <c r="Q517" s="120"/>
      <c r="R517" s="120"/>
      <c r="S517" s="120"/>
      <c r="T517" s="120"/>
      <c r="U517" s="120"/>
      <c r="V517" s="120"/>
      <c r="W517" s="120"/>
      <c r="X517" s="120"/>
      <c r="Y517" s="120"/>
      <c r="Z517" s="120"/>
      <c r="AA517" s="120"/>
      <c r="AB517" s="120"/>
    </row>
    <row r="518" spans="1:28" ht="15.75" customHeight="1" x14ac:dyDescent="0.55000000000000004">
      <c r="A518" s="120"/>
      <c r="B518" s="120"/>
      <c r="C518" s="120"/>
      <c r="D518" s="120"/>
      <c r="E518" s="120"/>
      <c r="F518" s="120"/>
      <c r="G518" s="102"/>
      <c r="H518" s="120"/>
      <c r="I518" s="120"/>
      <c r="J518" s="120"/>
      <c r="K518" s="120"/>
      <c r="L518" s="120"/>
      <c r="M518" s="120"/>
      <c r="N518" s="120"/>
      <c r="O518" s="120"/>
      <c r="P518" s="120"/>
      <c r="Q518" s="120"/>
      <c r="R518" s="120"/>
      <c r="S518" s="120"/>
      <c r="T518" s="120"/>
      <c r="U518" s="120"/>
      <c r="V518" s="120"/>
      <c r="W518" s="120"/>
      <c r="X518" s="120"/>
      <c r="Y518" s="120"/>
      <c r="Z518" s="120"/>
      <c r="AA518" s="120"/>
      <c r="AB518" s="120"/>
    </row>
    <row r="519" spans="1:28" ht="15.75" customHeight="1" x14ac:dyDescent="0.55000000000000004">
      <c r="A519" s="120"/>
      <c r="B519" s="120"/>
      <c r="C519" s="120"/>
      <c r="D519" s="120"/>
      <c r="E519" s="120"/>
      <c r="F519" s="120"/>
      <c r="G519" s="102"/>
      <c r="H519" s="120"/>
      <c r="I519" s="120"/>
      <c r="J519" s="120"/>
      <c r="K519" s="120"/>
      <c r="L519" s="120"/>
      <c r="M519" s="120"/>
      <c r="N519" s="120"/>
      <c r="O519" s="120"/>
      <c r="P519" s="120"/>
      <c r="Q519" s="120"/>
      <c r="R519" s="120"/>
      <c r="S519" s="120"/>
      <c r="T519" s="120"/>
      <c r="U519" s="120"/>
      <c r="V519" s="120"/>
      <c r="W519" s="120"/>
      <c r="X519" s="120"/>
      <c r="Y519" s="120"/>
      <c r="Z519" s="120"/>
      <c r="AA519" s="120"/>
      <c r="AB519" s="120"/>
    </row>
    <row r="520" spans="1:28" ht="15.75" customHeight="1" x14ac:dyDescent="0.55000000000000004">
      <c r="A520" s="120"/>
      <c r="B520" s="120"/>
      <c r="C520" s="120"/>
      <c r="D520" s="120"/>
      <c r="E520" s="120"/>
      <c r="F520" s="120"/>
      <c r="G520" s="102"/>
      <c r="H520" s="120"/>
      <c r="I520" s="120"/>
      <c r="J520" s="120"/>
      <c r="K520" s="120"/>
      <c r="L520" s="120"/>
      <c r="M520" s="120"/>
      <c r="N520" s="120"/>
      <c r="O520" s="120"/>
      <c r="P520" s="120"/>
      <c r="Q520" s="120"/>
      <c r="R520" s="120"/>
      <c r="S520" s="120"/>
      <c r="T520" s="120"/>
      <c r="U520" s="120"/>
      <c r="V520" s="120"/>
      <c r="W520" s="120"/>
      <c r="X520" s="120"/>
      <c r="Y520" s="120"/>
      <c r="Z520" s="120"/>
      <c r="AA520" s="120"/>
      <c r="AB520" s="120"/>
    </row>
    <row r="521" spans="1:28" ht="15.75" customHeight="1" x14ac:dyDescent="0.55000000000000004">
      <c r="A521" s="120"/>
      <c r="B521" s="120"/>
      <c r="C521" s="120"/>
      <c r="D521" s="120"/>
      <c r="E521" s="120"/>
      <c r="F521" s="120"/>
      <c r="G521" s="102"/>
      <c r="H521" s="120"/>
      <c r="I521" s="120"/>
      <c r="J521" s="120"/>
      <c r="K521" s="120"/>
      <c r="L521" s="120"/>
      <c r="M521" s="120"/>
      <c r="N521" s="120"/>
      <c r="O521" s="120"/>
      <c r="P521" s="120"/>
      <c r="Q521" s="120"/>
      <c r="R521" s="120"/>
      <c r="S521" s="120"/>
      <c r="T521" s="120"/>
      <c r="U521" s="120"/>
      <c r="V521" s="120"/>
      <c r="W521" s="120"/>
      <c r="X521" s="120"/>
      <c r="Y521" s="120"/>
      <c r="Z521" s="120"/>
      <c r="AA521" s="120"/>
      <c r="AB521" s="120"/>
    </row>
    <row r="522" spans="1:28" ht="15.75" customHeight="1" x14ac:dyDescent="0.55000000000000004">
      <c r="A522" s="120"/>
      <c r="B522" s="120"/>
      <c r="C522" s="120"/>
      <c r="D522" s="120"/>
      <c r="E522" s="120"/>
      <c r="F522" s="120"/>
      <c r="G522" s="102"/>
      <c r="H522" s="120"/>
      <c r="I522" s="120"/>
      <c r="J522" s="120"/>
      <c r="K522" s="120"/>
      <c r="L522" s="120"/>
      <c r="M522" s="120"/>
      <c r="N522" s="120"/>
      <c r="O522" s="120"/>
      <c r="P522" s="120"/>
      <c r="Q522" s="120"/>
      <c r="R522" s="120"/>
      <c r="S522" s="120"/>
      <c r="T522" s="120"/>
      <c r="U522" s="120"/>
      <c r="V522" s="120"/>
      <c r="W522" s="120"/>
      <c r="X522" s="120"/>
      <c r="Y522" s="120"/>
      <c r="Z522" s="120"/>
      <c r="AA522" s="120"/>
      <c r="AB522" s="120"/>
    </row>
    <row r="523" spans="1:28" ht="15.75" customHeight="1" x14ac:dyDescent="0.55000000000000004">
      <c r="A523" s="120"/>
      <c r="B523" s="120"/>
      <c r="C523" s="120"/>
      <c r="D523" s="120"/>
      <c r="E523" s="120"/>
      <c r="F523" s="120"/>
      <c r="G523" s="102"/>
      <c r="H523" s="120"/>
      <c r="I523" s="120"/>
      <c r="J523" s="120"/>
      <c r="K523" s="120"/>
      <c r="L523" s="120"/>
      <c r="M523" s="120"/>
      <c r="N523" s="120"/>
      <c r="O523" s="120"/>
      <c r="P523" s="120"/>
      <c r="Q523" s="120"/>
      <c r="R523" s="120"/>
      <c r="S523" s="120"/>
      <c r="T523" s="120"/>
      <c r="U523" s="120"/>
      <c r="V523" s="120"/>
      <c r="W523" s="120"/>
      <c r="X523" s="120"/>
      <c r="Y523" s="120"/>
      <c r="Z523" s="120"/>
      <c r="AA523" s="120"/>
      <c r="AB523" s="120"/>
    </row>
    <row r="524" spans="1:28" ht="15.75" customHeight="1" x14ac:dyDescent="0.55000000000000004">
      <c r="A524" s="120"/>
      <c r="B524" s="120"/>
      <c r="C524" s="120"/>
      <c r="D524" s="120"/>
      <c r="E524" s="120"/>
      <c r="F524" s="120"/>
      <c r="G524" s="102"/>
      <c r="H524" s="120"/>
      <c r="I524" s="120"/>
      <c r="J524" s="120"/>
      <c r="K524" s="120"/>
      <c r="L524" s="120"/>
      <c r="M524" s="120"/>
      <c r="N524" s="120"/>
      <c r="O524" s="120"/>
      <c r="P524" s="120"/>
      <c r="Q524" s="120"/>
      <c r="R524" s="120"/>
      <c r="S524" s="120"/>
      <c r="T524" s="120"/>
      <c r="U524" s="120"/>
      <c r="V524" s="120"/>
      <c r="W524" s="120"/>
      <c r="X524" s="120"/>
      <c r="Y524" s="120"/>
      <c r="Z524" s="120"/>
      <c r="AA524" s="120"/>
      <c r="AB524" s="120"/>
    </row>
    <row r="525" spans="1:28" ht="15.75" customHeight="1" x14ac:dyDescent="0.55000000000000004">
      <c r="A525" s="120"/>
      <c r="B525" s="120"/>
      <c r="C525" s="120"/>
      <c r="D525" s="120"/>
      <c r="E525" s="120"/>
      <c r="F525" s="120"/>
      <c r="G525" s="102"/>
      <c r="H525" s="120"/>
      <c r="I525" s="120"/>
      <c r="J525" s="120"/>
      <c r="K525" s="120"/>
      <c r="L525" s="120"/>
      <c r="M525" s="120"/>
      <c r="N525" s="120"/>
      <c r="O525" s="120"/>
      <c r="P525" s="120"/>
      <c r="Q525" s="120"/>
      <c r="R525" s="120"/>
      <c r="S525" s="120"/>
      <c r="T525" s="120"/>
      <c r="U525" s="120"/>
      <c r="V525" s="120"/>
      <c r="W525" s="120"/>
      <c r="X525" s="120"/>
      <c r="Y525" s="120"/>
      <c r="Z525" s="120"/>
      <c r="AA525" s="120"/>
      <c r="AB525" s="120"/>
    </row>
    <row r="526" spans="1:28" ht="15.75" customHeight="1" x14ac:dyDescent="0.55000000000000004">
      <c r="A526" s="120"/>
      <c r="B526" s="120"/>
      <c r="C526" s="120"/>
      <c r="D526" s="120"/>
      <c r="E526" s="120"/>
      <c r="F526" s="120"/>
      <c r="G526" s="102"/>
      <c r="H526" s="120"/>
      <c r="I526" s="120"/>
      <c r="J526" s="120"/>
      <c r="K526" s="120"/>
      <c r="L526" s="120"/>
      <c r="M526" s="120"/>
      <c r="N526" s="120"/>
      <c r="O526" s="120"/>
      <c r="P526" s="120"/>
      <c r="Q526" s="120"/>
      <c r="R526" s="120"/>
      <c r="S526" s="120"/>
      <c r="T526" s="120"/>
      <c r="U526" s="120"/>
      <c r="V526" s="120"/>
      <c r="W526" s="120"/>
      <c r="X526" s="120"/>
      <c r="Y526" s="120"/>
      <c r="Z526" s="120"/>
      <c r="AA526" s="120"/>
      <c r="AB526" s="120"/>
    </row>
    <row r="527" spans="1:28" ht="15.75" customHeight="1" x14ac:dyDescent="0.55000000000000004">
      <c r="A527" s="120"/>
      <c r="B527" s="120"/>
      <c r="C527" s="120"/>
      <c r="D527" s="120"/>
      <c r="E527" s="120"/>
      <c r="F527" s="120"/>
      <c r="G527" s="102"/>
      <c r="H527" s="120"/>
      <c r="I527" s="120"/>
      <c r="J527" s="120"/>
      <c r="K527" s="120"/>
      <c r="L527" s="120"/>
      <c r="M527" s="120"/>
      <c r="N527" s="120"/>
      <c r="O527" s="120"/>
      <c r="P527" s="120"/>
      <c r="Q527" s="120"/>
      <c r="R527" s="120"/>
      <c r="S527" s="120"/>
      <c r="T527" s="120"/>
      <c r="U527" s="120"/>
      <c r="V527" s="120"/>
      <c r="W527" s="120"/>
      <c r="X527" s="120"/>
      <c r="Y527" s="120"/>
      <c r="Z527" s="120"/>
      <c r="AA527" s="120"/>
      <c r="AB527" s="120"/>
    </row>
    <row r="528" spans="1:28" ht="15.75" customHeight="1" x14ac:dyDescent="0.55000000000000004">
      <c r="A528" s="120"/>
      <c r="B528" s="120"/>
      <c r="C528" s="120"/>
      <c r="D528" s="120"/>
      <c r="E528" s="120"/>
      <c r="F528" s="120"/>
      <c r="G528" s="102"/>
      <c r="H528" s="120"/>
      <c r="I528" s="120"/>
      <c r="J528" s="120"/>
      <c r="K528" s="120"/>
      <c r="L528" s="120"/>
      <c r="M528" s="120"/>
      <c r="N528" s="120"/>
      <c r="O528" s="120"/>
      <c r="P528" s="120"/>
      <c r="Q528" s="120"/>
      <c r="R528" s="120"/>
      <c r="S528" s="120"/>
      <c r="T528" s="120"/>
      <c r="U528" s="120"/>
      <c r="V528" s="120"/>
      <c r="W528" s="120"/>
      <c r="X528" s="120"/>
      <c r="Y528" s="120"/>
      <c r="Z528" s="120"/>
      <c r="AA528" s="120"/>
      <c r="AB528" s="120"/>
    </row>
    <row r="529" spans="1:28" ht="15.75" customHeight="1" x14ac:dyDescent="0.55000000000000004">
      <c r="A529" s="120"/>
      <c r="B529" s="120"/>
      <c r="C529" s="120"/>
      <c r="D529" s="120"/>
      <c r="E529" s="120"/>
      <c r="F529" s="120"/>
      <c r="G529" s="102"/>
      <c r="H529" s="120"/>
      <c r="I529" s="120"/>
      <c r="J529" s="120"/>
      <c r="K529" s="120"/>
      <c r="L529" s="120"/>
      <c r="M529" s="120"/>
      <c r="N529" s="120"/>
      <c r="O529" s="120"/>
      <c r="P529" s="120"/>
      <c r="Q529" s="120"/>
      <c r="R529" s="120"/>
      <c r="S529" s="120"/>
      <c r="T529" s="120"/>
      <c r="U529" s="120"/>
      <c r="V529" s="120"/>
      <c r="W529" s="120"/>
      <c r="X529" s="120"/>
      <c r="Y529" s="120"/>
      <c r="Z529" s="120"/>
      <c r="AA529" s="120"/>
      <c r="AB529" s="120"/>
    </row>
    <row r="530" spans="1:28" ht="15.75" customHeight="1" x14ac:dyDescent="0.55000000000000004">
      <c r="A530" s="120"/>
      <c r="B530" s="120"/>
      <c r="C530" s="120"/>
      <c r="D530" s="120"/>
      <c r="E530" s="120"/>
      <c r="F530" s="120"/>
      <c r="G530" s="102"/>
      <c r="H530" s="120"/>
      <c r="I530" s="120"/>
      <c r="J530" s="120"/>
      <c r="K530" s="120"/>
      <c r="L530" s="120"/>
      <c r="M530" s="120"/>
      <c r="N530" s="120"/>
      <c r="O530" s="120"/>
      <c r="P530" s="120"/>
      <c r="Q530" s="120"/>
      <c r="R530" s="120"/>
      <c r="S530" s="120"/>
      <c r="T530" s="120"/>
      <c r="U530" s="120"/>
      <c r="V530" s="120"/>
      <c r="W530" s="120"/>
      <c r="X530" s="120"/>
      <c r="Y530" s="120"/>
      <c r="Z530" s="120"/>
      <c r="AA530" s="120"/>
      <c r="AB530" s="120"/>
    </row>
    <row r="531" spans="1:28" ht="15.75" customHeight="1" x14ac:dyDescent="0.55000000000000004">
      <c r="A531" s="120"/>
      <c r="B531" s="120"/>
      <c r="C531" s="120"/>
      <c r="D531" s="120"/>
      <c r="E531" s="120"/>
      <c r="F531" s="120"/>
      <c r="G531" s="102"/>
      <c r="H531" s="120"/>
      <c r="I531" s="120"/>
      <c r="J531" s="120"/>
      <c r="K531" s="120"/>
      <c r="L531" s="120"/>
      <c r="M531" s="120"/>
      <c r="N531" s="120"/>
      <c r="O531" s="120"/>
      <c r="P531" s="120"/>
      <c r="Q531" s="120"/>
      <c r="R531" s="120"/>
      <c r="S531" s="120"/>
      <c r="T531" s="120"/>
      <c r="U531" s="120"/>
      <c r="V531" s="120"/>
      <c r="W531" s="120"/>
      <c r="X531" s="120"/>
      <c r="Y531" s="120"/>
      <c r="Z531" s="120"/>
      <c r="AA531" s="120"/>
      <c r="AB531" s="120"/>
    </row>
    <row r="532" spans="1:28" ht="15.75" customHeight="1" x14ac:dyDescent="0.55000000000000004">
      <c r="A532" s="120"/>
      <c r="B532" s="120"/>
      <c r="C532" s="120"/>
      <c r="D532" s="120"/>
      <c r="E532" s="120"/>
      <c r="F532" s="120"/>
      <c r="G532" s="102"/>
      <c r="H532" s="120"/>
      <c r="I532" s="120"/>
      <c r="J532" s="120"/>
      <c r="K532" s="120"/>
      <c r="L532" s="120"/>
      <c r="M532" s="120"/>
      <c r="N532" s="120"/>
      <c r="O532" s="120"/>
      <c r="P532" s="120"/>
      <c r="Q532" s="120"/>
      <c r="R532" s="120"/>
      <c r="S532" s="120"/>
      <c r="T532" s="120"/>
      <c r="U532" s="120"/>
      <c r="V532" s="120"/>
      <c r="W532" s="120"/>
      <c r="X532" s="120"/>
      <c r="Y532" s="120"/>
      <c r="Z532" s="120"/>
      <c r="AA532" s="120"/>
      <c r="AB532" s="120"/>
    </row>
    <row r="533" spans="1:28" ht="15.75" customHeight="1" x14ac:dyDescent="0.55000000000000004">
      <c r="A533" s="120"/>
      <c r="B533" s="120"/>
      <c r="C533" s="120"/>
      <c r="D533" s="120"/>
      <c r="E533" s="120"/>
      <c r="F533" s="120"/>
      <c r="G533" s="102"/>
      <c r="H533" s="120"/>
      <c r="I533" s="120"/>
      <c r="J533" s="120"/>
      <c r="K533" s="120"/>
      <c r="L533" s="120"/>
      <c r="M533" s="120"/>
      <c r="N533" s="120"/>
      <c r="O533" s="120"/>
      <c r="P533" s="120"/>
      <c r="Q533" s="120"/>
      <c r="R533" s="120"/>
      <c r="S533" s="120"/>
      <c r="T533" s="120"/>
      <c r="U533" s="120"/>
      <c r="V533" s="120"/>
      <c r="W533" s="120"/>
      <c r="X533" s="120"/>
      <c r="Y533" s="120"/>
      <c r="Z533" s="120"/>
      <c r="AA533" s="120"/>
      <c r="AB533" s="120"/>
    </row>
    <row r="534" spans="1:28" ht="15.75" customHeight="1" x14ac:dyDescent="0.55000000000000004">
      <c r="A534" s="120"/>
      <c r="B534" s="120"/>
      <c r="C534" s="120"/>
      <c r="D534" s="120"/>
      <c r="E534" s="120"/>
      <c r="F534" s="120"/>
      <c r="G534" s="102"/>
      <c r="H534" s="120"/>
      <c r="I534" s="120"/>
      <c r="J534" s="120"/>
      <c r="K534" s="120"/>
      <c r="L534" s="120"/>
      <c r="M534" s="120"/>
      <c r="N534" s="120"/>
      <c r="O534" s="120"/>
      <c r="P534" s="120"/>
      <c r="Q534" s="120"/>
      <c r="R534" s="120"/>
      <c r="S534" s="120"/>
      <c r="T534" s="120"/>
      <c r="U534" s="120"/>
      <c r="V534" s="120"/>
      <c r="W534" s="120"/>
      <c r="X534" s="120"/>
      <c r="Y534" s="120"/>
      <c r="Z534" s="120"/>
      <c r="AA534" s="120"/>
      <c r="AB534" s="120"/>
    </row>
    <row r="535" spans="1:28" ht="15.75" customHeight="1" x14ac:dyDescent="0.55000000000000004">
      <c r="A535" s="120"/>
      <c r="B535" s="120"/>
      <c r="C535" s="120"/>
      <c r="D535" s="120"/>
      <c r="E535" s="120"/>
      <c r="F535" s="120"/>
      <c r="G535" s="102"/>
      <c r="H535" s="120"/>
      <c r="I535" s="120"/>
      <c r="J535" s="120"/>
      <c r="K535" s="120"/>
      <c r="L535" s="120"/>
      <c r="M535" s="120"/>
      <c r="N535" s="120"/>
      <c r="O535" s="120"/>
      <c r="P535" s="120"/>
      <c r="Q535" s="120"/>
      <c r="R535" s="120"/>
      <c r="S535" s="120"/>
      <c r="T535" s="120"/>
      <c r="U535" s="120"/>
      <c r="V535" s="120"/>
      <c r="W535" s="120"/>
      <c r="X535" s="120"/>
      <c r="Y535" s="120"/>
      <c r="Z535" s="120"/>
      <c r="AA535" s="120"/>
      <c r="AB535" s="120"/>
    </row>
    <row r="536" spans="1:28" ht="15.75" customHeight="1" x14ac:dyDescent="0.55000000000000004">
      <c r="A536" s="120"/>
      <c r="B536" s="120"/>
      <c r="C536" s="120"/>
      <c r="D536" s="120"/>
      <c r="E536" s="120"/>
      <c r="F536" s="120"/>
      <c r="G536" s="102"/>
      <c r="H536" s="120"/>
      <c r="I536" s="120"/>
      <c r="J536" s="120"/>
      <c r="K536" s="120"/>
      <c r="L536" s="120"/>
      <c r="M536" s="120"/>
      <c r="N536" s="120"/>
      <c r="O536" s="120"/>
      <c r="P536" s="120"/>
      <c r="Q536" s="120"/>
      <c r="R536" s="120"/>
      <c r="S536" s="120"/>
      <c r="T536" s="120"/>
      <c r="U536" s="120"/>
      <c r="V536" s="120"/>
      <c r="W536" s="120"/>
      <c r="X536" s="120"/>
      <c r="Y536" s="120"/>
      <c r="Z536" s="120"/>
      <c r="AA536" s="120"/>
      <c r="AB536" s="120"/>
    </row>
    <row r="537" spans="1:28" ht="15.75" customHeight="1" x14ac:dyDescent="0.55000000000000004">
      <c r="A537" s="120"/>
      <c r="B537" s="120"/>
      <c r="C537" s="120"/>
      <c r="D537" s="120"/>
      <c r="E537" s="120"/>
      <c r="F537" s="120"/>
      <c r="G537" s="102"/>
      <c r="H537" s="120"/>
      <c r="I537" s="120"/>
      <c r="J537" s="120"/>
      <c r="K537" s="120"/>
      <c r="L537" s="120"/>
      <c r="M537" s="120"/>
      <c r="N537" s="120"/>
      <c r="O537" s="120"/>
      <c r="P537" s="120"/>
      <c r="Q537" s="120"/>
      <c r="R537" s="120"/>
      <c r="S537" s="120"/>
      <c r="T537" s="120"/>
      <c r="U537" s="120"/>
      <c r="V537" s="120"/>
      <c r="W537" s="120"/>
      <c r="X537" s="120"/>
      <c r="Y537" s="120"/>
      <c r="Z537" s="120"/>
      <c r="AA537" s="120"/>
      <c r="AB537" s="120"/>
    </row>
    <row r="538" spans="1:28" ht="15.75" customHeight="1" x14ac:dyDescent="0.55000000000000004">
      <c r="A538" s="120"/>
      <c r="B538" s="120"/>
      <c r="C538" s="120"/>
      <c r="D538" s="120"/>
      <c r="E538" s="120"/>
      <c r="F538" s="120"/>
      <c r="G538" s="102"/>
      <c r="H538" s="120"/>
      <c r="I538" s="120"/>
      <c r="J538" s="120"/>
      <c r="K538" s="120"/>
      <c r="L538" s="120"/>
      <c r="M538" s="120"/>
      <c r="N538" s="120"/>
      <c r="O538" s="120"/>
      <c r="P538" s="120"/>
      <c r="Q538" s="120"/>
      <c r="R538" s="120"/>
      <c r="S538" s="120"/>
      <c r="T538" s="120"/>
      <c r="U538" s="120"/>
      <c r="V538" s="120"/>
      <c r="W538" s="120"/>
      <c r="X538" s="120"/>
      <c r="Y538" s="120"/>
      <c r="Z538" s="120"/>
      <c r="AA538" s="120"/>
      <c r="AB538" s="120"/>
    </row>
    <row r="539" spans="1:28" ht="15.75" customHeight="1" x14ac:dyDescent="0.55000000000000004">
      <c r="A539" s="120"/>
      <c r="B539" s="120"/>
      <c r="C539" s="120"/>
      <c r="D539" s="120"/>
      <c r="E539" s="120"/>
      <c r="F539" s="120"/>
      <c r="G539" s="102"/>
      <c r="H539" s="120"/>
      <c r="I539" s="120"/>
      <c r="J539" s="120"/>
      <c r="K539" s="120"/>
      <c r="L539" s="120"/>
      <c r="M539" s="120"/>
      <c r="N539" s="120"/>
      <c r="O539" s="120"/>
      <c r="P539" s="120"/>
      <c r="Q539" s="120"/>
      <c r="R539" s="120"/>
      <c r="S539" s="120"/>
      <c r="T539" s="120"/>
      <c r="U539" s="120"/>
      <c r="V539" s="120"/>
      <c r="W539" s="120"/>
      <c r="X539" s="120"/>
      <c r="Y539" s="120"/>
      <c r="Z539" s="120"/>
      <c r="AA539" s="120"/>
      <c r="AB539" s="120"/>
    </row>
    <row r="540" spans="1:28" ht="15.75" customHeight="1" x14ac:dyDescent="0.55000000000000004">
      <c r="A540" s="120"/>
      <c r="B540" s="120"/>
      <c r="C540" s="120"/>
      <c r="D540" s="120"/>
      <c r="E540" s="120"/>
      <c r="F540" s="120"/>
      <c r="G540" s="102"/>
      <c r="H540" s="120"/>
      <c r="I540" s="120"/>
      <c r="J540" s="120"/>
      <c r="K540" s="120"/>
      <c r="L540" s="120"/>
      <c r="M540" s="120"/>
      <c r="N540" s="120"/>
      <c r="O540" s="120"/>
      <c r="P540" s="120"/>
      <c r="Q540" s="120"/>
      <c r="R540" s="120"/>
      <c r="S540" s="120"/>
      <c r="T540" s="120"/>
      <c r="U540" s="120"/>
      <c r="V540" s="120"/>
      <c r="W540" s="120"/>
      <c r="X540" s="120"/>
      <c r="Y540" s="120"/>
      <c r="Z540" s="120"/>
      <c r="AA540" s="120"/>
      <c r="AB540" s="120"/>
    </row>
    <row r="541" spans="1:28" ht="15.75" customHeight="1" x14ac:dyDescent="0.55000000000000004">
      <c r="A541" s="120"/>
      <c r="B541" s="120"/>
      <c r="C541" s="120"/>
      <c r="D541" s="120"/>
      <c r="E541" s="120"/>
      <c r="F541" s="120"/>
      <c r="G541" s="102"/>
      <c r="H541" s="120"/>
      <c r="I541" s="120"/>
      <c r="J541" s="120"/>
      <c r="K541" s="120"/>
      <c r="L541" s="120"/>
      <c r="M541" s="120"/>
      <c r="N541" s="120"/>
      <c r="O541" s="120"/>
      <c r="P541" s="120"/>
      <c r="Q541" s="120"/>
      <c r="R541" s="120"/>
      <c r="S541" s="120"/>
      <c r="T541" s="120"/>
      <c r="U541" s="120"/>
      <c r="V541" s="120"/>
      <c r="W541" s="120"/>
      <c r="X541" s="120"/>
      <c r="Y541" s="120"/>
      <c r="Z541" s="120"/>
      <c r="AA541" s="120"/>
      <c r="AB541" s="120"/>
    </row>
    <row r="542" spans="1:28" ht="15.75" customHeight="1" x14ac:dyDescent="0.55000000000000004">
      <c r="A542" s="120"/>
      <c r="B542" s="120"/>
      <c r="C542" s="120"/>
      <c r="D542" s="120"/>
      <c r="E542" s="120"/>
      <c r="F542" s="120"/>
      <c r="G542" s="102"/>
      <c r="H542" s="120"/>
      <c r="I542" s="120"/>
      <c r="J542" s="120"/>
      <c r="K542" s="120"/>
      <c r="L542" s="120"/>
      <c r="M542" s="120"/>
      <c r="N542" s="120"/>
      <c r="O542" s="120"/>
      <c r="P542" s="120"/>
      <c r="Q542" s="120"/>
      <c r="R542" s="120"/>
      <c r="S542" s="120"/>
      <c r="T542" s="120"/>
      <c r="U542" s="120"/>
      <c r="V542" s="120"/>
      <c r="W542" s="120"/>
      <c r="X542" s="120"/>
      <c r="Y542" s="120"/>
      <c r="Z542" s="120"/>
      <c r="AA542" s="120"/>
      <c r="AB542" s="120"/>
    </row>
    <row r="543" spans="1:28" ht="15.75" customHeight="1" x14ac:dyDescent="0.55000000000000004">
      <c r="A543" s="120"/>
      <c r="B543" s="120"/>
      <c r="C543" s="120"/>
      <c r="D543" s="120"/>
      <c r="E543" s="120"/>
      <c r="F543" s="120"/>
      <c r="G543" s="102"/>
      <c r="H543" s="120"/>
      <c r="I543" s="120"/>
      <c r="J543" s="120"/>
      <c r="K543" s="120"/>
      <c r="L543" s="120"/>
      <c r="M543" s="120"/>
      <c r="N543" s="120"/>
      <c r="O543" s="120"/>
      <c r="P543" s="120"/>
      <c r="Q543" s="120"/>
      <c r="R543" s="120"/>
      <c r="S543" s="120"/>
      <c r="T543" s="120"/>
      <c r="U543" s="120"/>
      <c r="V543" s="120"/>
      <c r="W543" s="120"/>
      <c r="X543" s="120"/>
      <c r="Y543" s="120"/>
      <c r="Z543" s="120"/>
      <c r="AA543" s="120"/>
      <c r="AB543" s="120"/>
    </row>
    <row r="544" spans="1:28" ht="15.75" customHeight="1" x14ac:dyDescent="0.55000000000000004">
      <c r="A544" s="120"/>
      <c r="B544" s="120"/>
      <c r="C544" s="120"/>
      <c r="D544" s="120"/>
      <c r="E544" s="120"/>
      <c r="F544" s="120"/>
      <c r="G544" s="102"/>
      <c r="H544" s="120"/>
      <c r="I544" s="120"/>
      <c r="J544" s="120"/>
      <c r="K544" s="120"/>
      <c r="L544" s="120"/>
      <c r="M544" s="120"/>
      <c r="N544" s="120"/>
      <c r="O544" s="120"/>
      <c r="P544" s="120"/>
      <c r="Q544" s="120"/>
      <c r="R544" s="120"/>
      <c r="S544" s="120"/>
      <c r="T544" s="120"/>
      <c r="U544" s="120"/>
      <c r="V544" s="120"/>
      <c r="W544" s="120"/>
      <c r="X544" s="120"/>
      <c r="Y544" s="120"/>
      <c r="Z544" s="120"/>
      <c r="AA544" s="120"/>
      <c r="AB544" s="120"/>
    </row>
    <row r="545" spans="1:28" ht="15.75" customHeight="1" x14ac:dyDescent="0.55000000000000004">
      <c r="A545" s="120"/>
      <c r="B545" s="120"/>
      <c r="C545" s="120"/>
      <c r="D545" s="120"/>
      <c r="E545" s="120"/>
      <c r="F545" s="120"/>
      <c r="G545" s="102"/>
      <c r="H545" s="120"/>
      <c r="I545" s="120"/>
      <c r="J545" s="120"/>
      <c r="K545" s="120"/>
      <c r="L545" s="120"/>
      <c r="M545" s="120"/>
      <c r="N545" s="120"/>
      <c r="O545" s="120"/>
      <c r="P545" s="120"/>
      <c r="Q545" s="120"/>
      <c r="R545" s="120"/>
      <c r="S545" s="120"/>
      <c r="T545" s="120"/>
      <c r="U545" s="120"/>
      <c r="V545" s="120"/>
      <c r="W545" s="120"/>
      <c r="X545" s="120"/>
      <c r="Y545" s="120"/>
      <c r="Z545" s="120"/>
      <c r="AA545" s="120"/>
      <c r="AB545" s="120"/>
    </row>
    <row r="546" spans="1:28" ht="15.75" customHeight="1" x14ac:dyDescent="0.55000000000000004">
      <c r="A546" s="120"/>
      <c r="B546" s="120"/>
      <c r="C546" s="120"/>
      <c r="D546" s="120"/>
      <c r="E546" s="120"/>
      <c r="F546" s="120"/>
      <c r="G546" s="102"/>
      <c r="H546" s="120"/>
      <c r="I546" s="120"/>
      <c r="J546" s="120"/>
      <c r="K546" s="120"/>
      <c r="L546" s="120"/>
      <c r="M546" s="120"/>
      <c r="N546" s="120"/>
      <c r="O546" s="120"/>
      <c r="P546" s="120"/>
      <c r="Q546" s="120"/>
      <c r="R546" s="120"/>
      <c r="S546" s="120"/>
      <c r="T546" s="120"/>
      <c r="U546" s="120"/>
      <c r="V546" s="120"/>
      <c r="W546" s="120"/>
      <c r="X546" s="120"/>
      <c r="Y546" s="120"/>
      <c r="Z546" s="120"/>
      <c r="AA546" s="120"/>
      <c r="AB546" s="120"/>
    </row>
    <row r="547" spans="1:28" ht="15.75" customHeight="1" x14ac:dyDescent="0.55000000000000004">
      <c r="A547" s="120"/>
      <c r="B547" s="120"/>
      <c r="C547" s="120"/>
      <c r="D547" s="120"/>
      <c r="E547" s="120"/>
      <c r="F547" s="120"/>
      <c r="G547" s="102"/>
      <c r="H547" s="120"/>
      <c r="I547" s="120"/>
      <c r="J547" s="120"/>
      <c r="K547" s="120"/>
      <c r="L547" s="120"/>
      <c r="M547" s="120"/>
      <c r="N547" s="120"/>
      <c r="O547" s="120"/>
      <c r="P547" s="120"/>
      <c r="Q547" s="120"/>
      <c r="R547" s="120"/>
      <c r="S547" s="120"/>
      <c r="T547" s="120"/>
      <c r="U547" s="120"/>
      <c r="V547" s="120"/>
      <c r="W547" s="120"/>
      <c r="X547" s="120"/>
      <c r="Y547" s="120"/>
      <c r="Z547" s="120"/>
      <c r="AA547" s="120"/>
      <c r="AB547" s="120"/>
    </row>
    <row r="548" spans="1:28" ht="15.75" customHeight="1" x14ac:dyDescent="0.55000000000000004">
      <c r="A548" s="120"/>
      <c r="B548" s="120"/>
      <c r="C548" s="120"/>
      <c r="D548" s="120"/>
      <c r="E548" s="120"/>
      <c r="F548" s="120"/>
      <c r="G548" s="102"/>
      <c r="H548" s="120"/>
      <c r="I548" s="120"/>
      <c r="J548" s="120"/>
      <c r="K548" s="120"/>
      <c r="L548" s="120"/>
      <c r="M548" s="120"/>
      <c r="N548" s="120"/>
      <c r="O548" s="120"/>
      <c r="P548" s="120"/>
      <c r="Q548" s="120"/>
      <c r="R548" s="120"/>
      <c r="S548" s="120"/>
      <c r="T548" s="120"/>
      <c r="U548" s="120"/>
      <c r="V548" s="120"/>
      <c r="W548" s="120"/>
      <c r="X548" s="120"/>
      <c r="Y548" s="120"/>
      <c r="Z548" s="120"/>
      <c r="AA548" s="120"/>
      <c r="AB548" s="120"/>
    </row>
    <row r="549" spans="1:28" ht="15.75" customHeight="1" x14ac:dyDescent="0.55000000000000004">
      <c r="A549" s="120"/>
      <c r="B549" s="120"/>
      <c r="C549" s="120"/>
      <c r="D549" s="120"/>
      <c r="E549" s="120"/>
      <c r="F549" s="120"/>
      <c r="G549" s="102"/>
      <c r="H549" s="120"/>
      <c r="I549" s="120"/>
      <c r="J549" s="120"/>
      <c r="K549" s="120"/>
      <c r="L549" s="120"/>
      <c r="M549" s="120"/>
      <c r="N549" s="120"/>
      <c r="O549" s="120"/>
      <c r="P549" s="120"/>
      <c r="Q549" s="120"/>
      <c r="R549" s="120"/>
      <c r="S549" s="120"/>
      <c r="T549" s="120"/>
      <c r="U549" s="120"/>
      <c r="V549" s="120"/>
      <c r="W549" s="120"/>
      <c r="X549" s="120"/>
      <c r="Y549" s="120"/>
      <c r="Z549" s="120"/>
      <c r="AA549" s="120"/>
      <c r="AB549" s="120"/>
    </row>
    <row r="550" spans="1:28" ht="15.75" customHeight="1" x14ac:dyDescent="0.55000000000000004">
      <c r="A550" s="120"/>
      <c r="B550" s="120"/>
      <c r="C550" s="120"/>
      <c r="D550" s="120"/>
      <c r="E550" s="120"/>
      <c r="F550" s="120"/>
      <c r="G550" s="102"/>
      <c r="H550" s="120"/>
      <c r="I550" s="120"/>
      <c r="J550" s="120"/>
      <c r="K550" s="120"/>
      <c r="L550" s="120"/>
      <c r="M550" s="120"/>
      <c r="N550" s="120"/>
      <c r="O550" s="120"/>
      <c r="P550" s="120"/>
      <c r="Q550" s="120"/>
      <c r="R550" s="120"/>
      <c r="S550" s="120"/>
      <c r="T550" s="120"/>
      <c r="U550" s="120"/>
      <c r="V550" s="120"/>
      <c r="W550" s="120"/>
      <c r="X550" s="120"/>
      <c r="Y550" s="120"/>
      <c r="Z550" s="120"/>
      <c r="AA550" s="120"/>
      <c r="AB550" s="120"/>
    </row>
    <row r="551" spans="1:28" ht="15.75" customHeight="1" x14ac:dyDescent="0.55000000000000004">
      <c r="A551" s="120"/>
      <c r="B551" s="120"/>
      <c r="C551" s="120"/>
      <c r="D551" s="120"/>
      <c r="E551" s="120"/>
      <c r="F551" s="120"/>
      <c r="G551" s="102"/>
      <c r="H551" s="120"/>
      <c r="I551" s="120"/>
      <c r="J551" s="120"/>
      <c r="K551" s="120"/>
      <c r="L551" s="120"/>
      <c r="M551" s="120"/>
      <c r="N551" s="120"/>
      <c r="O551" s="120"/>
      <c r="P551" s="120"/>
      <c r="Q551" s="120"/>
      <c r="R551" s="120"/>
      <c r="S551" s="120"/>
      <c r="T551" s="120"/>
      <c r="U551" s="120"/>
      <c r="V551" s="120"/>
      <c r="W551" s="120"/>
      <c r="X551" s="120"/>
      <c r="Y551" s="120"/>
      <c r="Z551" s="120"/>
      <c r="AA551" s="120"/>
      <c r="AB551" s="120"/>
    </row>
    <row r="552" spans="1:28" ht="15.75" customHeight="1" x14ac:dyDescent="0.55000000000000004">
      <c r="A552" s="120"/>
      <c r="B552" s="120"/>
      <c r="C552" s="120"/>
      <c r="D552" s="120"/>
      <c r="E552" s="120"/>
      <c r="F552" s="120"/>
      <c r="G552" s="102"/>
      <c r="H552" s="120"/>
      <c r="I552" s="120"/>
      <c r="J552" s="120"/>
      <c r="K552" s="120"/>
      <c r="L552" s="120"/>
      <c r="M552" s="120"/>
      <c r="N552" s="120"/>
      <c r="O552" s="120"/>
      <c r="P552" s="120"/>
      <c r="Q552" s="120"/>
      <c r="R552" s="120"/>
      <c r="S552" s="120"/>
      <c r="T552" s="120"/>
      <c r="U552" s="120"/>
      <c r="V552" s="120"/>
      <c r="W552" s="120"/>
      <c r="X552" s="120"/>
      <c r="Y552" s="120"/>
      <c r="Z552" s="120"/>
      <c r="AA552" s="120"/>
      <c r="AB552" s="120"/>
    </row>
    <row r="553" spans="1:28" ht="15.75" customHeight="1" x14ac:dyDescent="0.55000000000000004">
      <c r="A553" s="120"/>
      <c r="B553" s="120"/>
      <c r="C553" s="120"/>
      <c r="D553" s="120"/>
      <c r="E553" s="120"/>
      <c r="F553" s="120"/>
      <c r="G553" s="102"/>
      <c r="H553" s="120"/>
      <c r="I553" s="120"/>
      <c r="J553" s="120"/>
      <c r="K553" s="120"/>
      <c r="L553" s="120"/>
      <c r="M553" s="120"/>
      <c r="N553" s="120"/>
      <c r="O553" s="120"/>
      <c r="P553" s="120"/>
      <c r="Q553" s="120"/>
      <c r="R553" s="120"/>
      <c r="S553" s="120"/>
      <c r="T553" s="120"/>
      <c r="U553" s="120"/>
      <c r="V553" s="120"/>
      <c r="W553" s="120"/>
      <c r="X553" s="120"/>
      <c r="Y553" s="120"/>
      <c r="Z553" s="120"/>
      <c r="AA553" s="120"/>
      <c r="AB553" s="120"/>
    </row>
    <row r="554" spans="1:28" ht="15.75" customHeight="1" x14ac:dyDescent="0.55000000000000004">
      <c r="A554" s="120"/>
      <c r="B554" s="120"/>
      <c r="C554" s="120"/>
      <c r="D554" s="120"/>
      <c r="E554" s="120"/>
      <c r="F554" s="120"/>
      <c r="G554" s="102"/>
      <c r="H554" s="120"/>
      <c r="I554" s="120"/>
      <c r="J554" s="120"/>
      <c r="K554" s="120"/>
      <c r="L554" s="120"/>
      <c r="M554" s="120"/>
      <c r="N554" s="120"/>
      <c r="O554" s="120"/>
      <c r="P554" s="120"/>
      <c r="Q554" s="120"/>
      <c r="R554" s="120"/>
      <c r="S554" s="120"/>
      <c r="T554" s="120"/>
      <c r="U554" s="120"/>
      <c r="V554" s="120"/>
      <c r="W554" s="120"/>
      <c r="X554" s="120"/>
      <c r="Y554" s="120"/>
      <c r="Z554" s="120"/>
      <c r="AA554" s="120"/>
      <c r="AB554" s="120"/>
    </row>
    <row r="555" spans="1:28" ht="15.75" customHeight="1" x14ac:dyDescent="0.55000000000000004">
      <c r="A555" s="120"/>
      <c r="B555" s="120"/>
      <c r="C555" s="120"/>
      <c r="D555" s="120"/>
      <c r="E555" s="120"/>
      <c r="F555" s="120"/>
      <c r="G555" s="102"/>
      <c r="H555" s="120"/>
      <c r="I555" s="120"/>
      <c r="J555" s="120"/>
      <c r="K555" s="120"/>
      <c r="L555" s="120"/>
      <c r="M555" s="120"/>
      <c r="N555" s="120"/>
      <c r="O555" s="120"/>
      <c r="P555" s="120"/>
      <c r="Q555" s="120"/>
      <c r="R555" s="120"/>
      <c r="S555" s="120"/>
      <c r="T555" s="120"/>
      <c r="U555" s="120"/>
      <c r="V555" s="120"/>
      <c r="W555" s="120"/>
      <c r="X555" s="120"/>
      <c r="Y555" s="120"/>
      <c r="Z555" s="120"/>
      <c r="AA555" s="120"/>
      <c r="AB555" s="120"/>
    </row>
    <row r="556" spans="1:28" ht="15.75" customHeight="1" x14ac:dyDescent="0.55000000000000004">
      <c r="A556" s="120"/>
      <c r="B556" s="120"/>
      <c r="C556" s="120"/>
      <c r="D556" s="120"/>
      <c r="E556" s="120"/>
      <c r="F556" s="120"/>
      <c r="G556" s="102"/>
      <c r="H556" s="120"/>
      <c r="I556" s="120"/>
      <c r="J556" s="120"/>
      <c r="K556" s="120"/>
      <c r="L556" s="120"/>
      <c r="M556" s="120"/>
      <c r="N556" s="120"/>
      <c r="O556" s="120"/>
      <c r="P556" s="120"/>
      <c r="Q556" s="120"/>
      <c r="R556" s="120"/>
      <c r="S556" s="120"/>
      <c r="T556" s="120"/>
      <c r="U556" s="120"/>
      <c r="V556" s="120"/>
      <c r="W556" s="120"/>
      <c r="X556" s="120"/>
      <c r="Y556" s="120"/>
      <c r="Z556" s="120"/>
      <c r="AA556" s="120"/>
      <c r="AB556" s="120"/>
    </row>
    <row r="557" spans="1:28" ht="15.75" customHeight="1" x14ac:dyDescent="0.55000000000000004">
      <c r="A557" s="120"/>
      <c r="B557" s="120"/>
      <c r="C557" s="120"/>
      <c r="D557" s="120"/>
      <c r="E557" s="120"/>
      <c r="F557" s="120"/>
      <c r="G557" s="102"/>
      <c r="H557" s="120"/>
      <c r="I557" s="120"/>
      <c r="J557" s="120"/>
      <c r="K557" s="120"/>
      <c r="L557" s="120"/>
      <c r="M557" s="120"/>
      <c r="N557" s="120"/>
      <c r="O557" s="120"/>
      <c r="P557" s="120"/>
      <c r="Q557" s="120"/>
      <c r="R557" s="120"/>
      <c r="S557" s="120"/>
      <c r="T557" s="120"/>
      <c r="U557" s="120"/>
      <c r="V557" s="120"/>
      <c r="W557" s="120"/>
      <c r="X557" s="120"/>
      <c r="Y557" s="120"/>
      <c r="Z557" s="120"/>
      <c r="AA557" s="120"/>
      <c r="AB557" s="120"/>
    </row>
    <row r="558" spans="1:28" ht="15.75" customHeight="1" x14ac:dyDescent="0.55000000000000004">
      <c r="A558" s="120"/>
      <c r="B558" s="120"/>
      <c r="C558" s="120"/>
      <c r="D558" s="120"/>
      <c r="E558" s="120"/>
      <c r="F558" s="120"/>
      <c r="G558" s="102"/>
      <c r="H558" s="120"/>
      <c r="I558" s="120"/>
      <c r="J558" s="120"/>
      <c r="K558" s="120"/>
      <c r="L558" s="120"/>
      <c r="M558" s="120"/>
      <c r="N558" s="120"/>
      <c r="O558" s="120"/>
      <c r="P558" s="120"/>
      <c r="Q558" s="120"/>
      <c r="R558" s="120"/>
      <c r="S558" s="120"/>
      <c r="T558" s="120"/>
      <c r="U558" s="120"/>
      <c r="V558" s="120"/>
      <c r="W558" s="120"/>
      <c r="X558" s="120"/>
      <c r="Y558" s="120"/>
      <c r="Z558" s="120"/>
      <c r="AA558" s="120"/>
      <c r="AB558" s="120"/>
    </row>
    <row r="559" spans="1:28" ht="15.75" customHeight="1" x14ac:dyDescent="0.55000000000000004">
      <c r="A559" s="120"/>
      <c r="B559" s="120"/>
      <c r="C559" s="120"/>
      <c r="D559" s="120"/>
      <c r="E559" s="120"/>
      <c r="F559" s="120"/>
      <c r="G559" s="102"/>
      <c r="H559" s="120"/>
      <c r="I559" s="120"/>
      <c r="J559" s="120"/>
      <c r="K559" s="120"/>
      <c r="L559" s="120"/>
      <c r="M559" s="120"/>
      <c r="N559" s="120"/>
      <c r="O559" s="120"/>
      <c r="P559" s="120"/>
      <c r="Q559" s="120"/>
      <c r="R559" s="120"/>
      <c r="S559" s="120"/>
      <c r="T559" s="120"/>
      <c r="U559" s="120"/>
      <c r="V559" s="120"/>
      <c r="W559" s="120"/>
      <c r="X559" s="120"/>
      <c r="Y559" s="120"/>
      <c r="Z559" s="120"/>
      <c r="AA559" s="120"/>
      <c r="AB559" s="120"/>
    </row>
    <row r="560" spans="1:28" ht="15.75" customHeight="1" x14ac:dyDescent="0.55000000000000004">
      <c r="A560" s="120"/>
      <c r="B560" s="120"/>
      <c r="C560" s="120"/>
      <c r="D560" s="120"/>
      <c r="E560" s="120"/>
      <c r="F560" s="120"/>
      <c r="G560" s="102"/>
      <c r="H560" s="120"/>
      <c r="I560" s="120"/>
      <c r="J560" s="120"/>
      <c r="K560" s="120"/>
      <c r="L560" s="120"/>
      <c r="M560" s="120"/>
      <c r="N560" s="120"/>
      <c r="O560" s="120"/>
      <c r="P560" s="120"/>
      <c r="Q560" s="120"/>
      <c r="R560" s="120"/>
      <c r="S560" s="120"/>
      <c r="T560" s="120"/>
      <c r="U560" s="120"/>
      <c r="V560" s="120"/>
      <c r="W560" s="120"/>
      <c r="X560" s="120"/>
      <c r="Y560" s="120"/>
      <c r="Z560" s="120"/>
      <c r="AA560" s="120"/>
      <c r="AB560" s="120"/>
    </row>
    <row r="561" spans="1:28" ht="15.75" customHeight="1" x14ac:dyDescent="0.55000000000000004">
      <c r="A561" s="120"/>
      <c r="B561" s="120"/>
      <c r="C561" s="120"/>
      <c r="D561" s="120"/>
      <c r="E561" s="120"/>
      <c r="F561" s="120"/>
      <c r="G561" s="102"/>
      <c r="H561" s="120"/>
      <c r="I561" s="120"/>
      <c r="J561" s="120"/>
      <c r="K561" s="120"/>
      <c r="L561" s="120"/>
      <c r="M561" s="120"/>
      <c r="N561" s="120"/>
      <c r="O561" s="120"/>
      <c r="P561" s="120"/>
      <c r="Q561" s="120"/>
      <c r="R561" s="120"/>
      <c r="S561" s="120"/>
      <c r="T561" s="120"/>
      <c r="U561" s="120"/>
      <c r="V561" s="120"/>
      <c r="W561" s="120"/>
      <c r="X561" s="120"/>
      <c r="Y561" s="120"/>
      <c r="Z561" s="120"/>
      <c r="AA561" s="120"/>
      <c r="AB561" s="120"/>
    </row>
    <row r="562" spans="1:28" ht="15.75" customHeight="1" x14ac:dyDescent="0.55000000000000004">
      <c r="A562" s="120"/>
      <c r="B562" s="120"/>
      <c r="C562" s="120"/>
      <c r="D562" s="120"/>
      <c r="E562" s="120"/>
      <c r="F562" s="120"/>
      <c r="G562" s="102"/>
      <c r="H562" s="120"/>
      <c r="I562" s="120"/>
      <c r="J562" s="120"/>
      <c r="K562" s="120"/>
      <c r="L562" s="120"/>
      <c r="M562" s="120"/>
      <c r="N562" s="120"/>
      <c r="O562" s="120"/>
      <c r="P562" s="120"/>
      <c r="Q562" s="120"/>
      <c r="R562" s="120"/>
      <c r="S562" s="120"/>
      <c r="T562" s="120"/>
      <c r="U562" s="120"/>
      <c r="V562" s="120"/>
      <c r="W562" s="120"/>
      <c r="X562" s="120"/>
      <c r="Y562" s="120"/>
      <c r="Z562" s="120"/>
      <c r="AA562" s="120"/>
      <c r="AB562" s="120"/>
    </row>
    <row r="563" spans="1:28" ht="15.75" customHeight="1" x14ac:dyDescent="0.55000000000000004">
      <c r="A563" s="120"/>
      <c r="B563" s="120"/>
      <c r="C563" s="120"/>
      <c r="D563" s="120"/>
      <c r="E563" s="120"/>
      <c r="F563" s="120"/>
      <c r="G563" s="102"/>
      <c r="H563" s="120"/>
      <c r="I563" s="120"/>
      <c r="J563" s="120"/>
      <c r="K563" s="120"/>
      <c r="L563" s="120"/>
      <c r="M563" s="120"/>
      <c r="N563" s="120"/>
      <c r="O563" s="120"/>
      <c r="P563" s="120"/>
      <c r="Q563" s="120"/>
      <c r="R563" s="120"/>
      <c r="S563" s="120"/>
      <c r="T563" s="120"/>
      <c r="U563" s="120"/>
      <c r="V563" s="120"/>
      <c r="W563" s="120"/>
      <c r="X563" s="120"/>
      <c r="Y563" s="120"/>
      <c r="Z563" s="120"/>
      <c r="AA563" s="120"/>
      <c r="AB563" s="120"/>
    </row>
    <row r="564" spans="1:28" ht="15.75" customHeight="1" x14ac:dyDescent="0.55000000000000004">
      <c r="A564" s="120"/>
      <c r="B564" s="120"/>
      <c r="C564" s="120"/>
      <c r="D564" s="120"/>
      <c r="E564" s="120"/>
      <c r="F564" s="120"/>
      <c r="G564" s="102"/>
      <c r="H564" s="120"/>
      <c r="I564" s="120"/>
      <c r="J564" s="120"/>
      <c r="K564" s="120"/>
      <c r="L564" s="120"/>
      <c r="M564" s="120"/>
      <c r="N564" s="120"/>
      <c r="O564" s="120"/>
      <c r="P564" s="120"/>
      <c r="Q564" s="120"/>
      <c r="R564" s="120"/>
      <c r="S564" s="120"/>
      <c r="T564" s="120"/>
      <c r="U564" s="120"/>
      <c r="V564" s="120"/>
      <c r="W564" s="120"/>
      <c r="X564" s="120"/>
      <c r="Y564" s="120"/>
      <c r="Z564" s="120"/>
      <c r="AA564" s="120"/>
      <c r="AB564" s="120"/>
    </row>
    <row r="565" spans="1:28" ht="15.75" customHeight="1" x14ac:dyDescent="0.55000000000000004">
      <c r="A565" s="120"/>
      <c r="B565" s="120"/>
      <c r="C565" s="120"/>
      <c r="D565" s="120"/>
      <c r="E565" s="120"/>
      <c r="F565" s="120"/>
      <c r="G565" s="102"/>
      <c r="H565" s="120"/>
      <c r="I565" s="120"/>
      <c r="J565" s="120"/>
      <c r="K565" s="120"/>
      <c r="L565" s="120"/>
      <c r="M565" s="120"/>
      <c r="N565" s="120"/>
      <c r="O565" s="120"/>
      <c r="P565" s="120"/>
      <c r="Q565" s="120"/>
      <c r="R565" s="120"/>
      <c r="S565" s="120"/>
      <c r="T565" s="120"/>
      <c r="U565" s="120"/>
      <c r="V565" s="120"/>
      <c r="W565" s="120"/>
      <c r="X565" s="120"/>
      <c r="Y565" s="120"/>
      <c r="Z565" s="120"/>
      <c r="AA565" s="120"/>
      <c r="AB565" s="120"/>
    </row>
    <row r="566" spans="1:28" ht="15.75" customHeight="1" x14ac:dyDescent="0.55000000000000004">
      <c r="A566" s="120"/>
      <c r="B566" s="120"/>
      <c r="C566" s="120"/>
      <c r="D566" s="120"/>
      <c r="E566" s="120"/>
      <c r="F566" s="120"/>
      <c r="G566" s="102"/>
      <c r="H566" s="120"/>
      <c r="I566" s="120"/>
      <c r="J566" s="120"/>
      <c r="K566" s="120"/>
      <c r="L566" s="120"/>
      <c r="M566" s="120"/>
      <c r="N566" s="120"/>
      <c r="O566" s="120"/>
      <c r="P566" s="120"/>
      <c r="Q566" s="120"/>
      <c r="R566" s="120"/>
      <c r="S566" s="120"/>
      <c r="T566" s="120"/>
      <c r="U566" s="120"/>
      <c r="V566" s="120"/>
      <c r="W566" s="120"/>
      <c r="X566" s="120"/>
      <c r="Y566" s="120"/>
      <c r="Z566" s="120"/>
      <c r="AA566" s="120"/>
      <c r="AB566" s="120"/>
    </row>
    <row r="567" spans="1:28" ht="15.75" customHeight="1" x14ac:dyDescent="0.55000000000000004">
      <c r="A567" s="120"/>
      <c r="B567" s="120"/>
      <c r="C567" s="120"/>
      <c r="D567" s="120"/>
      <c r="E567" s="120"/>
      <c r="F567" s="120"/>
      <c r="G567" s="102"/>
      <c r="H567" s="120"/>
      <c r="I567" s="120"/>
      <c r="J567" s="120"/>
      <c r="K567" s="120"/>
      <c r="L567" s="120"/>
      <c r="M567" s="120"/>
      <c r="N567" s="120"/>
      <c r="O567" s="120"/>
      <c r="P567" s="120"/>
      <c r="Q567" s="120"/>
      <c r="R567" s="120"/>
      <c r="S567" s="120"/>
      <c r="T567" s="120"/>
      <c r="U567" s="120"/>
      <c r="V567" s="120"/>
      <c r="W567" s="120"/>
      <c r="X567" s="120"/>
      <c r="Y567" s="120"/>
      <c r="Z567" s="120"/>
      <c r="AA567" s="120"/>
      <c r="AB567" s="120"/>
    </row>
    <row r="568" spans="1:28" ht="15.75" customHeight="1" x14ac:dyDescent="0.55000000000000004">
      <c r="A568" s="120"/>
      <c r="B568" s="120"/>
      <c r="C568" s="120"/>
      <c r="D568" s="120"/>
      <c r="E568" s="120"/>
      <c r="F568" s="120"/>
      <c r="G568" s="102"/>
      <c r="H568" s="120"/>
      <c r="I568" s="120"/>
      <c r="J568" s="120"/>
      <c r="K568" s="120"/>
      <c r="L568" s="120"/>
      <c r="M568" s="120"/>
      <c r="N568" s="120"/>
      <c r="O568" s="120"/>
      <c r="P568" s="120"/>
      <c r="Q568" s="120"/>
      <c r="R568" s="120"/>
      <c r="S568" s="120"/>
      <c r="T568" s="120"/>
      <c r="U568" s="120"/>
      <c r="V568" s="120"/>
      <c r="W568" s="120"/>
      <c r="X568" s="120"/>
      <c r="Y568" s="120"/>
      <c r="Z568" s="120"/>
      <c r="AA568" s="120"/>
      <c r="AB568" s="120"/>
    </row>
    <row r="569" spans="1:28" ht="15.75" customHeight="1" x14ac:dyDescent="0.55000000000000004">
      <c r="A569" s="120"/>
      <c r="B569" s="120"/>
      <c r="C569" s="120"/>
      <c r="D569" s="120"/>
      <c r="E569" s="120"/>
      <c r="F569" s="120"/>
      <c r="G569" s="102"/>
      <c r="H569" s="120"/>
      <c r="I569" s="120"/>
      <c r="J569" s="120"/>
      <c r="K569" s="120"/>
      <c r="L569" s="120"/>
      <c r="M569" s="120"/>
      <c r="N569" s="120"/>
      <c r="O569" s="120"/>
      <c r="P569" s="120"/>
      <c r="Q569" s="120"/>
      <c r="R569" s="120"/>
      <c r="S569" s="120"/>
      <c r="T569" s="120"/>
      <c r="U569" s="120"/>
      <c r="V569" s="120"/>
      <c r="W569" s="120"/>
      <c r="X569" s="120"/>
      <c r="Y569" s="120"/>
      <c r="Z569" s="120"/>
      <c r="AA569" s="120"/>
      <c r="AB569" s="120"/>
    </row>
    <row r="570" spans="1:28" ht="15.75" customHeight="1" x14ac:dyDescent="0.55000000000000004">
      <c r="A570" s="120"/>
      <c r="B570" s="120"/>
      <c r="C570" s="120"/>
      <c r="D570" s="120"/>
      <c r="E570" s="120"/>
      <c r="F570" s="120"/>
      <c r="G570" s="102"/>
      <c r="H570" s="120"/>
      <c r="I570" s="120"/>
      <c r="J570" s="120"/>
      <c r="K570" s="120"/>
      <c r="L570" s="120"/>
      <c r="M570" s="120"/>
      <c r="N570" s="120"/>
      <c r="O570" s="120"/>
      <c r="P570" s="120"/>
      <c r="Q570" s="120"/>
      <c r="R570" s="120"/>
      <c r="S570" s="120"/>
      <c r="T570" s="120"/>
      <c r="U570" s="120"/>
      <c r="V570" s="120"/>
      <c r="W570" s="120"/>
      <c r="X570" s="120"/>
      <c r="Y570" s="120"/>
      <c r="Z570" s="120"/>
      <c r="AA570" s="120"/>
      <c r="AB570" s="120"/>
    </row>
    <row r="571" spans="1:28" ht="15.75" customHeight="1" x14ac:dyDescent="0.55000000000000004">
      <c r="A571" s="120"/>
      <c r="B571" s="120"/>
      <c r="C571" s="120"/>
      <c r="D571" s="120"/>
      <c r="E571" s="120"/>
      <c r="F571" s="120"/>
      <c r="G571" s="102"/>
      <c r="H571" s="120"/>
      <c r="I571" s="120"/>
      <c r="J571" s="120"/>
      <c r="K571" s="120"/>
      <c r="L571" s="120"/>
      <c r="M571" s="120"/>
      <c r="N571" s="120"/>
      <c r="O571" s="120"/>
      <c r="P571" s="120"/>
      <c r="Q571" s="120"/>
      <c r="R571" s="120"/>
      <c r="S571" s="120"/>
      <c r="T571" s="120"/>
      <c r="U571" s="120"/>
      <c r="V571" s="120"/>
      <c r="W571" s="120"/>
      <c r="X571" s="120"/>
      <c r="Y571" s="120"/>
      <c r="Z571" s="120"/>
      <c r="AA571" s="120"/>
      <c r="AB571" s="120"/>
    </row>
    <row r="572" spans="1:28" ht="15.75" customHeight="1" x14ac:dyDescent="0.55000000000000004">
      <c r="A572" s="120"/>
      <c r="B572" s="120"/>
      <c r="C572" s="120"/>
      <c r="D572" s="120"/>
      <c r="E572" s="120"/>
      <c r="F572" s="120"/>
      <c r="G572" s="102"/>
      <c r="H572" s="120"/>
      <c r="I572" s="120"/>
      <c r="J572" s="120"/>
      <c r="K572" s="120"/>
      <c r="L572" s="120"/>
      <c r="M572" s="120"/>
      <c r="N572" s="120"/>
      <c r="O572" s="120"/>
      <c r="P572" s="120"/>
      <c r="Q572" s="120"/>
      <c r="R572" s="120"/>
      <c r="S572" s="120"/>
      <c r="T572" s="120"/>
      <c r="U572" s="120"/>
      <c r="V572" s="120"/>
      <c r="W572" s="120"/>
      <c r="X572" s="120"/>
      <c r="Y572" s="120"/>
      <c r="Z572" s="120"/>
      <c r="AA572" s="120"/>
      <c r="AB572" s="120"/>
    </row>
    <row r="573" spans="1:28" ht="15.75" customHeight="1" x14ac:dyDescent="0.55000000000000004">
      <c r="A573" s="120"/>
      <c r="B573" s="120"/>
      <c r="C573" s="120"/>
      <c r="D573" s="120"/>
      <c r="E573" s="120"/>
      <c r="F573" s="120"/>
      <c r="G573" s="102"/>
      <c r="H573" s="120"/>
      <c r="I573" s="120"/>
      <c r="J573" s="120"/>
      <c r="K573" s="120"/>
      <c r="L573" s="120"/>
      <c r="M573" s="120"/>
      <c r="N573" s="120"/>
      <c r="O573" s="120"/>
      <c r="P573" s="120"/>
      <c r="Q573" s="120"/>
      <c r="R573" s="120"/>
      <c r="S573" s="120"/>
      <c r="T573" s="120"/>
      <c r="U573" s="120"/>
      <c r="V573" s="120"/>
      <c r="W573" s="120"/>
      <c r="X573" s="120"/>
      <c r="Y573" s="120"/>
      <c r="Z573" s="120"/>
      <c r="AA573" s="120"/>
      <c r="AB573" s="120"/>
    </row>
    <row r="574" spans="1:28" ht="15.75" customHeight="1" x14ac:dyDescent="0.55000000000000004">
      <c r="A574" s="120"/>
      <c r="B574" s="120"/>
      <c r="C574" s="120"/>
      <c r="D574" s="120"/>
      <c r="E574" s="120"/>
      <c r="F574" s="120"/>
      <c r="G574" s="102"/>
      <c r="H574" s="120"/>
      <c r="I574" s="120"/>
      <c r="J574" s="120"/>
      <c r="K574" s="120"/>
      <c r="L574" s="120"/>
      <c r="M574" s="120"/>
      <c r="N574" s="120"/>
      <c r="O574" s="120"/>
      <c r="P574" s="120"/>
      <c r="Q574" s="120"/>
      <c r="R574" s="120"/>
      <c r="S574" s="120"/>
      <c r="T574" s="120"/>
      <c r="U574" s="120"/>
      <c r="V574" s="120"/>
      <c r="W574" s="120"/>
      <c r="X574" s="120"/>
      <c r="Y574" s="120"/>
      <c r="Z574" s="120"/>
      <c r="AA574" s="120"/>
      <c r="AB574" s="120"/>
    </row>
    <row r="575" spans="1:28" ht="15.75" customHeight="1" x14ac:dyDescent="0.55000000000000004">
      <c r="A575" s="120"/>
      <c r="B575" s="120"/>
      <c r="C575" s="120"/>
      <c r="D575" s="120"/>
      <c r="E575" s="120"/>
      <c r="F575" s="120"/>
      <c r="G575" s="102"/>
      <c r="H575" s="120"/>
      <c r="I575" s="120"/>
      <c r="J575" s="120"/>
      <c r="K575" s="120"/>
      <c r="L575" s="120"/>
      <c r="M575" s="120"/>
      <c r="N575" s="120"/>
      <c r="O575" s="120"/>
      <c r="P575" s="120"/>
      <c r="Q575" s="120"/>
      <c r="R575" s="120"/>
      <c r="S575" s="120"/>
      <c r="T575" s="120"/>
      <c r="U575" s="120"/>
      <c r="V575" s="120"/>
      <c r="W575" s="120"/>
      <c r="X575" s="120"/>
      <c r="Y575" s="120"/>
      <c r="Z575" s="120"/>
      <c r="AA575" s="120"/>
      <c r="AB575" s="120"/>
    </row>
    <row r="576" spans="1:28" ht="15.75" customHeight="1" x14ac:dyDescent="0.55000000000000004">
      <c r="A576" s="120"/>
      <c r="B576" s="120"/>
      <c r="C576" s="120"/>
      <c r="D576" s="120"/>
      <c r="E576" s="120"/>
      <c r="F576" s="120"/>
      <c r="G576" s="102"/>
      <c r="H576" s="120"/>
      <c r="I576" s="120"/>
      <c r="J576" s="120"/>
      <c r="K576" s="120"/>
      <c r="L576" s="120"/>
      <c r="M576" s="120"/>
      <c r="N576" s="120"/>
      <c r="O576" s="120"/>
      <c r="P576" s="120"/>
      <c r="Q576" s="120"/>
      <c r="R576" s="120"/>
      <c r="S576" s="120"/>
      <c r="T576" s="120"/>
      <c r="U576" s="120"/>
      <c r="V576" s="120"/>
      <c r="W576" s="120"/>
      <c r="X576" s="120"/>
      <c r="Y576" s="120"/>
      <c r="Z576" s="120"/>
      <c r="AA576" s="120"/>
      <c r="AB576" s="120"/>
    </row>
    <row r="577" spans="1:28" ht="15.75" customHeight="1" x14ac:dyDescent="0.55000000000000004">
      <c r="A577" s="120"/>
      <c r="B577" s="120"/>
      <c r="C577" s="120"/>
      <c r="D577" s="120"/>
      <c r="E577" s="120"/>
      <c r="F577" s="120"/>
      <c r="G577" s="102"/>
      <c r="H577" s="120"/>
      <c r="I577" s="120"/>
      <c r="J577" s="120"/>
      <c r="K577" s="120"/>
      <c r="L577" s="120"/>
      <c r="M577" s="120"/>
      <c r="N577" s="120"/>
      <c r="O577" s="120"/>
      <c r="P577" s="120"/>
      <c r="Q577" s="120"/>
      <c r="R577" s="120"/>
      <c r="S577" s="120"/>
      <c r="T577" s="120"/>
      <c r="U577" s="120"/>
      <c r="V577" s="120"/>
      <c r="W577" s="120"/>
      <c r="X577" s="120"/>
      <c r="Y577" s="120"/>
      <c r="Z577" s="120"/>
      <c r="AA577" s="120"/>
      <c r="AB577" s="120"/>
    </row>
    <row r="578" spans="1:28" ht="15.75" customHeight="1" x14ac:dyDescent="0.55000000000000004">
      <c r="A578" s="120"/>
      <c r="B578" s="120"/>
      <c r="C578" s="120"/>
      <c r="D578" s="120"/>
      <c r="E578" s="120"/>
      <c r="F578" s="120"/>
      <c r="G578" s="102"/>
      <c r="H578" s="120"/>
      <c r="I578" s="120"/>
      <c r="J578" s="120"/>
      <c r="K578" s="120"/>
      <c r="L578" s="120"/>
      <c r="M578" s="120"/>
      <c r="N578" s="120"/>
      <c r="O578" s="120"/>
      <c r="P578" s="120"/>
      <c r="Q578" s="120"/>
      <c r="R578" s="120"/>
      <c r="S578" s="120"/>
      <c r="T578" s="120"/>
      <c r="U578" s="120"/>
      <c r="V578" s="120"/>
      <c r="W578" s="120"/>
      <c r="X578" s="120"/>
      <c r="Y578" s="120"/>
      <c r="Z578" s="120"/>
      <c r="AA578" s="120"/>
      <c r="AB578" s="120"/>
    </row>
    <row r="579" spans="1:28" ht="15.75" customHeight="1" x14ac:dyDescent="0.55000000000000004">
      <c r="A579" s="120"/>
      <c r="B579" s="120"/>
      <c r="C579" s="120"/>
      <c r="D579" s="120"/>
      <c r="E579" s="120"/>
      <c r="F579" s="120"/>
      <c r="G579" s="102"/>
      <c r="H579" s="120"/>
      <c r="I579" s="120"/>
      <c r="J579" s="120"/>
      <c r="K579" s="120"/>
      <c r="L579" s="120"/>
      <c r="M579" s="120"/>
      <c r="N579" s="120"/>
      <c r="O579" s="120"/>
      <c r="P579" s="120"/>
      <c r="Q579" s="120"/>
      <c r="R579" s="120"/>
      <c r="S579" s="120"/>
      <c r="T579" s="120"/>
      <c r="U579" s="120"/>
      <c r="V579" s="120"/>
      <c r="W579" s="120"/>
      <c r="X579" s="120"/>
      <c r="Y579" s="120"/>
      <c r="Z579" s="120"/>
      <c r="AA579" s="120"/>
      <c r="AB579" s="120"/>
    </row>
    <row r="580" spans="1:28" ht="15.75" customHeight="1" x14ac:dyDescent="0.55000000000000004">
      <c r="A580" s="120"/>
      <c r="B580" s="120"/>
      <c r="C580" s="120"/>
      <c r="D580" s="120"/>
      <c r="E580" s="120"/>
      <c r="F580" s="120"/>
      <c r="G580" s="102"/>
      <c r="H580" s="120"/>
      <c r="I580" s="120"/>
      <c r="J580" s="120"/>
      <c r="K580" s="120"/>
      <c r="L580" s="120"/>
      <c r="M580" s="120"/>
      <c r="N580" s="120"/>
      <c r="O580" s="120"/>
      <c r="P580" s="120"/>
      <c r="Q580" s="120"/>
      <c r="R580" s="120"/>
      <c r="S580" s="120"/>
      <c r="T580" s="120"/>
      <c r="U580" s="120"/>
      <c r="V580" s="120"/>
      <c r="W580" s="120"/>
      <c r="X580" s="120"/>
      <c r="Y580" s="120"/>
      <c r="Z580" s="120"/>
      <c r="AA580" s="120"/>
      <c r="AB580" s="120"/>
    </row>
    <row r="581" spans="1:28" ht="15.75" customHeight="1" x14ac:dyDescent="0.55000000000000004">
      <c r="A581" s="120"/>
      <c r="B581" s="120"/>
      <c r="C581" s="120"/>
      <c r="D581" s="120"/>
      <c r="E581" s="120"/>
      <c r="F581" s="120"/>
      <c r="G581" s="102"/>
      <c r="H581" s="120"/>
      <c r="I581" s="120"/>
      <c r="J581" s="120"/>
      <c r="K581" s="120"/>
      <c r="L581" s="120"/>
      <c r="M581" s="120"/>
      <c r="N581" s="120"/>
      <c r="O581" s="120"/>
      <c r="P581" s="120"/>
      <c r="Q581" s="120"/>
      <c r="R581" s="120"/>
      <c r="S581" s="120"/>
      <c r="T581" s="120"/>
      <c r="U581" s="120"/>
      <c r="V581" s="120"/>
      <c r="W581" s="120"/>
      <c r="X581" s="120"/>
      <c r="Y581" s="120"/>
      <c r="Z581" s="120"/>
      <c r="AA581" s="120"/>
      <c r="AB581" s="120"/>
    </row>
    <row r="582" spans="1:28" ht="15.75" customHeight="1" x14ac:dyDescent="0.55000000000000004">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row>
    <row r="583" spans="1:28" ht="15.75" customHeight="1" x14ac:dyDescent="0.55000000000000004">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row>
    <row r="584" spans="1:28" ht="15.75" customHeight="1" x14ac:dyDescent="0.55000000000000004">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row>
    <row r="585" spans="1:28" ht="15.75" customHeight="1" x14ac:dyDescent="0.55000000000000004">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row>
    <row r="586" spans="1:28" ht="15.75" customHeight="1" x14ac:dyDescent="0.55000000000000004">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row>
    <row r="587" spans="1:28" ht="15.75" customHeight="1" x14ac:dyDescent="0.55000000000000004">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row>
    <row r="588" spans="1:28" ht="15.75" customHeight="1" x14ac:dyDescent="0.55000000000000004">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row>
    <row r="589" spans="1:28" ht="15.75" customHeight="1" x14ac:dyDescent="0.55000000000000004">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row>
    <row r="590" spans="1:28" ht="15.75" customHeight="1" x14ac:dyDescent="0.55000000000000004">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row>
    <row r="591" spans="1:28" ht="15.75" customHeight="1" x14ac:dyDescent="0.55000000000000004">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5.75" customHeight="1" x14ac:dyDescent="0.55000000000000004">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5.75" customHeight="1" x14ac:dyDescent="0.55000000000000004">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5.75" customHeight="1" x14ac:dyDescent="0.5500000000000000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5.75" customHeight="1" x14ac:dyDescent="0.55000000000000004">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5.75" customHeight="1" x14ac:dyDescent="0.55000000000000004">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5.75" customHeight="1" x14ac:dyDescent="0.55000000000000004">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5.75" customHeight="1" x14ac:dyDescent="0.55000000000000004">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5.75" customHeight="1" x14ac:dyDescent="0.55000000000000004">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5.75" customHeight="1" x14ac:dyDescent="0.55000000000000004">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5.75" customHeight="1" x14ac:dyDescent="0.55000000000000004">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5.75" customHeight="1" x14ac:dyDescent="0.55000000000000004">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5.75" customHeight="1" x14ac:dyDescent="0.55000000000000004">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5.75" customHeight="1" x14ac:dyDescent="0.550000000000000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5.75" customHeight="1" x14ac:dyDescent="0.55000000000000004">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5.75" customHeight="1" x14ac:dyDescent="0.55000000000000004">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5.75" customHeight="1" x14ac:dyDescent="0.55000000000000004">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5.75" customHeight="1" x14ac:dyDescent="0.55000000000000004">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5.75" customHeight="1" x14ac:dyDescent="0.55000000000000004">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5.75" customHeight="1" x14ac:dyDescent="0.55000000000000004">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5.75" customHeight="1" x14ac:dyDescent="0.55000000000000004">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5.75" customHeight="1" x14ac:dyDescent="0.55000000000000004">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5.75" customHeight="1" x14ac:dyDescent="0.55000000000000004">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5.75" customHeight="1" x14ac:dyDescent="0.5500000000000000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5.75" customHeight="1" x14ac:dyDescent="0.55000000000000004">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5.75" customHeight="1" x14ac:dyDescent="0.55000000000000004">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5.75" customHeight="1" x14ac:dyDescent="0.55000000000000004">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5.75" customHeight="1" x14ac:dyDescent="0.55000000000000004">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5.75" customHeight="1" x14ac:dyDescent="0.55000000000000004">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5.75" customHeight="1" x14ac:dyDescent="0.55000000000000004">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5.75" customHeight="1" x14ac:dyDescent="0.55000000000000004">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5.75" customHeight="1" x14ac:dyDescent="0.55000000000000004">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5.75" customHeight="1" x14ac:dyDescent="0.55000000000000004">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5.75" customHeight="1" x14ac:dyDescent="0.5500000000000000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5.75" customHeight="1" x14ac:dyDescent="0.55000000000000004">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5.75" customHeight="1" x14ac:dyDescent="0.55000000000000004">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5.75" customHeight="1" x14ac:dyDescent="0.55000000000000004">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5.75" customHeight="1" x14ac:dyDescent="0.55000000000000004">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5.75" customHeight="1" x14ac:dyDescent="0.55000000000000004">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5.75" customHeight="1" x14ac:dyDescent="0.55000000000000004">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5.75" customHeight="1" x14ac:dyDescent="0.55000000000000004">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5.75" customHeight="1" x14ac:dyDescent="0.55000000000000004">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5.75" customHeight="1" x14ac:dyDescent="0.55000000000000004">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5.75" customHeight="1" x14ac:dyDescent="0.5500000000000000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5.75" customHeight="1" x14ac:dyDescent="0.55000000000000004">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5.75" customHeight="1" x14ac:dyDescent="0.55000000000000004">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5.75" customHeight="1" x14ac:dyDescent="0.55000000000000004">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5.75" customHeight="1" x14ac:dyDescent="0.55000000000000004">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5.75" customHeight="1" x14ac:dyDescent="0.55000000000000004">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5.75" customHeight="1" x14ac:dyDescent="0.55000000000000004">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5.75" customHeight="1" x14ac:dyDescent="0.55000000000000004">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5.75" customHeight="1" x14ac:dyDescent="0.55000000000000004">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5.75" customHeight="1" x14ac:dyDescent="0.55000000000000004">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5.75" customHeight="1" x14ac:dyDescent="0.5500000000000000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5.75" customHeight="1" x14ac:dyDescent="0.55000000000000004">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5.75" customHeight="1" x14ac:dyDescent="0.55000000000000004">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5.75" customHeight="1" x14ac:dyDescent="0.55000000000000004">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5.75" customHeight="1" x14ac:dyDescent="0.55000000000000004">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5.75" customHeight="1" x14ac:dyDescent="0.55000000000000004">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5.75" customHeight="1" x14ac:dyDescent="0.55000000000000004">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5.75" customHeight="1" x14ac:dyDescent="0.55000000000000004">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5.75" customHeight="1" x14ac:dyDescent="0.55000000000000004">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5.75" customHeight="1" x14ac:dyDescent="0.55000000000000004">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5.75" customHeight="1" x14ac:dyDescent="0.5500000000000000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5.75" customHeight="1" x14ac:dyDescent="0.55000000000000004">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5.75" customHeight="1" x14ac:dyDescent="0.55000000000000004">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5.75" customHeight="1" x14ac:dyDescent="0.55000000000000004">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5.75" customHeight="1" x14ac:dyDescent="0.55000000000000004">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5.75" customHeight="1" x14ac:dyDescent="0.55000000000000004">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5.75" customHeight="1" x14ac:dyDescent="0.55000000000000004">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5.75" customHeight="1" x14ac:dyDescent="0.55000000000000004">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5.75" customHeight="1" x14ac:dyDescent="0.55000000000000004">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5.75" customHeight="1" x14ac:dyDescent="0.55000000000000004">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5.75" customHeight="1" x14ac:dyDescent="0.5500000000000000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5.75" customHeight="1" x14ac:dyDescent="0.55000000000000004">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5.75" customHeight="1" x14ac:dyDescent="0.55000000000000004">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5.75" customHeight="1" x14ac:dyDescent="0.55000000000000004">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5.75" customHeight="1" x14ac:dyDescent="0.55000000000000004">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5.75" customHeight="1" x14ac:dyDescent="0.55000000000000004">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5.75" customHeight="1" x14ac:dyDescent="0.55000000000000004">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5.75" customHeight="1" x14ac:dyDescent="0.55000000000000004">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5.75" customHeight="1" x14ac:dyDescent="0.55000000000000004">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5.75" customHeight="1" x14ac:dyDescent="0.55000000000000004">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5.75" customHeight="1" x14ac:dyDescent="0.5500000000000000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5.75" customHeight="1" x14ac:dyDescent="0.55000000000000004">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5.75" customHeight="1" x14ac:dyDescent="0.55000000000000004">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5.75" customHeight="1" x14ac:dyDescent="0.55000000000000004">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5.75" customHeight="1" x14ac:dyDescent="0.55000000000000004">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5.75" customHeight="1" x14ac:dyDescent="0.55000000000000004">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5.75" customHeight="1" x14ac:dyDescent="0.55000000000000004">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5.75" customHeight="1" x14ac:dyDescent="0.55000000000000004">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5.75" customHeight="1" x14ac:dyDescent="0.55000000000000004">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5.75" customHeight="1" x14ac:dyDescent="0.55000000000000004">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5.75" customHeight="1" x14ac:dyDescent="0.5500000000000000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5.75" customHeight="1" x14ac:dyDescent="0.55000000000000004">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5.75" customHeight="1" x14ac:dyDescent="0.55000000000000004">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5.75" customHeight="1" x14ac:dyDescent="0.55000000000000004">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5.75" customHeight="1" x14ac:dyDescent="0.55000000000000004">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5.75" customHeight="1" x14ac:dyDescent="0.55000000000000004">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5.75" customHeight="1" x14ac:dyDescent="0.55000000000000004">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5.75" customHeight="1" x14ac:dyDescent="0.55000000000000004">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5.75" customHeight="1" x14ac:dyDescent="0.55000000000000004">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5.75" customHeight="1" x14ac:dyDescent="0.55000000000000004">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5.75" customHeight="1" x14ac:dyDescent="0.5500000000000000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5.75" customHeight="1" x14ac:dyDescent="0.55000000000000004">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5.75" customHeight="1" x14ac:dyDescent="0.55000000000000004">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5.75" customHeight="1" x14ac:dyDescent="0.55000000000000004">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5.75" customHeight="1" x14ac:dyDescent="0.55000000000000004">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5.75" customHeight="1" x14ac:dyDescent="0.55000000000000004">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5.75" customHeight="1" x14ac:dyDescent="0.55000000000000004">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5.75" customHeight="1" x14ac:dyDescent="0.55000000000000004">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5.75" customHeight="1" x14ac:dyDescent="0.55000000000000004">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5.75" customHeight="1" x14ac:dyDescent="0.55000000000000004">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5.75" customHeight="1" x14ac:dyDescent="0.550000000000000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5.75" customHeight="1" x14ac:dyDescent="0.55000000000000004">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5.75" customHeight="1" x14ac:dyDescent="0.55000000000000004">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5.75" customHeight="1" x14ac:dyDescent="0.55000000000000004">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5.75" customHeight="1" x14ac:dyDescent="0.55000000000000004">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5.75" customHeight="1" x14ac:dyDescent="0.55000000000000004">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5.75" customHeight="1" x14ac:dyDescent="0.55000000000000004">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5.75" customHeight="1" x14ac:dyDescent="0.55000000000000004">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5.75" customHeight="1" x14ac:dyDescent="0.55000000000000004">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5.75" customHeight="1" x14ac:dyDescent="0.55000000000000004">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5.75" customHeight="1" x14ac:dyDescent="0.5500000000000000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5.75" customHeight="1" x14ac:dyDescent="0.55000000000000004">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5.75" customHeight="1" x14ac:dyDescent="0.55000000000000004">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5.75" customHeight="1" x14ac:dyDescent="0.55000000000000004">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5.75" customHeight="1" x14ac:dyDescent="0.55000000000000004">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5.75" customHeight="1" x14ac:dyDescent="0.55000000000000004">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5.75" customHeight="1" x14ac:dyDescent="0.55000000000000004">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5.75" customHeight="1" x14ac:dyDescent="0.55000000000000004">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5.75" customHeight="1" x14ac:dyDescent="0.55000000000000004">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5.75" customHeight="1" x14ac:dyDescent="0.55000000000000004">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5.75" customHeight="1" x14ac:dyDescent="0.5500000000000000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5.75" customHeight="1" x14ac:dyDescent="0.55000000000000004">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5.75" customHeight="1" x14ac:dyDescent="0.55000000000000004">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5.75" customHeight="1" x14ac:dyDescent="0.55000000000000004">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5.75" customHeight="1" x14ac:dyDescent="0.55000000000000004">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5.75" customHeight="1" x14ac:dyDescent="0.55000000000000004">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5.75" customHeight="1" x14ac:dyDescent="0.55000000000000004">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5.75" customHeight="1" x14ac:dyDescent="0.55000000000000004">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5.75" customHeight="1" x14ac:dyDescent="0.55000000000000004">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5.75" customHeight="1" x14ac:dyDescent="0.55000000000000004">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5.75" customHeight="1" x14ac:dyDescent="0.5500000000000000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5.75" customHeight="1" x14ac:dyDescent="0.55000000000000004">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5.75" customHeight="1" x14ac:dyDescent="0.55000000000000004">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5.75" customHeight="1" x14ac:dyDescent="0.55000000000000004">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5.75" customHeight="1" x14ac:dyDescent="0.55000000000000004">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5.75" customHeight="1" x14ac:dyDescent="0.55000000000000004">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5.75" customHeight="1" x14ac:dyDescent="0.55000000000000004">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5.75" customHeight="1" x14ac:dyDescent="0.55000000000000004">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5.75" customHeight="1" x14ac:dyDescent="0.55000000000000004">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5.75" customHeight="1" x14ac:dyDescent="0.55000000000000004">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5.75" customHeight="1" x14ac:dyDescent="0.5500000000000000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5.75" customHeight="1" x14ac:dyDescent="0.55000000000000004">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5.75" customHeight="1" x14ac:dyDescent="0.55000000000000004">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5.75" customHeight="1" x14ac:dyDescent="0.55000000000000004">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5.75" customHeight="1" x14ac:dyDescent="0.55000000000000004">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5.75" customHeight="1" x14ac:dyDescent="0.55000000000000004">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5.75" customHeight="1" x14ac:dyDescent="0.55000000000000004">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5.75" customHeight="1" x14ac:dyDescent="0.55000000000000004">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5.75" customHeight="1" x14ac:dyDescent="0.55000000000000004">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5.75" customHeight="1" x14ac:dyDescent="0.55000000000000004">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5.75" customHeight="1" x14ac:dyDescent="0.5500000000000000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5.75" customHeight="1" x14ac:dyDescent="0.55000000000000004">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5.75" customHeight="1" x14ac:dyDescent="0.55000000000000004">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5.75" customHeight="1" x14ac:dyDescent="0.55000000000000004">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5.75" customHeight="1" x14ac:dyDescent="0.55000000000000004">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5.75" customHeight="1" x14ac:dyDescent="0.55000000000000004">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5.75" customHeight="1" x14ac:dyDescent="0.55000000000000004">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5.75" customHeight="1" x14ac:dyDescent="0.55000000000000004">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5.75" customHeight="1" x14ac:dyDescent="0.55000000000000004">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5.75" customHeight="1" x14ac:dyDescent="0.55000000000000004">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5.75" customHeight="1" x14ac:dyDescent="0.5500000000000000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5.75" customHeight="1" x14ac:dyDescent="0.55000000000000004">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5.75" customHeight="1" x14ac:dyDescent="0.55000000000000004">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5.75" customHeight="1" x14ac:dyDescent="0.55000000000000004">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5.75" customHeight="1" x14ac:dyDescent="0.55000000000000004">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5.75" customHeight="1" x14ac:dyDescent="0.55000000000000004">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5.75" customHeight="1" x14ac:dyDescent="0.55000000000000004">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5.75" customHeight="1" x14ac:dyDescent="0.55000000000000004">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5.75" customHeight="1" x14ac:dyDescent="0.55000000000000004">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5.75" customHeight="1" x14ac:dyDescent="0.55000000000000004">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5.75" customHeight="1" x14ac:dyDescent="0.5500000000000000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5.75" customHeight="1" x14ac:dyDescent="0.55000000000000004">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5.75" customHeight="1" x14ac:dyDescent="0.55000000000000004">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5.75" customHeight="1" x14ac:dyDescent="0.55000000000000004">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5.75" customHeight="1" x14ac:dyDescent="0.55000000000000004">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5.75" customHeight="1" x14ac:dyDescent="0.55000000000000004">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5.75" customHeight="1" x14ac:dyDescent="0.55000000000000004">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5.75" customHeight="1" x14ac:dyDescent="0.55000000000000004">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5.75" customHeight="1" x14ac:dyDescent="0.55000000000000004">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5.75" customHeight="1" x14ac:dyDescent="0.55000000000000004">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5.75" customHeight="1" x14ac:dyDescent="0.5500000000000000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5.75" customHeight="1" x14ac:dyDescent="0.55000000000000004">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5.75" customHeight="1" x14ac:dyDescent="0.55000000000000004">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5.75" customHeight="1" x14ac:dyDescent="0.55000000000000004">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5.75" customHeight="1" x14ac:dyDescent="0.55000000000000004">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5.75" customHeight="1" x14ac:dyDescent="0.55000000000000004">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5.75" customHeight="1" x14ac:dyDescent="0.55000000000000004">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5.75" customHeight="1" x14ac:dyDescent="0.55000000000000004">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5.75" customHeight="1" x14ac:dyDescent="0.55000000000000004">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5.75" customHeight="1" x14ac:dyDescent="0.55000000000000004">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5.75" customHeight="1" x14ac:dyDescent="0.5500000000000000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5.75" customHeight="1" x14ac:dyDescent="0.55000000000000004">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5.75" customHeight="1" x14ac:dyDescent="0.55000000000000004">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5.75" customHeight="1" x14ac:dyDescent="0.55000000000000004">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5.75" customHeight="1" x14ac:dyDescent="0.55000000000000004">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5.75" customHeight="1" x14ac:dyDescent="0.55000000000000004">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5.75" customHeight="1" x14ac:dyDescent="0.55000000000000004">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5.75" customHeight="1" x14ac:dyDescent="0.55000000000000004">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5.75" customHeight="1" x14ac:dyDescent="0.55000000000000004">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5.75" customHeight="1" x14ac:dyDescent="0.55000000000000004">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5.75" customHeight="1" x14ac:dyDescent="0.550000000000000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5.75" customHeight="1" x14ac:dyDescent="0.55000000000000004">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5.75" customHeight="1" x14ac:dyDescent="0.55000000000000004">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5.75" customHeight="1" x14ac:dyDescent="0.55000000000000004">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5.75" customHeight="1" x14ac:dyDescent="0.55000000000000004">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5.75" customHeight="1" x14ac:dyDescent="0.55000000000000004">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5.75" customHeight="1" x14ac:dyDescent="0.55000000000000004">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5.75" customHeight="1" x14ac:dyDescent="0.55000000000000004">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5.75" customHeight="1" x14ac:dyDescent="0.55000000000000004">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5.75" customHeight="1" x14ac:dyDescent="0.55000000000000004">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5.75" customHeight="1" x14ac:dyDescent="0.5500000000000000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5.75" customHeight="1" x14ac:dyDescent="0.55000000000000004">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5.75" customHeight="1" x14ac:dyDescent="0.55000000000000004">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5.75" customHeight="1" x14ac:dyDescent="0.55000000000000004">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5.75" customHeight="1" x14ac:dyDescent="0.55000000000000004">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5.75" customHeight="1" x14ac:dyDescent="0.55000000000000004">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5.75" customHeight="1" x14ac:dyDescent="0.55000000000000004">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5.75" customHeight="1" x14ac:dyDescent="0.55000000000000004">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5.75" customHeight="1" x14ac:dyDescent="0.55000000000000004">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5.75" customHeight="1" x14ac:dyDescent="0.55000000000000004">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5.75" customHeight="1" x14ac:dyDescent="0.5500000000000000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5.75" customHeight="1" x14ac:dyDescent="0.55000000000000004">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5.75" customHeight="1" x14ac:dyDescent="0.55000000000000004">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5.75" customHeight="1" x14ac:dyDescent="0.55000000000000004">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5.75" customHeight="1" x14ac:dyDescent="0.55000000000000004">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5.75" customHeight="1" x14ac:dyDescent="0.55000000000000004">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5.75" customHeight="1" x14ac:dyDescent="0.55000000000000004">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5.75" customHeight="1" x14ac:dyDescent="0.55000000000000004">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5.75" customHeight="1" x14ac:dyDescent="0.55000000000000004">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5.75" customHeight="1" x14ac:dyDescent="0.55000000000000004">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5.75" customHeight="1" x14ac:dyDescent="0.5500000000000000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5.75" customHeight="1" x14ac:dyDescent="0.55000000000000004">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5.75" customHeight="1" x14ac:dyDescent="0.55000000000000004">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5.75" customHeight="1" x14ac:dyDescent="0.55000000000000004">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5.75" customHeight="1" x14ac:dyDescent="0.55000000000000004">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5.75" customHeight="1" x14ac:dyDescent="0.55000000000000004">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5.75" customHeight="1" x14ac:dyDescent="0.55000000000000004">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5.75" customHeight="1" x14ac:dyDescent="0.55000000000000004">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5.75" customHeight="1" x14ac:dyDescent="0.55000000000000004">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5.75" customHeight="1" x14ac:dyDescent="0.55000000000000004">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5.75" customHeight="1" x14ac:dyDescent="0.5500000000000000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5.75" customHeight="1" x14ac:dyDescent="0.55000000000000004">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5.75" customHeight="1" x14ac:dyDescent="0.55000000000000004">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5.75" customHeight="1" x14ac:dyDescent="0.55000000000000004">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5.75" customHeight="1" x14ac:dyDescent="0.55000000000000004">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5.75" customHeight="1" x14ac:dyDescent="0.55000000000000004">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5.75" customHeight="1" x14ac:dyDescent="0.55000000000000004">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5.75" customHeight="1" x14ac:dyDescent="0.55000000000000004">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5.75" customHeight="1" x14ac:dyDescent="0.55000000000000004">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5.75" customHeight="1" x14ac:dyDescent="0.55000000000000004">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5.75" customHeight="1" x14ac:dyDescent="0.5500000000000000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5.75" customHeight="1" x14ac:dyDescent="0.55000000000000004">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5.75" customHeight="1" x14ac:dyDescent="0.55000000000000004">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5.75" customHeight="1" x14ac:dyDescent="0.55000000000000004">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5.75" customHeight="1" x14ac:dyDescent="0.55000000000000004">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5.75" customHeight="1" x14ac:dyDescent="0.55000000000000004">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5.75" customHeight="1" x14ac:dyDescent="0.55000000000000004">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5.75" customHeight="1" x14ac:dyDescent="0.55000000000000004">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5.75" customHeight="1" x14ac:dyDescent="0.55000000000000004">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5.75" customHeight="1" x14ac:dyDescent="0.55000000000000004">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5.75" customHeight="1" x14ac:dyDescent="0.5500000000000000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5.75" customHeight="1" x14ac:dyDescent="0.55000000000000004">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5.75" customHeight="1" x14ac:dyDescent="0.55000000000000004">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5.75" customHeight="1" x14ac:dyDescent="0.55000000000000004">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5.75" customHeight="1" x14ac:dyDescent="0.55000000000000004">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5.75" customHeight="1" x14ac:dyDescent="0.55000000000000004">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5.75" customHeight="1" x14ac:dyDescent="0.55000000000000004">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5.75" customHeight="1" x14ac:dyDescent="0.55000000000000004">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5.75" customHeight="1" x14ac:dyDescent="0.55000000000000004">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5.75" customHeight="1" x14ac:dyDescent="0.55000000000000004">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5.75" customHeight="1" x14ac:dyDescent="0.5500000000000000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5.75" customHeight="1" x14ac:dyDescent="0.55000000000000004">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5.75" customHeight="1" x14ac:dyDescent="0.55000000000000004">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5.75" customHeight="1" x14ac:dyDescent="0.55000000000000004">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5.75" customHeight="1" x14ac:dyDescent="0.55000000000000004">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5.75" customHeight="1" x14ac:dyDescent="0.55000000000000004">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5.75" customHeight="1" x14ac:dyDescent="0.55000000000000004">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5.75" customHeight="1" x14ac:dyDescent="0.55000000000000004">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5.75" customHeight="1" x14ac:dyDescent="0.55000000000000004">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5.75" customHeight="1" x14ac:dyDescent="0.55000000000000004">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5.75" customHeight="1" x14ac:dyDescent="0.5500000000000000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5.75" customHeight="1" x14ac:dyDescent="0.55000000000000004">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5.75" customHeight="1" x14ac:dyDescent="0.55000000000000004">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5.75" customHeight="1" x14ac:dyDescent="0.55000000000000004">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5.75" customHeight="1" x14ac:dyDescent="0.55000000000000004">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5.75" customHeight="1" x14ac:dyDescent="0.55000000000000004">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5.75" customHeight="1" x14ac:dyDescent="0.55000000000000004">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5.75" customHeight="1" x14ac:dyDescent="0.55000000000000004">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5.75" customHeight="1" x14ac:dyDescent="0.55000000000000004">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5.75" customHeight="1" x14ac:dyDescent="0.55000000000000004">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5.75" customHeight="1" x14ac:dyDescent="0.5500000000000000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5.75" customHeight="1" x14ac:dyDescent="0.55000000000000004">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5.75" customHeight="1" x14ac:dyDescent="0.55000000000000004">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5.75" customHeight="1" x14ac:dyDescent="0.55000000000000004">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5.75" customHeight="1" x14ac:dyDescent="0.55000000000000004">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5.75" customHeight="1" x14ac:dyDescent="0.55000000000000004">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5.75" customHeight="1" x14ac:dyDescent="0.55000000000000004">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5.75" customHeight="1" x14ac:dyDescent="0.55000000000000004">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5.75" customHeight="1" x14ac:dyDescent="0.55000000000000004">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5.75" customHeight="1" x14ac:dyDescent="0.55000000000000004">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5.75" customHeight="1" x14ac:dyDescent="0.550000000000000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5.75" customHeight="1" x14ac:dyDescent="0.55000000000000004">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5.75" customHeight="1" x14ac:dyDescent="0.55000000000000004">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5.75" customHeight="1" x14ac:dyDescent="0.55000000000000004">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5.75" customHeight="1" x14ac:dyDescent="0.55000000000000004">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5.75" customHeight="1" x14ac:dyDescent="0.55000000000000004">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5.75" customHeight="1" x14ac:dyDescent="0.55000000000000004">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5.75" customHeight="1" x14ac:dyDescent="0.55000000000000004">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5.75" customHeight="1" x14ac:dyDescent="0.55000000000000004">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5.75" customHeight="1" x14ac:dyDescent="0.55000000000000004">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5.75" customHeight="1" x14ac:dyDescent="0.5500000000000000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5.75" customHeight="1" x14ac:dyDescent="0.55000000000000004">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5.75" customHeight="1" x14ac:dyDescent="0.55000000000000004">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5.75" customHeight="1" x14ac:dyDescent="0.55000000000000004">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5.75" customHeight="1" x14ac:dyDescent="0.55000000000000004">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5.75" customHeight="1" x14ac:dyDescent="0.55000000000000004">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5.75" customHeight="1" x14ac:dyDescent="0.55000000000000004">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5.75" customHeight="1" x14ac:dyDescent="0.55000000000000004">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5.75" customHeight="1" x14ac:dyDescent="0.55000000000000004">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5.75" customHeight="1" x14ac:dyDescent="0.55000000000000004">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5.75" customHeight="1" x14ac:dyDescent="0.5500000000000000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5.75" customHeight="1" x14ac:dyDescent="0.55000000000000004">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5.75" customHeight="1" x14ac:dyDescent="0.55000000000000004">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5.75" customHeight="1" x14ac:dyDescent="0.55000000000000004">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5.75" customHeight="1" x14ac:dyDescent="0.55000000000000004">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5.75" customHeight="1" x14ac:dyDescent="0.55000000000000004">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5.75" customHeight="1" x14ac:dyDescent="0.55000000000000004">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5.75" customHeight="1" x14ac:dyDescent="0.55000000000000004">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5.75" customHeight="1" x14ac:dyDescent="0.55000000000000004">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5.75" customHeight="1" x14ac:dyDescent="0.55000000000000004">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5.75" customHeight="1" x14ac:dyDescent="0.5500000000000000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5.75" customHeight="1" x14ac:dyDescent="0.55000000000000004">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5.75" customHeight="1" x14ac:dyDescent="0.55000000000000004">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5.75" customHeight="1" x14ac:dyDescent="0.55000000000000004">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5.75" customHeight="1" x14ac:dyDescent="0.55000000000000004">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5.75" customHeight="1" x14ac:dyDescent="0.55000000000000004">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5.75" customHeight="1" x14ac:dyDescent="0.55000000000000004">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5.75" customHeight="1" x14ac:dyDescent="0.55000000000000004">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5.75" customHeight="1" x14ac:dyDescent="0.55000000000000004">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5.75" customHeight="1" x14ac:dyDescent="0.55000000000000004">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5.75" customHeight="1" x14ac:dyDescent="0.5500000000000000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5.75" customHeight="1" x14ac:dyDescent="0.55000000000000004">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5.75" customHeight="1" x14ac:dyDescent="0.55000000000000004">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5.75" customHeight="1" x14ac:dyDescent="0.55000000000000004">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5.75" customHeight="1" x14ac:dyDescent="0.55000000000000004">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5.75" customHeight="1" x14ac:dyDescent="0.55000000000000004">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5.75" customHeight="1" x14ac:dyDescent="0.55000000000000004">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5.75" customHeight="1" x14ac:dyDescent="0.55000000000000004">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5.75" customHeight="1" x14ac:dyDescent="0.55000000000000004">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5.75" customHeight="1" x14ac:dyDescent="0.55000000000000004">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5.75" customHeight="1" x14ac:dyDescent="0.5500000000000000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5.75" customHeight="1" x14ac:dyDescent="0.55000000000000004">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5.75" customHeight="1" x14ac:dyDescent="0.55000000000000004">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5.75" customHeight="1" x14ac:dyDescent="0.55000000000000004">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5.75" customHeight="1" x14ac:dyDescent="0.55000000000000004">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5.75" customHeight="1" x14ac:dyDescent="0.55000000000000004">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5.75" customHeight="1" x14ac:dyDescent="0.55000000000000004">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5.75" customHeight="1" x14ac:dyDescent="0.55000000000000004">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5.75" customHeight="1" x14ac:dyDescent="0.55000000000000004">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5.75" customHeight="1" x14ac:dyDescent="0.55000000000000004">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5.75" customHeight="1" x14ac:dyDescent="0.5500000000000000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5.75" customHeight="1" x14ac:dyDescent="0.55000000000000004">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5.75" customHeight="1" x14ac:dyDescent="0.55000000000000004">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5.75" customHeight="1" x14ac:dyDescent="0.55000000000000004">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5.75" customHeight="1" x14ac:dyDescent="0.55000000000000004">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5.75" customHeight="1" x14ac:dyDescent="0.55000000000000004">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5.75" customHeight="1" x14ac:dyDescent="0.55000000000000004">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5.75" customHeight="1" x14ac:dyDescent="0.55000000000000004">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5.75" customHeight="1" x14ac:dyDescent="0.55000000000000004">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5.75" customHeight="1" x14ac:dyDescent="0.55000000000000004">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5.75" customHeight="1" x14ac:dyDescent="0.5500000000000000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5.75" customHeight="1" x14ac:dyDescent="0.55000000000000004">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5.75" customHeight="1" x14ac:dyDescent="0.55000000000000004">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5.75" customHeight="1" x14ac:dyDescent="0.55000000000000004">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5.75" customHeight="1" x14ac:dyDescent="0.55000000000000004">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5.75" customHeight="1" x14ac:dyDescent="0.55000000000000004">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5.75" customHeight="1" x14ac:dyDescent="0.55000000000000004">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5.75" customHeight="1" x14ac:dyDescent="0.55000000000000004">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5.75" customHeight="1" x14ac:dyDescent="0.55000000000000004">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5.75" customHeight="1" x14ac:dyDescent="0.55000000000000004">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5.75" customHeight="1" x14ac:dyDescent="0.5500000000000000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5.75" customHeight="1" x14ac:dyDescent="0.55000000000000004">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5.75" customHeight="1" x14ac:dyDescent="0.55000000000000004">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5.75" customHeight="1" x14ac:dyDescent="0.55000000000000004">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5.75" customHeight="1" x14ac:dyDescent="0.55000000000000004">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5.75" customHeight="1" x14ac:dyDescent="0.55000000000000004">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5.75" customHeight="1" x14ac:dyDescent="0.55000000000000004">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5.75" customHeight="1" x14ac:dyDescent="0.55000000000000004">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5.75" customHeight="1" x14ac:dyDescent="0.55000000000000004">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5.75" customHeight="1" x14ac:dyDescent="0.55000000000000004">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5.75" customHeight="1" x14ac:dyDescent="0.5500000000000000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5.75" customHeight="1" x14ac:dyDescent="0.55000000000000004">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5.75" customHeight="1" x14ac:dyDescent="0.55000000000000004">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5.75" customHeight="1" x14ac:dyDescent="0.55000000000000004">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5.75" customHeight="1" x14ac:dyDescent="0.55000000000000004">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5.75" customHeight="1" x14ac:dyDescent="0.55000000000000004">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5.75" customHeight="1" x14ac:dyDescent="0.55000000000000004">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outlinePr summaryBelow="0" summaryRight="0"/>
  </sheetPr>
  <dimension ref="A1:AA1411"/>
  <sheetViews>
    <sheetView workbookViewId="0">
      <pane xSplit="2" ySplit="1" topLeftCell="C2" activePane="bottomRight" state="frozen"/>
      <selection pane="topRight" activeCell="C1" sqref="C1"/>
      <selection pane="bottomLeft" activeCell="A2" sqref="A2"/>
      <selection pane="bottomRight"/>
    </sheetView>
  </sheetViews>
  <sheetFormatPr defaultColWidth="14.47265625" defaultRowHeight="15" customHeight="1" x14ac:dyDescent="0.55000000000000004"/>
  <cols>
    <col min="5" max="5" width="25.3125" customWidth="1"/>
    <col min="6" max="6" width="9.47265625" customWidth="1"/>
    <col min="7" max="7" width="11.15625" customWidth="1"/>
    <col min="8" max="8" width="9.68359375" customWidth="1"/>
    <col min="9" max="9" width="10.83984375" customWidth="1"/>
    <col min="12" max="12" width="15.47265625" customWidth="1"/>
  </cols>
  <sheetData>
    <row r="1" spans="1:27" ht="45" x14ac:dyDescent="0.55000000000000004">
      <c r="A1" s="115" t="s">
        <v>211</v>
      </c>
      <c r="B1" s="115" t="s">
        <v>212</v>
      </c>
      <c r="C1" s="115" t="s">
        <v>213</v>
      </c>
      <c r="D1" s="115" t="s">
        <v>734</v>
      </c>
      <c r="E1" s="155" t="s">
        <v>2356</v>
      </c>
      <c r="F1" s="155" t="s">
        <v>335</v>
      </c>
      <c r="G1" s="155" t="s">
        <v>337</v>
      </c>
      <c r="H1" s="155" t="s">
        <v>340</v>
      </c>
      <c r="I1" s="115" t="s">
        <v>2357</v>
      </c>
      <c r="J1" s="115" t="s">
        <v>2358</v>
      </c>
      <c r="K1" s="115" t="s">
        <v>2359</v>
      </c>
      <c r="L1" s="156" t="s">
        <v>2360</v>
      </c>
      <c r="M1" s="115" t="s">
        <v>696</v>
      </c>
      <c r="N1" s="157"/>
      <c r="O1" s="158"/>
      <c r="P1" s="158"/>
      <c r="Q1" s="158"/>
      <c r="R1" s="158"/>
      <c r="S1" s="158"/>
      <c r="T1" s="158"/>
      <c r="U1" s="158"/>
      <c r="V1" s="158"/>
      <c r="W1" s="158"/>
      <c r="X1" s="158"/>
      <c r="Y1" s="158"/>
      <c r="Z1" s="158"/>
      <c r="AA1" s="158"/>
    </row>
    <row r="2" spans="1:27" x14ac:dyDescent="0.55000000000000004">
      <c r="A2" s="159">
        <v>1</v>
      </c>
      <c r="B2" s="159" t="s">
        <v>844</v>
      </c>
      <c r="C2" s="159" t="s">
        <v>845</v>
      </c>
      <c r="D2" s="160">
        <v>24320</v>
      </c>
      <c r="E2" s="120" t="s">
        <v>2361</v>
      </c>
      <c r="F2" s="120">
        <v>23</v>
      </c>
      <c r="G2" s="120">
        <v>1</v>
      </c>
      <c r="H2" s="131">
        <v>0</v>
      </c>
      <c r="I2" s="120">
        <v>1</v>
      </c>
      <c r="J2" s="133" t="s">
        <v>2362</v>
      </c>
      <c r="K2" s="133">
        <v>2</v>
      </c>
      <c r="L2" s="117">
        <v>72.2</v>
      </c>
      <c r="M2" s="133">
        <f t="shared" ref="M2:M5" si="0">L2-F2</f>
        <v>49.2</v>
      </c>
      <c r="N2" s="157"/>
      <c r="O2" s="158"/>
      <c r="P2" s="158"/>
      <c r="Q2" s="158"/>
      <c r="R2" s="158"/>
      <c r="S2" s="158"/>
      <c r="T2" s="158"/>
      <c r="U2" s="158"/>
      <c r="V2" s="158"/>
      <c r="W2" s="158"/>
      <c r="X2" s="158"/>
      <c r="Y2" s="158"/>
      <c r="Z2" s="158"/>
      <c r="AA2" s="158"/>
    </row>
    <row r="3" spans="1:27" x14ac:dyDescent="0.55000000000000004">
      <c r="A3" s="159">
        <v>1</v>
      </c>
      <c r="B3" s="159" t="s">
        <v>844</v>
      </c>
      <c r="C3" s="159" t="s">
        <v>845</v>
      </c>
      <c r="D3" s="160">
        <v>24320</v>
      </c>
      <c r="E3" s="120" t="s">
        <v>2363</v>
      </c>
      <c r="F3" s="120">
        <v>43</v>
      </c>
      <c r="G3" s="120">
        <v>1</v>
      </c>
      <c r="H3" s="131">
        <v>0</v>
      </c>
      <c r="I3" s="120">
        <v>1</v>
      </c>
      <c r="J3" s="133" t="s">
        <v>2364</v>
      </c>
      <c r="K3" s="133">
        <v>1</v>
      </c>
      <c r="L3" s="117">
        <v>48.7</v>
      </c>
      <c r="M3" s="133">
        <f t="shared" si="0"/>
        <v>5.7000000000000028</v>
      </c>
      <c r="N3" s="157"/>
      <c r="O3" s="158"/>
      <c r="P3" s="158"/>
      <c r="Q3" s="158"/>
      <c r="R3" s="158"/>
      <c r="S3" s="158"/>
      <c r="T3" s="158"/>
      <c r="U3" s="158"/>
      <c r="V3" s="158"/>
      <c r="W3" s="158"/>
      <c r="X3" s="158"/>
      <c r="Y3" s="158"/>
      <c r="Z3" s="158"/>
      <c r="AA3" s="158"/>
    </row>
    <row r="4" spans="1:27" x14ac:dyDescent="0.55000000000000004">
      <c r="A4" s="159">
        <v>1</v>
      </c>
      <c r="B4" s="159" t="s">
        <v>844</v>
      </c>
      <c r="C4" s="159" t="s">
        <v>845</v>
      </c>
      <c r="D4" s="160">
        <v>24320</v>
      </c>
      <c r="E4" s="120" t="s">
        <v>2365</v>
      </c>
      <c r="F4" s="131">
        <v>16</v>
      </c>
      <c r="G4" s="120">
        <v>0</v>
      </c>
      <c r="H4" s="161" t="str">
        <f>HYPERLINK("https://www.findagrave.com/memorial/14715352/mark-jerome-gabour#view-photo=6671846","2")</f>
        <v>2</v>
      </c>
      <c r="I4" s="161" t="str">
        <f>HYPERLINK("http://behindthetower.org/the-victims/","0")</f>
        <v>0</v>
      </c>
      <c r="J4" s="133" t="s">
        <v>853</v>
      </c>
      <c r="K4" s="133">
        <v>0</v>
      </c>
      <c r="L4" s="117">
        <v>65.599999999999994</v>
      </c>
      <c r="M4" s="133">
        <f t="shared" si="0"/>
        <v>49.599999999999994</v>
      </c>
      <c r="N4" s="157"/>
      <c r="O4" s="158"/>
      <c r="P4" s="158"/>
      <c r="Q4" s="158"/>
      <c r="R4" s="158"/>
      <c r="S4" s="158"/>
      <c r="T4" s="158"/>
      <c r="U4" s="158"/>
      <c r="V4" s="158"/>
      <c r="W4" s="158"/>
      <c r="X4" s="158"/>
      <c r="Y4" s="158"/>
      <c r="Z4" s="158"/>
      <c r="AA4" s="158"/>
    </row>
    <row r="5" spans="1:27" x14ac:dyDescent="0.55000000000000004">
      <c r="A5" s="159">
        <v>1</v>
      </c>
      <c r="B5" s="159" t="s">
        <v>844</v>
      </c>
      <c r="C5" s="159" t="s">
        <v>845</v>
      </c>
      <c r="D5" s="160">
        <v>24320</v>
      </c>
      <c r="E5" s="120" t="s">
        <v>2366</v>
      </c>
      <c r="F5" s="131">
        <v>45</v>
      </c>
      <c r="G5" s="120">
        <v>1</v>
      </c>
      <c r="H5" s="161" t="str">
        <f>HYPERLINK("https://thedailytexan.com/features/tower/Marguerite-Lamport.html","0")</f>
        <v>0</v>
      </c>
      <c r="I5" s="120">
        <v>0</v>
      </c>
      <c r="J5" s="133" t="s">
        <v>853</v>
      </c>
      <c r="K5" s="133">
        <v>0</v>
      </c>
      <c r="L5" s="117">
        <v>48.7</v>
      </c>
      <c r="M5" s="133">
        <f t="shared" si="0"/>
        <v>3.7000000000000028</v>
      </c>
      <c r="N5" s="157"/>
      <c r="O5" s="158"/>
      <c r="P5" s="158"/>
      <c r="Q5" s="158"/>
      <c r="R5" s="158"/>
      <c r="S5" s="158"/>
      <c r="T5" s="158"/>
      <c r="U5" s="158"/>
      <c r="V5" s="158"/>
      <c r="W5" s="158"/>
      <c r="X5" s="158"/>
      <c r="Y5" s="158"/>
      <c r="Z5" s="158"/>
      <c r="AA5" s="158"/>
    </row>
    <row r="6" spans="1:27" x14ac:dyDescent="0.55000000000000004">
      <c r="A6" s="159">
        <v>1</v>
      </c>
      <c r="B6" s="159" t="s">
        <v>844</v>
      </c>
      <c r="C6" s="159" t="s">
        <v>845</v>
      </c>
      <c r="D6" s="160">
        <v>24320</v>
      </c>
      <c r="E6" s="120" t="s">
        <v>2367</v>
      </c>
      <c r="F6" s="161" t="str">
        <f>HYPERLINK("https://www.findagrave.com/memorial/7640226/edna-elnora-townsley","51")</f>
        <v>51</v>
      </c>
      <c r="G6" s="120">
        <v>1</v>
      </c>
      <c r="H6" s="161" t="str">
        <f>HYPERLINK("https://www.findagrave.com/memorial/7640226/edna-elnora-townsley","0")</f>
        <v>0</v>
      </c>
      <c r="I6" s="120">
        <v>2</v>
      </c>
      <c r="J6" s="133" t="s">
        <v>2368</v>
      </c>
      <c r="K6" s="133">
        <v>4</v>
      </c>
      <c r="L6" s="117">
        <v>48.7</v>
      </c>
      <c r="M6" s="133">
        <v>0</v>
      </c>
      <c r="N6" s="157"/>
      <c r="O6" s="158"/>
      <c r="P6" s="158"/>
      <c r="Q6" s="158"/>
      <c r="R6" s="158"/>
      <c r="S6" s="158"/>
      <c r="T6" s="158"/>
      <c r="U6" s="158"/>
      <c r="V6" s="158"/>
      <c r="W6" s="158"/>
      <c r="X6" s="158"/>
      <c r="Y6" s="158"/>
      <c r="Z6" s="158"/>
      <c r="AA6" s="158"/>
    </row>
    <row r="7" spans="1:27" x14ac:dyDescent="0.55000000000000004">
      <c r="A7" s="159">
        <v>1</v>
      </c>
      <c r="B7" s="159" t="s">
        <v>844</v>
      </c>
      <c r="C7" s="159" t="s">
        <v>845</v>
      </c>
      <c r="D7" s="160">
        <v>24320</v>
      </c>
      <c r="E7" s="120" t="s">
        <v>2369</v>
      </c>
      <c r="F7" s="120">
        <v>18</v>
      </c>
      <c r="G7" s="120">
        <v>0</v>
      </c>
      <c r="H7" s="161" t="str">
        <f>HYPERLINK("https://thedailytexan.com/features/tower/Thomas-Eckman.html","0")</f>
        <v>0</v>
      </c>
      <c r="I7" s="120">
        <v>2</v>
      </c>
      <c r="J7" s="133" t="s">
        <v>2370</v>
      </c>
      <c r="K7" s="133">
        <v>4</v>
      </c>
      <c r="L7" s="117">
        <v>66.5</v>
      </c>
      <c r="M7" s="133">
        <f t="shared" ref="M7:M24" si="1">L7-F7</f>
        <v>48.5</v>
      </c>
      <c r="N7" s="157"/>
      <c r="O7" s="158"/>
      <c r="P7" s="158"/>
      <c r="Q7" s="158"/>
      <c r="R7" s="158"/>
      <c r="S7" s="158"/>
      <c r="T7" s="158"/>
      <c r="U7" s="158"/>
      <c r="V7" s="158"/>
      <c r="W7" s="158"/>
      <c r="X7" s="158"/>
      <c r="Y7" s="158"/>
      <c r="Z7" s="158"/>
      <c r="AA7" s="158"/>
    </row>
    <row r="8" spans="1:27" x14ac:dyDescent="0.55000000000000004">
      <c r="A8" s="159">
        <v>1</v>
      </c>
      <c r="B8" s="159" t="s">
        <v>844</v>
      </c>
      <c r="C8" s="159" t="s">
        <v>845</v>
      </c>
      <c r="D8" s="160">
        <v>24320</v>
      </c>
      <c r="E8" s="120" t="s">
        <v>2371</v>
      </c>
      <c r="F8" s="131">
        <v>33</v>
      </c>
      <c r="G8" s="120">
        <v>0</v>
      </c>
      <c r="H8" s="161" t="str">
        <f>HYPERLINK("https://thedailytexan.com/features/tower/Robert-Boyer.html","0")</f>
        <v>0</v>
      </c>
      <c r="I8" s="120">
        <v>2</v>
      </c>
      <c r="J8" s="133" t="s">
        <v>2372</v>
      </c>
      <c r="K8" s="133">
        <v>4</v>
      </c>
      <c r="L8" s="117">
        <v>66.5</v>
      </c>
      <c r="M8" s="133">
        <f t="shared" si="1"/>
        <v>33.5</v>
      </c>
      <c r="N8" s="157"/>
      <c r="O8" s="158"/>
      <c r="P8" s="158"/>
      <c r="Q8" s="158"/>
      <c r="R8" s="158"/>
      <c r="S8" s="158"/>
      <c r="T8" s="158"/>
      <c r="U8" s="158"/>
      <c r="V8" s="158"/>
      <c r="W8" s="158"/>
      <c r="X8" s="158"/>
      <c r="Y8" s="158"/>
      <c r="Z8" s="158"/>
      <c r="AA8" s="158"/>
    </row>
    <row r="9" spans="1:27" x14ac:dyDescent="0.55000000000000004">
      <c r="A9" s="159">
        <v>1</v>
      </c>
      <c r="B9" s="159" t="s">
        <v>844</v>
      </c>
      <c r="C9" s="159" t="s">
        <v>845</v>
      </c>
      <c r="D9" s="160">
        <v>24320</v>
      </c>
      <c r="E9" s="120" t="s">
        <v>2373</v>
      </c>
      <c r="F9" s="131">
        <v>22</v>
      </c>
      <c r="G9" s="120">
        <v>0</v>
      </c>
      <c r="H9" s="161" t="str">
        <f>HYPERLINK("https://thedailytexan.com/features/tower/Thomas-Ashton.html","0")</f>
        <v>0</v>
      </c>
      <c r="I9" s="120">
        <v>2</v>
      </c>
      <c r="J9" s="133" t="s">
        <v>2370</v>
      </c>
      <c r="K9" s="133">
        <v>4</v>
      </c>
      <c r="L9" s="117">
        <v>66.5</v>
      </c>
      <c r="M9" s="133">
        <f t="shared" si="1"/>
        <v>44.5</v>
      </c>
      <c r="N9" s="157"/>
      <c r="O9" s="158"/>
      <c r="P9" s="158"/>
      <c r="Q9" s="158"/>
      <c r="R9" s="158"/>
      <c r="S9" s="158"/>
      <c r="T9" s="158"/>
      <c r="U9" s="158"/>
      <c r="V9" s="158"/>
      <c r="W9" s="158"/>
      <c r="X9" s="158"/>
      <c r="Y9" s="158"/>
      <c r="Z9" s="158"/>
      <c r="AA9" s="158"/>
    </row>
    <row r="10" spans="1:27" x14ac:dyDescent="0.55000000000000004">
      <c r="A10" s="159">
        <v>1</v>
      </c>
      <c r="B10" s="159" t="s">
        <v>844</v>
      </c>
      <c r="C10" s="159" t="s">
        <v>845</v>
      </c>
      <c r="D10" s="160">
        <v>24320</v>
      </c>
      <c r="E10" s="120" t="s">
        <v>2374</v>
      </c>
      <c r="F10" s="131">
        <v>17</v>
      </c>
      <c r="G10" s="120">
        <v>1</v>
      </c>
      <c r="H10" s="161" t="str">
        <f>HYPERLINK("https://www.findagrave.com/memorial/19868581/karen-joan-griffith","0")</f>
        <v>0</v>
      </c>
      <c r="I10" s="120">
        <v>0</v>
      </c>
      <c r="J10" s="133" t="s">
        <v>853</v>
      </c>
      <c r="K10" s="133">
        <v>0</v>
      </c>
      <c r="L10" s="117">
        <v>72.2</v>
      </c>
      <c r="M10" s="133">
        <f t="shared" si="1"/>
        <v>55.2</v>
      </c>
      <c r="N10" s="157"/>
      <c r="O10" s="158"/>
      <c r="P10" s="158"/>
      <c r="Q10" s="158"/>
      <c r="R10" s="158"/>
      <c r="S10" s="158"/>
      <c r="T10" s="158"/>
      <c r="U10" s="158"/>
      <c r="V10" s="158"/>
      <c r="W10" s="158"/>
      <c r="X10" s="158"/>
      <c r="Y10" s="158"/>
      <c r="Z10" s="158"/>
      <c r="AA10" s="158"/>
    </row>
    <row r="11" spans="1:27" x14ac:dyDescent="0.55000000000000004">
      <c r="A11" s="159">
        <v>1</v>
      </c>
      <c r="B11" s="159" t="s">
        <v>844</v>
      </c>
      <c r="C11" s="159" t="s">
        <v>845</v>
      </c>
      <c r="D11" s="160">
        <v>24320</v>
      </c>
      <c r="E11" s="120" t="s">
        <v>2375</v>
      </c>
      <c r="F11" s="131">
        <v>24</v>
      </c>
      <c r="G11" s="120">
        <v>0</v>
      </c>
      <c r="H11" s="161" t="str">
        <f>HYPERLINK("https://thedailytexan.com/features/tower/Thomas-Karr.html","0")</f>
        <v>0</v>
      </c>
      <c r="I11" s="120">
        <v>2</v>
      </c>
      <c r="J11" s="133" t="s">
        <v>2370</v>
      </c>
      <c r="K11" s="133">
        <v>4</v>
      </c>
      <c r="L11" s="117">
        <v>66.5</v>
      </c>
      <c r="M11" s="133">
        <f t="shared" si="1"/>
        <v>42.5</v>
      </c>
      <c r="N11" s="157"/>
      <c r="O11" s="158"/>
      <c r="P11" s="158"/>
      <c r="Q11" s="158"/>
      <c r="R11" s="158"/>
      <c r="S11" s="158"/>
      <c r="T11" s="158"/>
      <c r="U11" s="158"/>
      <c r="V11" s="158"/>
      <c r="W11" s="158"/>
      <c r="X11" s="158"/>
      <c r="Y11" s="158"/>
      <c r="Z11" s="158"/>
      <c r="AA11" s="158"/>
    </row>
    <row r="12" spans="1:27" x14ac:dyDescent="0.55000000000000004">
      <c r="A12" s="159">
        <v>1</v>
      </c>
      <c r="B12" s="159" t="s">
        <v>844</v>
      </c>
      <c r="C12" s="159" t="s">
        <v>845</v>
      </c>
      <c r="D12" s="160">
        <v>24320</v>
      </c>
      <c r="E12" s="120" t="s">
        <v>2376</v>
      </c>
      <c r="F12" s="131">
        <v>18</v>
      </c>
      <c r="G12" s="120">
        <v>1</v>
      </c>
      <c r="H12" s="131">
        <v>0</v>
      </c>
      <c r="I12" s="120">
        <v>0</v>
      </c>
      <c r="J12" s="133" t="s">
        <v>853</v>
      </c>
      <c r="K12" s="133">
        <v>0</v>
      </c>
      <c r="L12" s="117">
        <v>72.2</v>
      </c>
      <c r="M12" s="133">
        <f t="shared" si="1"/>
        <v>54.2</v>
      </c>
      <c r="N12" s="157"/>
      <c r="O12" s="158"/>
      <c r="P12" s="158"/>
      <c r="Q12" s="158"/>
      <c r="R12" s="158"/>
      <c r="S12" s="158"/>
      <c r="T12" s="158"/>
      <c r="U12" s="158"/>
      <c r="V12" s="158"/>
      <c r="W12" s="158"/>
      <c r="X12" s="158"/>
      <c r="Y12" s="158"/>
      <c r="Z12" s="158"/>
      <c r="AA12" s="158"/>
    </row>
    <row r="13" spans="1:27" x14ac:dyDescent="0.55000000000000004">
      <c r="A13" s="159">
        <v>1</v>
      </c>
      <c r="B13" s="159" t="s">
        <v>844</v>
      </c>
      <c r="C13" s="159" t="s">
        <v>845</v>
      </c>
      <c r="D13" s="160">
        <v>24320</v>
      </c>
      <c r="E13" s="120" t="s">
        <v>2377</v>
      </c>
      <c r="F13" s="131">
        <v>18</v>
      </c>
      <c r="G13" s="120">
        <v>0</v>
      </c>
      <c r="H13" s="161" t="str">
        <f>HYPERLINK("https://thedailytexan.com/features/tower/Paul-Sonntag.html","0")</f>
        <v>0</v>
      </c>
      <c r="I13" s="120">
        <v>0</v>
      </c>
      <c r="J13" s="133" t="s">
        <v>853</v>
      </c>
      <c r="K13" s="133">
        <v>0</v>
      </c>
      <c r="L13" s="117">
        <v>66.5</v>
      </c>
      <c r="M13" s="133">
        <f t="shared" si="1"/>
        <v>48.5</v>
      </c>
      <c r="N13" s="157"/>
      <c r="O13" s="158"/>
      <c r="P13" s="158"/>
      <c r="Q13" s="158"/>
      <c r="R13" s="158"/>
      <c r="S13" s="158"/>
      <c r="T13" s="158"/>
      <c r="U13" s="158"/>
      <c r="V13" s="158"/>
      <c r="W13" s="158"/>
      <c r="X13" s="158"/>
      <c r="Y13" s="158"/>
      <c r="Z13" s="158"/>
      <c r="AA13" s="158"/>
    </row>
    <row r="14" spans="1:27" x14ac:dyDescent="0.55000000000000004">
      <c r="A14" s="159">
        <v>1</v>
      </c>
      <c r="B14" s="159" t="s">
        <v>844</v>
      </c>
      <c r="C14" s="159" t="s">
        <v>845</v>
      </c>
      <c r="D14" s="160">
        <v>24320</v>
      </c>
      <c r="E14" s="120" t="s">
        <v>2378</v>
      </c>
      <c r="F14" s="161" t="str">
        <f>HYPERLINK("http://behindthetower.org/the-victims/","24")</f>
        <v>24</v>
      </c>
      <c r="G14" s="120">
        <v>0</v>
      </c>
      <c r="H14" s="131">
        <v>0</v>
      </c>
      <c r="I14" s="120">
        <v>0</v>
      </c>
      <c r="J14" s="133" t="s">
        <v>853</v>
      </c>
      <c r="K14" s="133">
        <v>0</v>
      </c>
      <c r="L14" s="117">
        <v>66.5</v>
      </c>
      <c r="M14" s="133">
        <f t="shared" si="1"/>
        <v>42.5</v>
      </c>
      <c r="N14" s="157"/>
      <c r="O14" s="158"/>
      <c r="P14" s="158"/>
      <c r="Q14" s="158"/>
      <c r="R14" s="158"/>
      <c r="S14" s="158"/>
      <c r="T14" s="158"/>
      <c r="U14" s="158"/>
      <c r="V14" s="158"/>
      <c r="W14" s="158"/>
      <c r="X14" s="158"/>
      <c r="Y14" s="158"/>
      <c r="Z14" s="158"/>
      <c r="AA14" s="158"/>
    </row>
    <row r="15" spans="1:27" x14ac:dyDescent="0.55000000000000004">
      <c r="A15" s="159">
        <v>1</v>
      </c>
      <c r="B15" s="159" t="s">
        <v>844</v>
      </c>
      <c r="C15" s="159" t="s">
        <v>845</v>
      </c>
      <c r="D15" s="160">
        <v>24320</v>
      </c>
      <c r="E15" s="120" t="s">
        <v>2379</v>
      </c>
      <c r="F15" s="131">
        <v>29</v>
      </c>
      <c r="G15" s="120">
        <v>0</v>
      </c>
      <c r="H15" s="131">
        <v>0</v>
      </c>
      <c r="I15" s="120">
        <v>0</v>
      </c>
      <c r="J15" s="133" t="s">
        <v>853</v>
      </c>
      <c r="K15" s="133">
        <v>0</v>
      </c>
      <c r="L15" s="117">
        <v>66.5</v>
      </c>
      <c r="M15" s="133">
        <f t="shared" si="1"/>
        <v>37.5</v>
      </c>
      <c r="N15" s="157"/>
      <c r="O15" s="158"/>
      <c r="P15" s="158"/>
      <c r="Q15" s="158"/>
      <c r="R15" s="158"/>
      <c r="S15" s="158"/>
      <c r="T15" s="158"/>
      <c r="U15" s="158"/>
      <c r="V15" s="158"/>
      <c r="W15" s="158"/>
      <c r="X15" s="158"/>
      <c r="Y15" s="158"/>
      <c r="Z15" s="158"/>
      <c r="AA15" s="158"/>
    </row>
    <row r="16" spans="1:27" x14ac:dyDescent="0.55000000000000004">
      <c r="A16" s="159">
        <v>1</v>
      </c>
      <c r="B16" s="159" t="s">
        <v>844</v>
      </c>
      <c r="C16" s="159" t="s">
        <v>845</v>
      </c>
      <c r="D16" s="160">
        <v>24320</v>
      </c>
      <c r="E16" s="120" t="s">
        <v>2380</v>
      </c>
      <c r="F16" s="131">
        <v>38</v>
      </c>
      <c r="G16" s="120">
        <v>0</v>
      </c>
      <c r="H16" s="161" t="str">
        <f>HYPERLINK("https://thedailytexan.com/features/tower/Harry-Walchuck.html","0")</f>
        <v>0</v>
      </c>
      <c r="I16" s="120">
        <v>2</v>
      </c>
      <c r="J16" s="133" t="s">
        <v>2370</v>
      </c>
      <c r="K16" s="133">
        <v>4</v>
      </c>
      <c r="L16" s="117">
        <v>66.5</v>
      </c>
      <c r="M16" s="133">
        <f t="shared" si="1"/>
        <v>28.5</v>
      </c>
      <c r="N16" s="157"/>
      <c r="O16" s="158"/>
      <c r="P16" s="158"/>
      <c r="Q16" s="158"/>
      <c r="R16" s="158"/>
      <c r="S16" s="158"/>
      <c r="T16" s="158"/>
      <c r="U16" s="158"/>
      <c r="V16" s="158"/>
      <c r="W16" s="158"/>
      <c r="X16" s="158"/>
      <c r="Y16" s="158"/>
      <c r="Z16" s="158"/>
      <c r="AA16" s="158"/>
    </row>
    <row r="17" spans="1:27" x14ac:dyDescent="0.55000000000000004">
      <c r="A17" s="162">
        <v>2</v>
      </c>
      <c r="B17" s="162" t="s">
        <v>858</v>
      </c>
      <c r="C17" s="162" t="s">
        <v>859</v>
      </c>
      <c r="D17" s="163">
        <v>24423</v>
      </c>
      <c r="E17" s="120" t="s">
        <v>2381</v>
      </c>
      <c r="F17" s="131">
        <v>27</v>
      </c>
      <c r="G17" s="120">
        <v>1</v>
      </c>
      <c r="H17" s="131">
        <v>0</v>
      </c>
      <c r="I17" s="120">
        <v>0</v>
      </c>
      <c r="J17" s="133" t="s">
        <v>853</v>
      </c>
      <c r="K17" s="133">
        <v>0</v>
      </c>
      <c r="L17" s="117">
        <v>72.2</v>
      </c>
      <c r="M17" s="133">
        <f t="shared" si="1"/>
        <v>45.2</v>
      </c>
      <c r="N17" s="157"/>
      <c r="O17" s="158"/>
      <c r="P17" s="158"/>
      <c r="Q17" s="158"/>
      <c r="R17" s="158"/>
      <c r="S17" s="158"/>
      <c r="T17" s="158"/>
      <c r="U17" s="158"/>
      <c r="V17" s="158"/>
      <c r="W17" s="158"/>
      <c r="X17" s="158"/>
      <c r="Y17" s="158"/>
      <c r="Z17" s="158"/>
      <c r="AA17" s="158"/>
    </row>
    <row r="18" spans="1:27" x14ac:dyDescent="0.55000000000000004">
      <c r="A18" s="162">
        <v>2</v>
      </c>
      <c r="B18" s="162" t="s">
        <v>858</v>
      </c>
      <c r="C18" s="162" t="s">
        <v>859</v>
      </c>
      <c r="D18" s="163">
        <v>24423</v>
      </c>
      <c r="E18" s="120" t="s">
        <v>2382</v>
      </c>
      <c r="F18" s="131">
        <v>3</v>
      </c>
      <c r="G18" s="120">
        <v>1</v>
      </c>
      <c r="H18" s="131">
        <v>0</v>
      </c>
      <c r="I18" s="120">
        <v>0</v>
      </c>
      <c r="J18" s="133" t="s">
        <v>853</v>
      </c>
      <c r="K18" s="133">
        <v>0</v>
      </c>
      <c r="L18" s="117">
        <v>72.2</v>
      </c>
      <c r="M18" s="133">
        <f t="shared" si="1"/>
        <v>69.2</v>
      </c>
      <c r="N18" s="157"/>
      <c r="O18" s="158"/>
      <c r="P18" s="158"/>
      <c r="Q18" s="158"/>
      <c r="R18" s="158"/>
      <c r="S18" s="158"/>
      <c r="T18" s="158"/>
      <c r="U18" s="158"/>
      <c r="V18" s="158"/>
      <c r="W18" s="158"/>
      <c r="X18" s="158"/>
      <c r="Y18" s="158"/>
      <c r="Z18" s="158"/>
      <c r="AA18" s="158"/>
    </row>
    <row r="19" spans="1:27" x14ac:dyDescent="0.55000000000000004">
      <c r="A19" s="162">
        <v>2</v>
      </c>
      <c r="B19" s="162" t="s">
        <v>858</v>
      </c>
      <c r="C19" s="162" t="s">
        <v>859</v>
      </c>
      <c r="D19" s="163">
        <v>24423</v>
      </c>
      <c r="E19" s="120" t="s">
        <v>2383</v>
      </c>
      <c r="F19" s="131">
        <v>18</v>
      </c>
      <c r="G19" s="120">
        <v>1</v>
      </c>
      <c r="H19" s="131">
        <v>0</v>
      </c>
      <c r="I19" s="120">
        <v>0</v>
      </c>
      <c r="J19" s="133" t="s">
        <v>853</v>
      </c>
      <c r="K19" s="133">
        <v>0</v>
      </c>
      <c r="L19" s="117">
        <v>72.2</v>
      </c>
      <c r="M19" s="133">
        <f t="shared" si="1"/>
        <v>54.2</v>
      </c>
      <c r="N19" s="157"/>
      <c r="O19" s="158"/>
      <c r="P19" s="158"/>
      <c r="Q19" s="158"/>
      <c r="R19" s="158"/>
      <c r="S19" s="158"/>
      <c r="T19" s="158"/>
      <c r="U19" s="158"/>
      <c r="V19" s="158"/>
      <c r="W19" s="158"/>
      <c r="X19" s="158"/>
      <c r="Y19" s="158"/>
      <c r="Z19" s="158"/>
      <c r="AA19" s="158"/>
    </row>
    <row r="20" spans="1:27" x14ac:dyDescent="0.55000000000000004">
      <c r="A20" s="162">
        <v>2</v>
      </c>
      <c r="B20" s="162" t="s">
        <v>858</v>
      </c>
      <c r="C20" s="162" t="s">
        <v>859</v>
      </c>
      <c r="D20" s="163">
        <v>24423</v>
      </c>
      <c r="E20" s="120" t="s">
        <v>2384</v>
      </c>
      <c r="F20" s="131">
        <v>18</v>
      </c>
      <c r="G20" s="120">
        <v>1</v>
      </c>
      <c r="H20" s="131">
        <v>0</v>
      </c>
      <c r="I20" s="120">
        <v>0</v>
      </c>
      <c r="J20" s="133" t="s">
        <v>853</v>
      </c>
      <c r="K20" s="133">
        <v>0</v>
      </c>
      <c r="L20" s="117">
        <v>72.2</v>
      </c>
      <c r="M20" s="133">
        <f t="shared" si="1"/>
        <v>54.2</v>
      </c>
      <c r="N20" s="157"/>
      <c r="O20" s="158"/>
      <c r="P20" s="158"/>
      <c r="Q20" s="158"/>
      <c r="R20" s="158"/>
      <c r="S20" s="158"/>
      <c r="T20" s="158"/>
      <c r="U20" s="158"/>
      <c r="V20" s="158"/>
      <c r="W20" s="158"/>
      <c r="X20" s="158"/>
      <c r="Y20" s="158"/>
      <c r="Z20" s="158"/>
      <c r="AA20" s="158"/>
    </row>
    <row r="21" spans="1:27" ht="15.75" customHeight="1" x14ac:dyDescent="0.55000000000000004">
      <c r="A21" s="162">
        <v>2</v>
      </c>
      <c r="B21" s="162" t="s">
        <v>858</v>
      </c>
      <c r="C21" s="162" t="s">
        <v>859</v>
      </c>
      <c r="D21" s="163">
        <v>24423</v>
      </c>
      <c r="E21" s="120" t="s">
        <v>2385</v>
      </c>
      <c r="F21" s="131">
        <v>19</v>
      </c>
      <c r="G21" s="120">
        <v>1</v>
      </c>
      <c r="H21" s="131">
        <v>0</v>
      </c>
      <c r="I21" s="120">
        <v>0</v>
      </c>
      <c r="J21" s="133" t="s">
        <v>853</v>
      </c>
      <c r="K21" s="133">
        <v>0</v>
      </c>
      <c r="L21" s="117">
        <v>72.2</v>
      </c>
      <c r="M21" s="133">
        <f t="shared" si="1"/>
        <v>53.2</v>
      </c>
      <c r="N21" s="157"/>
      <c r="O21" s="158"/>
      <c r="P21" s="158"/>
      <c r="Q21" s="158"/>
      <c r="R21" s="158"/>
      <c r="S21" s="158"/>
      <c r="T21" s="158"/>
      <c r="U21" s="158"/>
      <c r="V21" s="158"/>
      <c r="W21" s="158"/>
      <c r="X21" s="158"/>
      <c r="Y21" s="158"/>
      <c r="Z21" s="158"/>
      <c r="AA21" s="158"/>
    </row>
    <row r="22" spans="1:27" ht="15.75" customHeight="1" x14ac:dyDescent="0.55000000000000004">
      <c r="A22" s="164">
        <v>3</v>
      </c>
      <c r="B22" s="164" t="s">
        <v>869</v>
      </c>
      <c r="C22" s="164" t="s">
        <v>870</v>
      </c>
      <c r="D22" s="165">
        <v>24768</v>
      </c>
      <c r="E22" s="120" t="s">
        <v>2386</v>
      </c>
      <c r="F22" s="131">
        <v>44</v>
      </c>
      <c r="G22" s="120">
        <v>0</v>
      </c>
      <c r="H22" s="131">
        <v>0</v>
      </c>
      <c r="I22" s="120">
        <v>1</v>
      </c>
      <c r="J22" s="131" t="s">
        <v>2387</v>
      </c>
      <c r="K22" s="133">
        <v>3</v>
      </c>
      <c r="L22" s="117">
        <v>46.6</v>
      </c>
      <c r="M22" s="133">
        <f t="shared" si="1"/>
        <v>2.6000000000000014</v>
      </c>
      <c r="N22" s="157"/>
      <c r="O22" s="158"/>
      <c r="P22" s="158"/>
      <c r="Q22" s="158"/>
      <c r="R22" s="158"/>
      <c r="S22" s="158"/>
      <c r="T22" s="158"/>
      <c r="U22" s="158"/>
      <c r="V22" s="158"/>
      <c r="W22" s="158"/>
      <c r="X22" s="158"/>
      <c r="Y22" s="158"/>
      <c r="Z22" s="158"/>
      <c r="AA22" s="158"/>
    </row>
    <row r="23" spans="1:27" ht="15.75" customHeight="1" x14ac:dyDescent="0.55000000000000004">
      <c r="A23" s="164">
        <v>3</v>
      </c>
      <c r="B23" s="164" t="s">
        <v>869</v>
      </c>
      <c r="C23" s="164" t="s">
        <v>870</v>
      </c>
      <c r="D23" s="165">
        <v>24768</v>
      </c>
      <c r="E23" s="120" t="s">
        <v>2388</v>
      </c>
      <c r="F23" s="131">
        <v>32</v>
      </c>
      <c r="G23" s="120">
        <v>0</v>
      </c>
      <c r="H23" s="131">
        <v>0</v>
      </c>
      <c r="I23" s="120">
        <v>1</v>
      </c>
      <c r="J23" s="131" t="s">
        <v>2387</v>
      </c>
      <c r="K23" s="133">
        <v>3</v>
      </c>
      <c r="L23" s="117">
        <v>66.5</v>
      </c>
      <c r="M23" s="133">
        <f t="shared" si="1"/>
        <v>34.5</v>
      </c>
      <c r="N23" s="157"/>
      <c r="O23" s="158"/>
      <c r="P23" s="158"/>
      <c r="Q23" s="158"/>
      <c r="R23" s="158"/>
      <c r="S23" s="158"/>
      <c r="T23" s="158"/>
      <c r="U23" s="158"/>
      <c r="V23" s="158"/>
      <c r="W23" s="158"/>
      <c r="X23" s="158"/>
      <c r="Y23" s="158"/>
      <c r="Z23" s="158"/>
      <c r="AA23" s="158"/>
    </row>
    <row r="24" spans="1:27" ht="15.75" customHeight="1" x14ac:dyDescent="0.55000000000000004">
      <c r="A24" s="164">
        <v>3</v>
      </c>
      <c r="B24" s="164" t="s">
        <v>869</v>
      </c>
      <c r="C24" s="164" t="s">
        <v>870</v>
      </c>
      <c r="D24" s="165">
        <v>24768</v>
      </c>
      <c r="E24" s="120" t="s">
        <v>2389</v>
      </c>
      <c r="F24" s="131">
        <v>31</v>
      </c>
      <c r="G24" s="120">
        <v>0</v>
      </c>
      <c r="H24" s="131">
        <v>0</v>
      </c>
      <c r="I24" s="120">
        <v>1</v>
      </c>
      <c r="J24" s="131" t="s">
        <v>2387</v>
      </c>
      <c r="K24" s="133">
        <v>3</v>
      </c>
      <c r="L24" s="117">
        <v>66.5</v>
      </c>
      <c r="M24" s="133">
        <f t="shared" si="1"/>
        <v>35.5</v>
      </c>
      <c r="N24" s="157"/>
      <c r="O24" s="158"/>
      <c r="P24" s="158"/>
      <c r="Q24" s="158"/>
      <c r="R24" s="158"/>
      <c r="S24" s="158"/>
      <c r="T24" s="158"/>
      <c r="U24" s="158"/>
      <c r="V24" s="158"/>
      <c r="W24" s="158"/>
      <c r="X24" s="158"/>
      <c r="Y24" s="158"/>
      <c r="Z24" s="158"/>
      <c r="AA24" s="158"/>
    </row>
    <row r="25" spans="1:27" ht="15.75" customHeight="1" x14ac:dyDescent="0.55000000000000004">
      <c r="A25" s="164">
        <v>3</v>
      </c>
      <c r="B25" s="164" t="s">
        <v>869</v>
      </c>
      <c r="C25" s="164" t="s">
        <v>870</v>
      </c>
      <c r="D25" s="165">
        <v>24768</v>
      </c>
      <c r="E25" s="120" t="s">
        <v>2390</v>
      </c>
      <c r="F25" s="131">
        <v>62</v>
      </c>
      <c r="G25" s="120">
        <v>0</v>
      </c>
      <c r="H25" s="131">
        <v>0</v>
      </c>
      <c r="I25" s="120">
        <v>1</v>
      </c>
      <c r="J25" s="131" t="s">
        <v>2391</v>
      </c>
      <c r="K25" s="133">
        <v>3</v>
      </c>
      <c r="L25" s="117">
        <v>46.6</v>
      </c>
      <c r="M25" s="133">
        <v>0</v>
      </c>
      <c r="N25" s="157"/>
      <c r="O25" s="158"/>
      <c r="P25" s="158"/>
      <c r="Q25" s="158"/>
      <c r="R25" s="158"/>
      <c r="S25" s="158"/>
      <c r="T25" s="158"/>
      <c r="U25" s="158"/>
      <c r="V25" s="158"/>
      <c r="W25" s="158"/>
      <c r="X25" s="158"/>
      <c r="Y25" s="158"/>
      <c r="Z25" s="158"/>
      <c r="AA25" s="158"/>
    </row>
    <row r="26" spans="1:27" ht="15.75" customHeight="1" x14ac:dyDescent="0.55000000000000004">
      <c r="A26" s="164">
        <v>3</v>
      </c>
      <c r="B26" s="164" t="s">
        <v>869</v>
      </c>
      <c r="C26" s="164" t="s">
        <v>870</v>
      </c>
      <c r="D26" s="165">
        <v>24768</v>
      </c>
      <c r="E26" s="120" t="s">
        <v>2392</v>
      </c>
      <c r="F26" s="131">
        <v>37</v>
      </c>
      <c r="G26" s="120">
        <v>0</v>
      </c>
      <c r="H26" s="131">
        <v>0</v>
      </c>
      <c r="I26" s="120">
        <v>1</v>
      </c>
      <c r="J26" s="131" t="s">
        <v>2387</v>
      </c>
      <c r="K26" s="133">
        <v>3</v>
      </c>
      <c r="L26" s="117">
        <v>66.5</v>
      </c>
      <c r="M26" s="133">
        <f t="shared" ref="M26:M28" si="2">L26-F26</f>
        <v>29.5</v>
      </c>
      <c r="N26" s="157"/>
      <c r="O26" s="158"/>
      <c r="P26" s="158"/>
      <c r="Q26" s="158"/>
      <c r="R26" s="158"/>
      <c r="S26" s="158"/>
      <c r="T26" s="158"/>
      <c r="U26" s="158"/>
      <c r="V26" s="158"/>
      <c r="W26" s="158"/>
      <c r="X26" s="158"/>
      <c r="Y26" s="158"/>
      <c r="Z26" s="158"/>
      <c r="AA26" s="158"/>
    </row>
    <row r="27" spans="1:27" ht="15.75" customHeight="1" x14ac:dyDescent="0.55000000000000004">
      <c r="A27" s="164">
        <v>3</v>
      </c>
      <c r="B27" s="164" t="s">
        <v>869</v>
      </c>
      <c r="C27" s="164" t="s">
        <v>870</v>
      </c>
      <c r="D27" s="165">
        <v>24768</v>
      </c>
      <c r="E27" s="120" t="s">
        <v>2393</v>
      </c>
      <c r="F27" s="131">
        <v>27</v>
      </c>
      <c r="G27" s="120">
        <v>0</v>
      </c>
      <c r="H27" s="131">
        <v>0</v>
      </c>
      <c r="I27" s="120">
        <v>1</v>
      </c>
      <c r="J27" s="131" t="s">
        <v>2394</v>
      </c>
      <c r="K27" s="133">
        <v>5</v>
      </c>
      <c r="L27" s="117">
        <v>66.5</v>
      </c>
      <c r="M27" s="133">
        <f t="shared" si="2"/>
        <v>39.5</v>
      </c>
      <c r="N27" s="157"/>
      <c r="O27" s="158"/>
      <c r="P27" s="158"/>
      <c r="Q27" s="158"/>
      <c r="R27" s="158"/>
      <c r="S27" s="158"/>
      <c r="T27" s="158"/>
      <c r="U27" s="158"/>
      <c r="V27" s="158"/>
      <c r="W27" s="158"/>
      <c r="X27" s="158"/>
      <c r="Y27" s="158"/>
      <c r="Z27" s="158"/>
      <c r="AA27" s="158"/>
    </row>
    <row r="28" spans="1:27" ht="15.75" customHeight="1" x14ac:dyDescent="0.55000000000000004">
      <c r="A28" s="166">
        <v>4</v>
      </c>
      <c r="B28" s="166" t="s">
        <v>877</v>
      </c>
      <c r="C28" s="166" t="s">
        <v>878</v>
      </c>
      <c r="D28" s="167">
        <v>24913</v>
      </c>
      <c r="E28" s="120" t="s">
        <v>2395</v>
      </c>
      <c r="F28" s="161" t="str">
        <f>HYPERLINK("https://news.google.com/newspapers?id=ZRgMAAAAIBAJ&amp;sjid=rlwDAAAAIBAJ&amp;pg=6550,4991780&amp;dq=&amp;hl=en","41")</f>
        <v>41</v>
      </c>
      <c r="G28" s="120">
        <v>1</v>
      </c>
      <c r="H28" s="131">
        <v>0</v>
      </c>
      <c r="I28" s="120">
        <v>1</v>
      </c>
      <c r="J28" s="168" t="str">
        <f>HYPERLINK("https://newspaperarchive.com/other-articles-clipping-mar-21-1968-48914/","neighbor")</f>
        <v>neighbor</v>
      </c>
      <c r="K28" s="133">
        <v>5</v>
      </c>
      <c r="L28" s="117">
        <v>72.2</v>
      </c>
      <c r="M28" s="133">
        <f t="shared" si="2"/>
        <v>31.200000000000003</v>
      </c>
      <c r="N28" s="157"/>
      <c r="O28" s="158"/>
      <c r="P28" s="158"/>
      <c r="Q28" s="158"/>
      <c r="R28" s="158"/>
      <c r="S28" s="158"/>
      <c r="T28" s="158"/>
      <c r="U28" s="158"/>
      <c r="V28" s="158"/>
      <c r="W28" s="158"/>
      <c r="X28" s="158"/>
      <c r="Y28" s="158"/>
      <c r="Z28" s="158"/>
      <c r="AA28" s="158"/>
    </row>
    <row r="29" spans="1:27" ht="15.75" customHeight="1" x14ac:dyDescent="0.55000000000000004">
      <c r="A29" s="166">
        <v>4</v>
      </c>
      <c r="B29" s="166" t="s">
        <v>877</v>
      </c>
      <c r="C29" s="166" t="s">
        <v>878</v>
      </c>
      <c r="D29" s="167">
        <v>24913</v>
      </c>
      <c r="E29" s="120" t="s">
        <v>2396</v>
      </c>
      <c r="F29" s="161" t="str">
        <f>HYPERLINK("https://newspaperarchive.com/other-articles-clipping-mar-21-1968-48914/","49")</f>
        <v>49</v>
      </c>
      <c r="G29" s="120">
        <v>0</v>
      </c>
      <c r="H29" s="131">
        <v>0</v>
      </c>
      <c r="I29" s="120">
        <v>1</v>
      </c>
      <c r="J29" s="131" t="s">
        <v>2397</v>
      </c>
      <c r="K29" s="133">
        <v>5</v>
      </c>
      <c r="L29" s="117">
        <v>46.6</v>
      </c>
      <c r="M29" s="133">
        <v>0</v>
      </c>
      <c r="N29" s="157"/>
      <c r="O29" s="158"/>
      <c r="P29" s="158"/>
      <c r="Q29" s="158"/>
      <c r="R29" s="158"/>
      <c r="S29" s="158"/>
      <c r="T29" s="158"/>
      <c r="U29" s="158"/>
      <c r="V29" s="158"/>
      <c r="W29" s="158"/>
      <c r="X29" s="158"/>
      <c r="Y29" s="158"/>
      <c r="Z29" s="158"/>
      <c r="AA29" s="158"/>
    </row>
    <row r="30" spans="1:27" ht="15.75" customHeight="1" x14ac:dyDescent="0.55000000000000004">
      <c r="A30" s="166">
        <v>4</v>
      </c>
      <c r="B30" s="166" t="s">
        <v>877</v>
      </c>
      <c r="C30" s="166" t="s">
        <v>878</v>
      </c>
      <c r="D30" s="167">
        <v>24913</v>
      </c>
      <c r="E30" s="120" t="s">
        <v>2398</v>
      </c>
      <c r="F30" s="161" t="str">
        <f>HYPERLINK("https://news.google.com/newspapers?id=ZRgMAAAAIBAJ&amp;sjid=rlwDAAAAIBAJ&amp;pg=6550,4991780&amp;dq=&amp;hl=en","61")</f>
        <v>61</v>
      </c>
      <c r="G30" s="120">
        <v>1</v>
      </c>
      <c r="H30" s="131">
        <v>0</v>
      </c>
      <c r="I30" s="120">
        <v>2</v>
      </c>
      <c r="J30" s="168" t="str">
        <f>HYPERLINK("https://newspaperarchive.com/other-articles-clipping-mar-21-1968-48914/","neighbor's mother")</f>
        <v>neighbor's mother</v>
      </c>
      <c r="K30" s="133">
        <v>5</v>
      </c>
      <c r="L30" s="117">
        <v>48.7</v>
      </c>
      <c r="M30" s="133">
        <v>0</v>
      </c>
      <c r="N30" s="157"/>
      <c r="O30" s="158"/>
      <c r="P30" s="158"/>
      <c r="Q30" s="158"/>
      <c r="R30" s="158"/>
      <c r="S30" s="158"/>
      <c r="T30" s="158"/>
      <c r="U30" s="158"/>
      <c r="V30" s="158"/>
      <c r="W30" s="158"/>
      <c r="X30" s="158"/>
      <c r="Y30" s="158"/>
      <c r="Z30" s="158"/>
      <c r="AA30" s="158"/>
    </row>
    <row r="31" spans="1:27" ht="15.75" customHeight="1" x14ac:dyDescent="0.55000000000000004">
      <c r="A31" s="166">
        <v>4</v>
      </c>
      <c r="B31" s="166" t="s">
        <v>877</v>
      </c>
      <c r="C31" s="166" t="s">
        <v>878</v>
      </c>
      <c r="D31" s="167">
        <v>24913</v>
      </c>
      <c r="E31" s="120" t="s">
        <v>2399</v>
      </c>
      <c r="F31" s="161" t="str">
        <f>HYPERLINK("https://newspaperarchive.com/other-articles-clipping-mar-21-1968-48914/","56")</f>
        <v>56</v>
      </c>
      <c r="G31" s="120">
        <v>0</v>
      </c>
      <c r="H31" s="131">
        <v>0</v>
      </c>
      <c r="I31" s="120">
        <v>1</v>
      </c>
      <c r="J31" s="168" t="str">
        <f>HYPERLINK("https://www.mlive.com/news/2016/09/love_of_guns_a_key_factor_in_n.html","romantic rival")</f>
        <v>romantic rival</v>
      </c>
      <c r="K31" s="133">
        <v>3</v>
      </c>
      <c r="L31" s="117">
        <v>46.6</v>
      </c>
      <c r="M31" s="133">
        <v>0</v>
      </c>
      <c r="N31" s="157"/>
      <c r="O31" s="158"/>
      <c r="P31" s="158"/>
      <c r="Q31" s="158"/>
      <c r="R31" s="158"/>
      <c r="S31" s="158"/>
      <c r="T31" s="158"/>
      <c r="U31" s="158"/>
      <c r="V31" s="158"/>
      <c r="W31" s="158"/>
      <c r="X31" s="158"/>
      <c r="Y31" s="158"/>
      <c r="Z31" s="158"/>
      <c r="AA31" s="158"/>
    </row>
    <row r="32" spans="1:27" ht="15.75" customHeight="1" x14ac:dyDescent="0.55000000000000004">
      <c r="A32" s="166">
        <v>4</v>
      </c>
      <c r="B32" s="166" t="s">
        <v>877</v>
      </c>
      <c r="C32" s="166" t="s">
        <v>878</v>
      </c>
      <c r="D32" s="167">
        <v>24913</v>
      </c>
      <c r="E32" s="131" t="s">
        <v>2400</v>
      </c>
      <c r="F32" s="161" t="str">
        <f>HYPERLINK("https://newspaperarchive.com/other-articles-clipping-mar-21-1968-48914/","47")</f>
        <v>47</v>
      </c>
      <c r="G32" s="120">
        <v>1</v>
      </c>
      <c r="H32" s="120"/>
      <c r="I32" s="120">
        <v>0</v>
      </c>
      <c r="J32" s="133" t="s">
        <v>853</v>
      </c>
      <c r="K32" s="133">
        <v>0</v>
      </c>
      <c r="L32" s="117">
        <v>48.3</v>
      </c>
      <c r="M32" s="133">
        <f>L32-F32</f>
        <v>1.2999999999999972</v>
      </c>
      <c r="N32" s="157"/>
      <c r="O32" s="158"/>
      <c r="P32" s="158"/>
      <c r="Q32" s="158"/>
      <c r="R32" s="158"/>
      <c r="S32" s="158"/>
      <c r="T32" s="158"/>
      <c r="U32" s="158"/>
      <c r="V32" s="158"/>
      <c r="W32" s="158"/>
      <c r="X32" s="158"/>
      <c r="Y32" s="158"/>
      <c r="Z32" s="158"/>
      <c r="AA32" s="158"/>
    </row>
    <row r="33" spans="1:27" ht="15.75" customHeight="1" x14ac:dyDescent="0.55000000000000004">
      <c r="A33" s="166">
        <v>4</v>
      </c>
      <c r="B33" s="166" t="s">
        <v>877</v>
      </c>
      <c r="C33" s="166" t="s">
        <v>878</v>
      </c>
      <c r="D33" s="167">
        <v>24913</v>
      </c>
      <c r="E33" s="120" t="s">
        <v>2401</v>
      </c>
      <c r="F33" s="161" t="str">
        <f>HYPERLINK("https://news.google.com/newspapers?id=ZRgMAAAAIBAJ&amp;sjid=rlwDAAAAIBAJ&amp;pg=6550,4991780&amp;dq=&amp;hl=en","59")</f>
        <v>59</v>
      </c>
      <c r="G33" s="120">
        <v>1</v>
      </c>
      <c r="H33" s="131">
        <v>0</v>
      </c>
      <c r="I33" s="120">
        <v>0</v>
      </c>
      <c r="J33" s="133" t="s">
        <v>853</v>
      </c>
      <c r="K33" s="133">
        <v>0</v>
      </c>
      <c r="L33" s="117">
        <v>48.7</v>
      </c>
      <c r="M33" s="133">
        <v>0</v>
      </c>
      <c r="N33" s="157"/>
      <c r="O33" s="158"/>
      <c r="P33" s="158"/>
      <c r="Q33" s="158"/>
      <c r="R33" s="158"/>
      <c r="S33" s="158"/>
      <c r="T33" s="158"/>
      <c r="U33" s="158"/>
      <c r="V33" s="158"/>
      <c r="W33" s="158"/>
      <c r="X33" s="158"/>
      <c r="Y33" s="158"/>
      <c r="Z33" s="158"/>
      <c r="AA33" s="158"/>
    </row>
    <row r="34" spans="1:27" ht="15.75" customHeight="1" x14ac:dyDescent="0.55000000000000004">
      <c r="A34" s="166">
        <v>4</v>
      </c>
      <c r="B34" s="166" t="s">
        <v>877</v>
      </c>
      <c r="C34" s="166" t="s">
        <v>878</v>
      </c>
      <c r="D34" s="167">
        <v>24913</v>
      </c>
      <c r="E34" s="120" t="s">
        <v>2402</v>
      </c>
      <c r="F34" s="161" t="str">
        <f>HYPERLINK("https://newspaperarchive.com/other-articles-clipping-mar-21-1968-48914/","67")</f>
        <v>67</v>
      </c>
      <c r="G34" s="120">
        <v>0</v>
      </c>
      <c r="H34" s="131">
        <v>0</v>
      </c>
      <c r="I34" s="120">
        <v>0</v>
      </c>
      <c r="J34" s="133" t="s">
        <v>853</v>
      </c>
      <c r="K34" s="133">
        <v>0</v>
      </c>
      <c r="L34" s="117">
        <v>78.099999999999994</v>
      </c>
      <c r="M34" s="133">
        <f>L34-F34</f>
        <v>11.099999999999994</v>
      </c>
      <c r="N34" s="157"/>
      <c r="O34" s="158"/>
      <c r="P34" s="158"/>
      <c r="Q34" s="158"/>
      <c r="R34" s="158"/>
      <c r="S34" s="158"/>
      <c r="T34" s="158"/>
      <c r="U34" s="158"/>
      <c r="V34" s="158"/>
      <c r="W34" s="158"/>
      <c r="X34" s="158"/>
      <c r="Y34" s="158"/>
      <c r="Z34" s="158"/>
      <c r="AA34" s="158"/>
    </row>
    <row r="35" spans="1:27" ht="15.75" customHeight="1" x14ac:dyDescent="0.55000000000000004">
      <c r="A35" s="169">
        <v>5</v>
      </c>
      <c r="B35" s="169" t="s">
        <v>882</v>
      </c>
      <c r="C35" s="169" t="s">
        <v>883</v>
      </c>
      <c r="D35" s="170">
        <v>25298</v>
      </c>
      <c r="E35" s="120" t="s">
        <v>2403</v>
      </c>
      <c r="F35" s="161" t="str">
        <f>HYPERLINK("https://books.google.com/books?id=8TgDAAAAMBAJ&amp;pg=PA47&amp;lpg=PA46&amp;focus=viewport&amp;dq=donald+lambright+%2B+shooting#v=onepage&amp;q=donald%20lambright%20%2B%20shooting&amp;f=false","50")</f>
        <v>50</v>
      </c>
      <c r="G35" s="120">
        <v>0</v>
      </c>
      <c r="H35" s="120"/>
      <c r="I35" s="161" t="str">
        <f t="shared" ref="I35:I36" si="3">HYPERLINK("https://news.google.com/newspapers?id=G8daAAAAIBAJ&amp;sjid=z2wDAAAAIBAJ&amp;pg=6070,782221","0")</f>
        <v>0</v>
      </c>
      <c r="J35" s="133" t="s">
        <v>853</v>
      </c>
      <c r="K35" s="133">
        <v>0</v>
      </c>
      <c r="L35" s="117">
        <v>46.3</v>
      </c>
      <c r="M35" s="133">
        <v>0</v>
      </c>
      <c r="N35" s="157"/>
      <c r="O35" s="158"/>
      <c r="P35" s="158"/>
      <c r="Q35" s="158"/>
      <c r="R35" s="158"/>
      <c r="S35" s="158"/>
      <c r="T35" s="158"/>
      <c r="U35" s="158"/>
      <c r="V35" s="158"/>
      <c r="W35" s="158"/>
      <c r="X35" s="158"/>
      <c r="Y35" s="158"/>
      <c r="Z35" s="158"/>
      <c r="AA35" s="158"/>
    </row>
    <row r="36" spans="1:27" ht="15.75" customHeight="1" x14ac:dyDescent="0.55000000000000004">
      <c r="A36" s="169">
        <v>5</v>
      </c>
      <c r="B36" s="169" t="s">
        <v>882</v>
      </c>
      <c r="C36" s="169" t="s">
        <v>883</v>
      </c>
      <c r="D36" s="170">
        <v>25298</v>
      </c>
      <c r="E36" s="120" t="s">
        <v>2404</v>
      </c>
      <c r="F36" s="161" t="str">
        <f>HYPERLINK("https://books.google.com/books?id=8TgDAAAAMBAJ&amp;pg=PA47&amp;lpg=PA46&amp;focus=viewport&amp;dq=donald+lambright+%2B+shooting#v=onepage&amp;q=donald%20lambright%20%2B%20shooting&amp;f=false","51")</f>
        <v>51</v>
      </c>
      <c r="G36" s="120">
        <v>1</v>
      </c>
      <c r="H36" s="120"/>
      <c r="I36" s="161" t="str">
        <f t="shared" si="3"/>
        <v>0</v>
      </c>
      <c r="J36" s="133" t="s">
        <v>853</v>
      </c>
      <c r="K36" s="133">
        <v>0</v>
      </c>
      <c r="L36" s="117">
        <v>48.3</v>
      </c>
      <c r="M36" s="133">
        <v>0</v>
      </c>
      <c r="N36" s="157"/>
      <c r="O36" s="158"/>
      <c r="P36" s="158"/>
      <c r="Q36" s="158"/>
      <c r="R36" s="158"/>
      <c r="S36" s="158"/>
      <c r="T36" s="158"/>
      <c r="U36" s="158"/>
      <c r="V36" s="158"/>
      <c r="W36" s="158"/>
      <c r="X36" s="158"/>
      <c r="Y36" s="158"/>
      <c r="Z36" s="158"/>
      <c r="AA36" s="158"/>
    </row>
    <row r="37" spans="1:27" ht="15.75" customHeight="1" x14ac:dyDescent="0.55000000000000004">
      <c r="A37" s="169">
        <v>5</v>
      </c>
      <c r="B37" s="169" t="s">
        <v>882</v>
      </c>
      <c r="C37" s="169" t="s">
        <v>883</v>
      </c>
      <c r="D37" s="170">
        <v>25298</v>
      </c>
      <c r="E37" s="120" t="s">
        <v>2405</v>
      </c>
      <c r="F37" s="161" t="str">
        <f>HYPERLINK("https://news.google.com/newspapers?id=G8daAAAAIBAJ&amp;sjid=z2wDAAAAIBAJ&amp;pg=6070,782221","31")</f>
        <v>31</v>
      </c>
      <c r="G37" s="120">
        <v>1</v>
      </c>
      <c r="H37" s="131">
        <v>1</v>
      </c>
      <c r="I37" s="120">
        <v>1</v>
      </c>
      <c r="J37" s="131" t="s">
        <v>2362</v>
      </c>
      <c r="K37" s="133">
        <v>2</v>
      </c>
      <c r="L37" s="117">
        <v>62.9</v>
      </c>
      <c r="M37" s="133">
        <f t="shared" ref="M37:M52" si="4">L37-F37</f>
        <v>31.9</v>
      </c>
      <c r="N37" s="157"/>
      <c r="O37" s="158"/>
      <c r="P37" s="158"/>
      <c r="Q37" s="158"/>
      <c r="R37" s="158"/>
      <c r="S37" s="158"/>
      <c r="T37" s="158"/>
      <c r="U37" s="158"/>
      <c r="V37" s="158"/>
      <c r="W37" s="158"/>
      <c r="X37" s="158"/>
      <c r="Y37" s="158"/>
      <c r="Z37" s="158"/>
      <c r="AA37" s="158"/>
    </row>
    <row r="38" spans="1:27" ht="15.75" customHeight="1" x14ac:dyDescent="0.55000000000000004">
      <c r="A38" s="169">
        <v>5</v>
      </c>
      <c r="B38" s="169" t="s">
        <v>882</v>
      </c>
      <c r="C38" s="169" t="s">
        <v>883</v>
      </c>
      <c r="D38" s="170">
        <v>25298</v>
      </c>
      <c r="E38" s="120" t="s">
        <v>2406</v>
      </c>
      <c r="F38" s="161" t="str">
        <f>HYPERLINK("https://www.newspapers.com/clip/5320885/the-express/","32")</f>
        <v>32</v>
      </c>
      <c r="G38" s="120">
        <v>0</v>
      </c>
      <c r="H38" s="120"/>
      <c r="I38" s="120">
        <v>0</v>
      </c>
      <c r="J38" s="133" t="s">
        <v>853</v>
      </c>
      <c r="K38" s="133">
        <v>0</v>
      </c>
      <c r="L38" s="117">
        <v>65.599999999999994</v>
      </c>
      <c r="M38" s="133">
        <f t="shared" si="4"/>
        <v>33.599999999999994</v>
      </c>
      <c r="N38" s="157"/>
      <c r="O38" s="158"/>
      <c r="P38" s="158"/>
      <c r="Q38" s="158"/>
      <c r="R38" s="158"/>
      <c r="S38" s="158"/>
      <c r="T38" s="158"/>
      <c r="U38" s="158"/>
      <c r="V38" s="158"/>
      <c r="W38" s="158"/>
      <c r="X38" s="158"/>
      <c r="Y38" s="158"/>
      <c r="Z38" s="158"/>
      <c r="AA38" s="158"/>
    </row>
    <row r="39" spans="1:27" ht="15.75" customHeight="1" x14ac:dyDescent="0.55000000000000004">
      <c r="A39" s="159">
        <v>6</v>
      </c>
      <c r="B39" s="159" t="s">
        <v>889</v>
      </c>
      <c r="C39" s="159" t="s">
        <v>890</v>
      </c>
      <c r="D39" s="160">
        <v>25834</v>
      </c>
      <c r="E39" s="120" t="s">
        <v>2407</v>
      </c>
      <c r="F39" s="161" t="str">
        <f>HYPERLINK("https://www.nytimes.com/1970/09/24/archives/state-employe-kills-4-coworkers-and-himself-in-albany-office.html","24")</f>
        <v>24</v>
      </c>
      <c r="G39" s="120">
        <v>1</v>
      </c>
      <c r="H39" s="161" t="str">
        <f t="shared" ref="H39:H42" si="5">HYPERLINK("https://newspaperarchive.com/daily-review-oct-23-1970-p-20/","0")</f>
        <v>0</v>
      </c>
      <c r="I39" s="120">
        <v>1</v>
      </c>
      <c r="J39" s="133" t="s">
        <v>2387</v>
      </c>
      <c r="K39" s="133">
        <v>3</v>
      </c>
      <c r="L39" s="117">
        <v>72.2</v>
      </c>
      <c r="M39" s="133">
        <f t="shared" si="4"/>
        <v>48.2</v>
      </c>
      <c r="N39" s="157"/>
      <c r="O39" s="158"/>
      <c r="P39" s="158"/>
      <c r="Q39" s="158"/>
      <c r="R39" s="158"/>
      <c r="S39" s="158"/>
      <c r="T39" s="158"/>
      <c r="U39" s="158"/>
      <c r="V39" s="158"/>
      <c r="W39" s="158"/>
      <c r="X39" s="158"/>
      <c r="Y39" s="158"/>
      <c r="Z39" s="158"/>
      <c r="AA39" s="158"/>
    </row>
    <row r="40" spans="1:27" ht="15.75" customHeight="1" x14ac:dyDescent="0.55000000000000004">
      <c r="A40" s="159">
        <v>6</v>
      </c>
      <c r="B40" s="159" t="s">
        <v>889</v>
      </c>
      <c r="C40" s="159" t="s">
        <v>890</v>
      </c>
      <c r="D40" s="160">
        <v>25834</v>
      </c>
      <c r="E40" s="120" t="s">
        <v>2408</v>
      </c>
      <c r="F40" s="161" t="str">
        <f>HYPERLINK("https://www.nytimes.com/1970/09/24/archives/state-employe-kills-4-coworkers-and-himself-in-albany-office.html","22")</f>
        <v>22</v>
      </c>
      <c r="G40" s="120">
        <v>1</v>
      </c>
      <c r="H40" s="161" t="str">
        <f t="shared" si="5"/>
        <v>0</v>
      </c>
      <c r="I40" s="120">
        <v>1</v>
      </c>
      <c r="J40" s="133" t="s">
        <v>2387</v>
      </c>
      <c r="K40" s="133">
        <v>0</v>
      </c>
      <c r="L40" s="117">
        <v>72.2</v>
      </c>
      <c r="M40" s="133">
        <f t="shared" si="4"/>
        <v>50.2</v>
      </c>
      <c r="N40" s="157"/>
      <c r="O40" s="158"/>
      <c r="P40" s="158"/>
      <c r="Q40" s="158"/>
      <c r="R40" s="158"/>
      <c r="S40" s="158"/>
      <c r="T40" s="158"/>
      <c r="U40" s="158"/>
      <c r="V40" s="158"/>
      <c r="W40" s="158"/>
      <c r="X40" s="158"/>
      <c r="Y40" s="158"/>
      <c r="Z40" s="158"/>
      <c r="AA40" s="158"/>
    </row>
    <row r="41" spans="1:27" ht="15.75" customHeight="1" x14ac:dyDescent="0.55000000000000004">
      <c r="A41" s="159">
        <v>6</v>
      </c>
      <c r="B41" s="159" t="s">
        <v>889</v>
      </c>
      <c r="C41" s="159" t="s">
        <v>890</v>
      </c>
      <c r="D41" s="160">
        <v>25834</v>
      </c>
      <c r="E41" s="120" t="s">
        <v>2409</v>
      </c>
      <c r="F41" s="161" t="str">
        <f>HYPERLINK("https://www.nytimes.com/1970/09/24/archives/state-employe-kills-4-coworkers-and-himself-in-albany-office.html","21")</f>
        <v>21</v>
      </c>
      <c r="G41" s="120">
        <v>1</v>
      </c>
      <c r="H41" s="161" t="str">
        <f t="shared" si="5"/>
        <v>0</v>
      </c>
      <c r="I41" s="120">
        <v>1</v>
      </c>
      <c r="J41" s="133" t="s">
        <v>2387</v>
      </c>
      <c r="K41" s="133">
        <v>3</v>
      </c>
      <c r="L41" s="117">
        <v>72.2</v>
      </c>
      <c r="M41" s="133">
        <f t="shared" si="4"/>
        <v>51.2</v>
      </c>
      <c r="N41" s="157"/>
      <c r="O41" s="158"/>
      <c r="P41" s="158"/>
      <c r="Q41" s="158"/>
      <c r="R41" s="158"/>
      <c r="S41" s="158"/>
      <c r="T41" s="158"/>
      <c r="U41" s="158"/>
      <c r="V41" s="158"/>
      <c r="W41" s="158"/>
      <c r="X41" s="158"/>
      <c r="Y41" s="158"/>
      <c r="Z41" s="158"/>
      <c r="AA41" s="158"/>
    </row>
    <row r="42" spans="1:27" ht="15.75" customHeight="1" x14ac:dyDescent="0.55000000000000004">
      <c r="A42" s="159">
        <v>6</v>
      </c>
      <c r="B42" s="159" t="s">
        <v>889</v>
      </c>
      <c r="C42" s="159" t="s">
        <v>890</v>
      </c>
      <c r="D42" s="160">
        <v>25834</v>
      </c>
      <c r="E42" s="161" t="str">
        <f>HYPERLINK("https://timesmachine.nytimes.com/timesmachine/1970/09/24/91182893.html?pageNumber=39","Mary Ann Reinisch")</f>
        <v>Mary Ann Reinisch</v>
      </c>
      <c r="F42" s="161" t="str">
        <f>HYPERLINK("https://www.nytimes.com/1970/09/24/archives/state-employe-kills-4-coworkers-and-himself-in-albany-office.html","27")</f>
        <v>27</v>
      </c>
      <c r="G42" s="120">
        <v>1</v>
      </c>
      <c r="H42" s="161" t="str">
        <f t="shared" si="5"/>
        <v>0</v>
      </c>
      <c r="I42" s="120">
        <v>1</v>
      </c>
      <c r="J42" s="133" t="s">
        <v>2387</v>
      </c>
      <c r="K42" s="133">
        <v>3</v>
      </c>
      <c r="L42" s="117">
        <v>72.2</v>
      </c>
      <c r="M42" s="133">
        <f t="shared" si="4"/>
        <v>45.2</v>
      </c>
      <c r="N42" s="157"/>
      <c r="O42" s="158"/>
      <c r="P42" s="158"/>
      <c r="Q42" s="158"/>
      <c r="R42" s="158"/>
      <c r="S42" s="158"/>
      <c r="T42" s="158"/>
      <c r="U42" s="158"/>
      <c r="V42" s="158"/>
      <c r="W42" s="158"/>
      <c r="X42" s="158"/>
      <c r="Y42" s="158"/>
      <c r="Z42" s="158"/>
      <c r="AA42" s="158"/>
    </row>
    <row r="43" spans="1:27" ht="15.75" customHeight="1" x14ac:dyDescent="0.55000000000000004">
      <c r="A43" s="162">
        <v>7</v>
      </c>
      <c r="B43" s="162" t="s">
        <v>897</v>
      </c>
      <c r="C43" s="162" t="s">
        <v>898</v>
      </c>
      <c r="D43" s="163">
        <v>26448</v>
      </c>
      <c r="E43" s="120" t="s">
        <v>2410</v>
      </c>
      <c r="F43" s="120">
        <v>23</v>
      </c>
      <c r="G43" s="120">
        <v>0</v>
      </c>
      <c r="H43" s="161" t="str">
        <f t="shared" ref="H43:H46" si="6">HYPERLINK("https://www.nytimes.com/1972/05/31/archives/gunmans-motive-remains-mystery-police-say-shootings-were-not-linked.html","0")</f>
        <v>0</v>
      </c>
      <c r="I43" s="120">
        <v>0</v>
      </c>
      <c r="J43" s="133" t="s">
        <v>853</v>
      </c>
      <c r="K43" s="133">
        <v>0</v>
      </c>
      <c r="L43" s="117">
        <v>66.5</v>
      </c>
      <c r="M43" s="133">
        <f t="shared" si="4"/>
        <v>43.5</v>
      </c>
      <c r="N43" s="157"/>
      <c r="O43" s="158"/>
      <c r="P43" s="158"/>
      <c r="Q43" s="158"/>
      <c r="R43" s="158"/>
      <c r="S43" s="158"/>
      <c r="T43" s="158"/>
      <c r="U43" s="158"/>
      <c r="V43" s="158"/>
      <c r="W43" s="158"/>
      <c r="X43" s="158"/>
      <c r="Y43" s="158"/>
      <c r="Z43" s="158"/>
      <c r="AA43" s="158"/>
    </row>
    <row r="44" spans="1:27" ht="15.75" customHeight="1" x14ac:dyDescent="0.55000000000000004">
      <c r="A44" s="162">
        <v>7</v>
      </c>
      <c r="B44" s="162" t="s">
        <v>897</v>
      </c>
      <c r="C44" s="162" t="s">
        <v>898</v>
      </c>
      <c r="D44" s="163">
        <v>26448</v>
      </c>
      <c r="E44" s="120" t="s">
        <v>2411</v>
      </c>
      <c r="F44" s="120">
        <v>31</v>
      </c>
      <c r="G44" s="120">
        <v>0</v>
      </c>
      <c r="H44" s="161" t="str">
        <f t="shared" si="6"/>
        <v>0</v>
      </c>
      <c r="I44" s="120">
        <v>0</v>
      </c>
      <c r="J44" s="133" t="s">
        <v>853</v>
      </c>
      <c r="K44" s="133">
        <v>0</v>
      </c>
      <c r="L44" s="117">
        <v>66.5</v>
      </c>
      <c r="M44" s="133">
        <f t="shared" si="4"/>
        <v>35.5</v>
      </c>
      <c r="N44" s="157"/>
      <c r="O44" s="158"/>
      <c r="P44" s="158"/>
      <c r="Q44" s="158"/>
      <c r="R44" s="158"/>
      <c r="S44" s="158"/>
      <c r="T44" s="158"/>
      <c r="U44" s="158"/>
      <c r="V44" s="158"/>
      <c r="W44" s="158"/>
      <c r="X44" s="158"/>
      <c r="Y44" s="158"/>
      <c r="Z44" s="158"/>
      <c r="AA44" s="158"/>
    </row>
    <row r="45" spans="1:27" ht="15.75" customHeight="1" x14ac:dyDescent="0.55000000000000004">
      <c r="A45" s="162">
        <v>7</v>
      </c>
      <c r="B45" s="162" t="s">
        <v>897</v>
      </c>
      <c r="C45" s="162" t="s">
        <v>898</v>
      </c>
      <c r="D45" s="163">
        <v>26448</v>
      </c>
      <c r="E45" s="161" t="str">
        <f>HYPERLINK("https://www.newspapers.com/clip/24646780/daily-news/","Jessie B. West")</f>
        <v>Jessie B. West</v>
      </c>
      <c r="F45" s="161" t="str">
        <f>HYPERLINK("https://legeros.com/history/stories/north-hills/","77")</f>
        <v>77</v>
      </c>
      <c r="G45" s="120">
        <v>1</v>
      </c>
      <c r="H45" s="161" t="str">
        <f t="shared" si="6"/>
        <v>0</v>
      </c>
      <c r="I45" s="120">
        <v>0</v>
      </c>
      <c r="J45" s="133" t="s">
        <v>853</v>
      </c>
      <c r="K45" s="133">
        <v>0</v>
      </c>
      <c r="L45" s="117">
        <v>80.900000000000006</v>
      </c>
      <c r="M45" s="133">
        <f t="shared" si="4"/>
        <v>3.9000000000000057</v>
      </c>
      <c r="N45" s="157"/>
      <c r="O45" s="158"/>
      <c r="P45" s="158"/>
      <c r="Q45" s="158"/>
      <c r="R45" s="158"/>
      <c r="S45" s="158"/>
      <c r="T45" s="158"/>
      <c r="U45" s="158"/>
      <c r="V45" s="158"/>
      <c r="W45" s="158"/>
      <c r="X45" s="158"/>
      <c r="Y45" s="158"/>
      <c r="Z45" s="158"/>
      <c r="AA45" s="158"/>
    </row>
    <row r="46" spans="1:27" ht="15.75" customHeight="1" x14ac:dyDescent="0.55000000000000004">
      <c r="A46" s="162">
        <v>7</v>
      </c>
      <c r="B46" s="162" t="s">
        <v>897</v>
      </c>
      <c r="C46" s="162" t="s">
        <v>898</v>
      </c>
      <c r="D46" s="163">
        <v>26448</v>
      </c>
      <c r="E46" s="120" t="s">
        <v>2412</v>
      </c>
      <c r="F46" s="120">
        <v>47</v>
      </c>
      <c r="G46" s="120">
        <v>1</v>
      </c>
      <c r="H46" s="161" t="str">
        <f t="shared" si="6"/>
        <v>0</v>
      </c>
      <c r="I46" s="120">
        <v>0</v>
      </c>
      <c r="J46" s="133" t="s">
        <v>853</v>
      </c>
      <c r="K46" s="133">
        <v>0</v>
      </c>
      <c r="L46" s="117">
        <v>72.2</v>
      </c>
      <c r="M46" s="133">
        <f t="shared" si="4"/>
        <v>25.200000000000003</v>
      </c>
      <c r="N46" s="157"/>
      <c r="O46" s="158"/>
      <c r="P46" s="158"/>
      <c r="Q46" s="158"/>
      <c r="R46" s="158"/>
      <c r="S46" s="158"/>
      <c r="T46" s="158"/>
      <c r="U46" s="158"/>
      <c r="V46" s="158"/>
      <c r="W46" s="158"/>
      <c r="X46" s="158"/>
      <c r="Y46" s="158"/>
      <c r="Z46" s="158"/>
      <c r="AA46" s="158"/>
    </row>
    <row r="47" spans="1:27" ht="15.75" customHeight="1" x14ac:dyDescent="0.55000000000000004">
      <c r="A47" s="169">
        <v>8</v>
      </c>
      <c r="B47" s="169" t="s">
        <v>906</v>
      </c>
      <c r="C47" s="169" t="s">
        <v>907</v>
      </c>
      <c r="D47" s="170">
        <v>26471</v>
      </c>
      <c r="E47" s="120" t="s">
        <v>2413</v>
      </c>
      <c r="F47" s="161" t="str">
        <f>HYPERLINK("https://www.nytimes.com/1972/06/23/archives/anger-with-employment-agency-is-cited-as-gunmans-motivation-for.html","48")</f>
        <v>48</v>
      </c>
      <c r="G47" s="120">
        <v>0</v>
      </c>
      <c r="H47" s="120"/>
      <c r="I47" s="120">
        <v>0</v>
      </c>
      <c r="J47" s="133" t="s">
        <v>853</v>
      </c>
      <c r="K47" s="133">
        <v>0</v>
      </c>
      <c r="L47" s="117">
        <v>65.599999999999994</v>
      </c>
      <c r="M47" s="133">
        <f t="shared" si="4"/>
        <v>17.599999999999994</v>
      </c>
      <c r="N47" s="157"/>
      <c r="O47" s="158"/>
      <c r="P47" s="158"/>
      <c r="Q47" s="158"/>
      <c r="R47" s="158"/>
      <c r="S47" s="158"/>
      <c r="T47" s="158"/>
      <c r="U47" s="158"/>
      <c r="V47" s="158"/>
      <c r="W47" s="158"/>
      <c r="X47" s="158"/>
      <c r="Y47" s="158"/>
      <c r="Z47" s="158"/>
      <c r="AA47" s="158"/>
    </row>
    <row r="48" spans="1:27" ht="15.75" customHeight="1" x14ac:dyDescent="0.55000000000000004">
      <c r="A48" s="169">
        <v>8</v>
      </c>
      <c r="B48" s="169" t="s">
        <v>906</v>
      </c>
      <c r="C48" s="169" t="s">
        <v>907</v>
      </c>
      <c r="D48" s="170">
        <v>26471</v>
      </c>
      <c r="E48" s="120" t="s">
        <v>2414</v>
      </c>
      <c r="F48" s="161" t="str">
        <f>HYPERLINK("https://news.google.com/newspapers?nid=2002&amp;dat=19720622&amp;id=CbAiAAAAIBAJ&amp;sjid=FLMFAAAAIBAJ&amp;pg=5232,1749134&amp;hl=en","22")</f>
        <v>22</v>
      </c>
      <c r="G48" s="120">
        <v>0</v>
      </c>
      <c r="H48" s="120"/>
      <c r="I48" s="120">
        <v>0</v>
      </c>
      <c r="J48" s="133" t="s">
        <v>853</v>
      </c>
      <c r="K48" s="133">
        <v>0</v>
      </c>
      <c r="L48" s="117">
        <v>65.599999999999994</v>
      </c>
      <c r="M48" s="133">
        <f t="shared" si="4"/>
        <v>43.599999999999994</v>
      </c>
      <c r="N48" s="157"/>
      <c r="O48" s="158"/>
      <c r="P48" s="158"/>
      <c r="Q48" s="158"/>
      <c r="R48" s="158"/>
      <c r="S48" s="158"/>
      <c r="T48" s="158"/>
      <c r="U48" s="158"/>
      <c r="V48" s="158"/>
      <c r="W48" s="158"/>
      <c r="X48" s="158"/>
      <c r="Y48" s="158"/>
      <c r="Z48" s="158"/>
      <c r="AA48" s="158"/>
    </row>
    <row r="49" spans="1:27" ht="15.75" customHeight="1" x14ac:dyDescent="0.55000000000000004">
      <c r="A49" s="169">
        <v>8</v>
      </c>
      <c r="B49" s="169" t="s">
        <v>906</v>
      </c>
      <c r="C49" s="169" t="s">
        <v>907</v>
      </c>
      <c r="D49" s="170">
        <v>26471</v>
      </c>
      <c r="E49" s="120" t="s">
        <v>2415</v>
      </c>
      <c r="F49" s="161" t="str">
        <f>HYPERLINK("https://news.google.com/newspapers?nid=2002&amp;dat=19720622&amp;id=CbAiAAAAIBAJ&amp;sjid=FLMFAAAAIBAJ&amp;pg=5232,1749134&amp;hl=en","44")</f>
        <v>44</v>
      </c>
      <c r="G49" s="120">
        <v>0</v>
      </c>
      <c r="H49" s="120"/>
      <c r="I49" s="120">
        <v>0</v>
      </c>
      <c r="J49" s="133" t="s">
        <v>853</v>
      </c>
      <c r="K49" s="133">
        <v>0</v>
      </c>
      <c r="L49" s="117">
        <v>65.599999999999994</v>
      </c>
      <c r="M49" s="133">
        <f t="shared" si="4"/>
        <v>21.599999999999994</v>
      </c>
      <c r="N49" s="157"/>
      <c r="O49" s="158"/>
      <c r="P49" s="158"/>
      <c r="Q49" s="158"/>
      <c r="R49" s="158"/>
      <c r="S49" s="158"/>
      <c r="T49" s="158"/>
      <c r="U49" s="158"/>
      <c r="V49" s="158"/>
      <c r="W49" s="158"/>
      <c r="X49" s="158"/>
      <c r="Y49" s="158"/>
      <c r="Z49" s="158"/>
      <c r="AA49" s="158"/>
    </row>
    <row r="50" spans="1:27" ht="15.75" customHeight="1" x14ac:dyDescent="0.55000000000000004">
      <c r="A50" s="169">
        <v>8</v>
      </c>
      <c r="B50" s="169" t="s">
        <v>906</v>
      </c>
      <c r="C50" s="169" t="s">
        <v>907</v>
      </c>
      <c r="D50" s="170">
        <v>26471</v>
      </c>
      <c r="E50" s="120" t="s">
        <v>2416</v>
      </c>
      <c r="F50" s="161" t="str">
        <f>HYPERLINK("https://www.nytimes.com/1972/06/23/archives/anger-with-employment-agency-is-cited-as-gunmans-motivation-for.html","38")</f>
        <v>38</v>
      </c>
      <c r="G50" s="120">
        <v>0</v>
      </c>
      <c r="H50" s="120"/>
      <c r="I50" s="120">
        <v>0</v>
      </c>
      <c r="J50" s="133" t="s">
        <v>853</v>
      </c>
      <c r="K50" s="133">
        <v>0</v>
      </c>
      <c r="L50" s="117">
        <v>65.599999999999994</v>
      </c>
      <c r="M50" s="133">
        <f t="shared" si="4"/>
        <v>27.599999999999994</v>
      </c>
      <c r="N50" s="157"/>
      <c r="O50" s="158"/>
      <c r="P50" s="158"/>
      <c r="Q50" s="158"/>
      <c r="R50" s="158"/>
      <c r="S50" s="158"/>
      <c r="T50" s="158"/>
      <c r="U50" s="158"/>
      <c r="V50" s="158"/>
      <c r="W50" s="158"/>
      <c r="X50" s="158"/>
      <c r="Y50" s="158"/>
      <c r="Z50" s="158"/>
      <c r="AA50" s="158"/>
    </row>
    <row r="51" spans="1:27" ht="15.75" customHeight="1" x14ac:dyDescent="0.55000000000000004">
      <c r="A51" s="169">
        <v>8</v>
      </c>
      <c r="B51" s="169" t="s">
        <v>906</v>
      </c>
      <c r="C51" s="169" t="s">
        <v>907</v>
      </c>
      <c r="D51" s="170">
        <v>26471</v>
      </c>
      <c r="E51" s="120" t="s">
        <v>2417</v>
      </c>
      <c r="F51" s="161" t="str">
        <f>HYPERLINK("https://www.newspapers.com/clip/37714130/obituary-for-charles-r-merkel-aged-38/","38")</f>
        <v>38</v>
      </c>
      <c r="G51" s="120">
        <v>0</v>
      </c>
      <c r="H51" s="120"/>
      <c r="I51" s="120">
        <v>0</v>
      </c>
      <c r="J51" s="133" t="s">
        <v>853</v>
      </c>
      <c r="K51" s="133">
        <v>0</v>
      </c>
      <c r="L51" s="117">
        <v>65.599999999999994</v>
      </c>
      <c r="M51" s="133">
        <f t="shared" si="4"/>
        <v>27.599999999999994</v>
      </c>
      <c r="N51" s="157"/>
      <c r="O51" s="158"/>
      <c r="P51" s="158"/>
      <c r="Q51" s="158"/>
      <c r="R51" s="158"/>
      <c r="S51" s="158"/>
      <c r="T51" s="158"/>
      <c r="U51" s="158"/>
      <c r="V51" s="158"/>
      <c r="W51" s="158"/>
      <c r="X51" s="158"/>
      <c r="Y51" s="158"/>
      <c r="Z51" s="158"/>
      <c r="AA51" s="158"/>
    </row>
    <row r="52" spans="1:27" ht="15.75" customHeight="1" x14ac:dyDescent="0.55000000000000004">
      <c r="A52" s="169">
        <v>8</v>
      </c>
      <c r="B52" s="169" t="s">
        <v>906</v>
      </c>
      <c r="C52" s="169" t="s">
        <v>907</v>
      </c>
      <c r="D52" s="170">
        <v>26471</v>
      </c>
      <c r="E52" s="120" t="s">
        <v>2418</v>
      </c>
      <c r="F52" s="161" t="str">
        <f>HYPERLINK("https://news.google.com/newspapers?nid=2002&amp;dat=19720622&amp;id=CbAiAAAAIBAJ&amp;sjid=FLMFAAAAIBAJ&amp;pg=5232,1749134&amp;hl=en","42")</f>
        <v>42</v>
      </c>
      <c r="G52" s="120">
        <v>0</v>
      </c>
      <c r="H52" s="120"/>
      <c r="I52" s="120">
        <v>0</v>
      </c>
      <c r="J52" s="133" t="s">
        <v>853</v>
      </c>
      <c r="K52" s="133">
        <v>0</v>
      </c>
      <c r="L52" s="117">
        <v>65.599999999999994</v>
      </c>
      <c r="M52" s="133">
        <f t="shared" si="4"/>
        <v>23.599999999999994</v>
      </c>
      <c r="N52" s="157"/>
      <c r="O52" s="158"/>
      <c r="P52" s="158"/>
      <c r="Q52" s="158"/>
      <c r="R52" s="158"/>
      <c r="S52" s="158"/>
      <c r="T52" s="158"/>
      <c r="U52" s="158"/>
      <c r="V52" s="158"/>
      <c r="W52" s="158"/>
      <c r="X52" s="158"/>
      <c r="Y52" s="158"/>
      <c r="Z52" s="158"/>
      <c r="AA52" s="158"/>
    </row>
    <row r="53" spans="1:27" ht="15.75" customHeight="1" x14ac:dyDescent="0.55000000000000004">
      <c r="A53" s="171">
        <v>9</v>
      </c>
      <c r="B53" s="171" t="s">
        <v>912</v>
      </c>
      <c r="C53" s="171" t="s">
        <v>913</v>
      </c>
      <c r="D53" s="172">
        <v>26671</v>
      </c>
      <c r="E53" s="120" t="s">
        <v>2419</v>
      </c>
      <c r="F53" s="161" t="str">
        <f>HYPERLINK("https://www.nytimes.com/1973/01/15/archives/article-1-no-title-details-of-new-orleans-sh.html","62")</f>
        <v>62</v>
      </c>
      <c r="G53" s="120">
        <v>0</v>
      </c>
      <c r="H53" s="161" t="str">
        <f t="shared" ref="H53:H58" si="7">HYPERLINK("http://www.crimemagazine.com/sniper-mark-essex","0")</f>
        <v>0</v>
      </c>
      <c r="I53" s="120">
        <v>0</v>
      </c>
      <c r="J53" s="133" t="s">
        <v>853</v>
      </c>
      <c r="K53" s="133">
        <v>0</v>
      </c>
      <c r="L53" s="117">
        <v>46.6</v>
      </c>
      <c r="M53" s="133">
        <v>0</v>
      </c>
      <c r="N53" s="157"/>
      <c r="O53" s="158"/>
      <c r="P53" s="158"/>
      <c r="Q53" s="158"/>
      <c r="R53" s="158"/>
      <c r="S53" s="158"/>
      <c r="T53" s="158"/>
      <c r="U53" s="158"/>
      <c r="V53" s="158"/>
      <c r="W53" s="158"/>
      <c r="X53" s="158"/>
      <c r="Y53" s="158"/>
      <c r="Z53" s="158"/>
      <c r="AA53" s="158"/>
    </row>
    <row r="54" spans="1:27" ht="15.75" customHeight="1" x14ac:dyDescent="0.55000000000000004">
      <c r="A54" s="171">
        <v>9</v>
      </c>
      <c r="B54" s="171" t="s">
        <v>912</v>
      </c>
      <c r="C54" s="171" t="s">
        <v>913</v>
      </c>
      <c r="D54" s="172">
        <v>26671</v>
      </c>
      <c r="E54" s="120" t="s">
        <v>2420</v>
      </c>
      <c r="F54" s="131">
        <v>46</v>
      </c>
      <c r="G54" s="120">
        <v>0</v>
      </c>
      <c r="H54" s="161" t="str">
        <f t="shared" si="7"/>
        <v>0</v>
      </c>
      <c r="I54" s="120">
        <v>0</v>
      </c>
      <c r="J54" s="133" t="s">
        <v>853</v>
      </c>
      <c r="K54" s="133">
        <v>0</v>
      </c>
      <c r="L54" s="117">
        <v>66.5</v>
      </c>
      <c r="M54" s="133">
        <f>L54-F54</f>
        <v>20.5</v>
      </c>
      <c r="N54" s="157"/>
      <c r="O54" s="158"/>
      <c r="P54" s="158"/>
      <c r="Q54" s="158"/>
      <c r="R54" s="158"/>
      <c r="S54" s="158"/>
      <c r="T54" s="158"/>
      <c r="U54" s="158"/>
      <c r="V54" s="158"/>
      <c r="W54" s="158"/>
      <c r="X54" s="158"/>
      <c r="Y54" s="158"/>
      <c r="Z54" s="158"/>
      <c r="AA54" s="158"/>
    </row>
    <row r="55" spans="1:27" ht="15.75" customHeight="1" x14ac:dyDescent="0.55000000000000004">
      <c r="A55" s="171">
        <v>9</v>
      </c>
      <c r="B55" s="171" t="s">
        <v>912</v>
      </c>
      <c r="C55" s="171" t="s">
        <v>913</v>
      </c>
      <c r="D55" s="172">
        <v>26671</v>
      </c>
      <c r="E55" s="120" t="s">
        <v>2421</v>
      </c>
      <c r="F55" s="120"/>
      <c r="G55" s="120">
        <v>0</v>
      </c>
      <c r="H55" s="161" t="str">
        <f t="shared" si="7"/>
        <v>0</v>
      </c>
      <c r="I55" s="161" t="str">
        <f t="shared" ref="I55:I56" si="8">HYPERLINK("https://www.odmp.org/officer/12294-deputy-superintendent-louis-joseph-sirgo","0")</f>
        <v>0</v>
      </c>
      <c r="J55" s="133" t="s">
        <v>853</v>
      </c>
      <c r="K55" s="133">
        <v>0</v>
      </c>
      <c r="L55" s="117"/>
      <c r="M55" s="133"/>
      <c r="N55" s="157"/>
      <c r="O55" s="158"/>
      <c r="P55" s="158"/>
      <c r="Q55" s="158"/>
      <c r="R55" s="158"/>
      <c r="S55" s="158"/>
      <c r="T55" s="158"/>
      <c r="U55" s="158"/>
      <c r="V55" s="158"/>
      <c r="W55" s="158"/>
      <c r="X55" s="158"/>
      <c r="Y55" s="158"/>
      <c r="Z55" s="158"/>
      <c r="AA55" s="158"/>
    </row>
    <row r="56" spans="1:27" ht="15.75" customHeight="1" x14ac:dyDescent="0.55000000000000004">
      <c r="A56" s="171">
        <v>9</v>
      </c>
      <c r="B56" s="171" t="s">
        <v>912</v>
      </c>
      <c r="C56" s="171" t="s">
        <v>913</v>
      </c>
      <c r="D56" s="172">
        <v>26671</v>
      </c>
      <c r="E56" s="120" t="s">
        <v>2422</v>
      </c>
      <c r="F56" s="120"/>
      <c r="G56" s="120">
        <v>0</v>
      </c>
      <c r="H56" s="161" t="str">
        <f t="shared" si="7"/>
        <v>0</v>
      </c>
      <c r="I56" s="161" t="str">
        <f t="shared" si="8"/>
        <v>0</v>
      </c>
      <c r="J56" s="133" t="s">
        <v>853</v>
      </c>
      <c r="K56" s="133">
        <v>0</v>
      </c>
      <c r="L56" s="117"/>
      <c r="M56" s="133"/>
      <c r="N56" s="157"/>
      <c r="O56" s="158"/>
      <c r="P56" s="158"/>
      <c r="Q56" s="158"/>
      <c r="R56" s="158"/>
      <c r="S56" s="158"/>
      <c r="T56" s="158"/>
      <c r="U56" s="158"/>
      <c r="V56" s="158"/>
      <c r="W56" s="158"/>
      <c r="X56" s="158"/>
      <c r="Y56" s="158"/>
      <c r="Z56" s="158"/>
      <c r="AA56" s="158"/>
    </row>
    <row r="57" spans="1:27" ht="15.75" customHeight="1" x14ac:dyDescent="0.55000000000000004">
      <c r="A57" s="171">
        <v>9</v>
      </c>
      <c r="B57" s="171" t="s">
        <v>912</v>
      </c>
      <c r="C57" s="171" t="s">
        <v>913</v>
      </c>
      <c r="D57" s="172">
        <v>26671</v>
      </c>
      <c r="E57" s="120" t="s">
        <v>2423</v>
      </c>
      <c r="F57" s="161" t="str">
        <f>HYPERLINK("https://www.nytimes.com/1973/01/09/archives/doctor-on-vacation-was-slain-with-wife.html","28")</f>
        <v>28</v>
      </c>
      <c r="G57" s="120">
        <v>0</v>
      </c>
      <c r="H57" s="161" t="str">
        <f t="shared" si="7"/>
        <v>0</v>
      </c>
      <c r="I57" s="120">
        <v>0</v>
      </c>
      <c r="J57" s="133" t="s">
        <v>853</v>
      </c>
      <c r="K57" s="133">
        <v>0</v>
      </c>
      <c r="L57" s="117">
        <v>66.5</v>
      </c>
      <c r="M57" s="133">
        <f t="shared" ref="M57:M63" si="9">L57-F57</f>
        <v>38.5</v>
      </c>
      <c r="N57" s="157"/>
      <c r="O57" s="158"/>
      <c r="P57" s="158"/>
      <c r="Q57" s="158"/>
      <c r="R57" s="158"/>
      <c r="S57" s="158"/>
      <c r="T57" s="158"/>
      <c r="U57" s="158"/>
      <c r="V57" s="158"/>
      <c r="W57" s="158"/>
      <c r="X57" s="158"/>
      <c r="Y57" s="158"/>
      <c r="Z57" s="158"/>
      <c r="AA57" s="158"/>
    </row>
    <row r="58" spans="1:27" ht="15.75" customHeight="1" x14ac:dyDescent="0.55000000000000004">
      <c r="A58" s="171">
        <v>9</v>
      </c>
      <c r="B58" s="171" t="s">
        <v>912</v>
      </c>
      <c r="C58" s="171" t="s">
        <v>913</v>
      </c>
      <c r="D58" s="172">
        <v>26671</v>
      </c>
      <c r="E58" s="161" t="str">
        <f>HYPERLINK("https://www.findagrave.com/memorial/66354867/elizabeth-newton-steagall","Elizabeth ""Betty"" Newton Day Steagall")</f>
        <v>Elizabeth "Betty" Newton Day Steagall</v>
      </c>
      <c r="F58" s="161" t="str">
        <f>HYPERLINK("https://www.nytimes.com/1973/01/09/archives/doctor-on-vacation-was-slain-with-wife.html","25")</f>
        <v>25</v>
      </c>
      <c r="G58" s="120">
        <v>1</v>
      </c>
      <c r="H58" s="161" t="str">
        <f t="shared" si="7"/>
        <v>0</v>
      </c>
      <c r="I58" s="120">
        <v>0</v>
      </c>
      <c r="J58" s="133" t="s">
        <v>853</v>
      </c>
      <c r="K58" s="133">
        <v>0</v>
      </c>
      <c r="L58" s="117">
        <v>72.2</v>
      </c>
      <c r="M58" s="133">
        <f t="shared" si="9"/>
        <v>47.2</v>
      </c>
      <c r="N58" s="157"/>
      <c r="O58" s="158"/>
      <c r="P58" s="158"/>
      <c r="Q58" s="158"/>
      <c r="R58" s="158"/>
      <c r="S58" s="158"/>
      <c r="T58" s="158"/>
      <c r="U58" s="158"/>
      <c r="V58" s="158"/>
      <c r="W58" s="158"/>
      <c r="X58" s="158"/>
      <c r="Y58" s="158"/>
      <c r="Z58" s="158"/>
      <c r="AA58" s="158"/>
    </row>
    <row r="59" spans="1:27" ht="15.75" customHeight="1" x14ac:dyDescent="0.55000000000000004">
      <c r="A59" s="171">
        <v>9</v>
      </c>
      <c r="B59" s="171" t="s">
        <v>912</v>
      </c>
      <c r="C59" s="171" t="s">
        <v>913</v>
      </c>
      <c r="D59" s="172">
        <v>26671</v>
      </c>
      <c r="E59" s="120" t="s">
        <v>2424</v>
      </c>
      <c r="F59" s="161" t="str">
        <f>HYPERLINK("https://www.findagrave.com/memorial/22898135/louis-joseph-sirgo","48")</f>
        <v>48</v>
      </c>
      <c r="G59" s="120">
        <v>0</v>
      </c>
      <c r="H59" s="161" t="str">
        <f>HYPERLINK("https://www.odmp.org/officer/12294-deputy-superintendent-louis-joseph-sirgo","0")</f>
        <v>0</v>
      </c>
      <c r="I59" s="120">
        <v>0</v>
      </c>
      <c r="J59" s="133" t="s">
        <v>853</v>
      </c>
      <c r="K59" s="133">
        <v>0</v>
      </c>
      <c r="L59" s="117">
        <v>66.5</v>
      </c>
      <c r="M59" s="133">
        <f t="shared" si="9"/>
        <v>18.5</v>
      </c>
      <c r="N59" s="157"/>
      <c r="O59" s="158"/>
      <c r="P59" s="158"/>
      <c r="Q59" s="158"/>
      <c r="R59" s="158"/>
      <c r="S59" s="158"/>
      <c r="T59" s="158"/>
      <c r="U59" s="158"/>
      <c r="V59" s="158"/>
      <c r="W59" s="158"/>
      <c r="X59" s="158"/>
      <c r="Y59" s="158"/>
      <c r="Z59" s="158"/>
      <c r="AA59" s="158"/>
    </row>
    <row r="60" spans="1:27" ht="15.75" customHeight="1" x14ac:dyDescent="0.55000000000000004">
      <c r="A60" s="159">
        <v>10</v>
      </c>
      <c r="B60" s="159" t="s">
        <v>927</v>
      </c>
      <c r="C60" s="159" t="s">
        <v>859</v>
      </c>
      <c r="D60" s="160">
        <v>27455</v>
      </c>
      <c r="E60" s="120" t="s">
        <v>2425</v>
      </c>
      <c r="F60" s="161" t="str">
        <f>HYPERLINK("https://cdnc.ucr.edu/cgi-bin/cdnc?a=d&amp;d=DS19750303.2.21&amp;e=-------en--20--1--txt-txIN--------1","42")</f>
        <v>42</v>
      </c>
      <c r="G60" s="120">
        <v>0</v>
      </c>
      <c r="H60" s="120"/>
      <c r="I60" s="120">
        <v>0</v>
      </c>
      <c r="J60" s="133" t="s">
        <v>853</v>
      </c>
      <c r="K60" s="133">
        <v>0</v>
      </c>
      <c r="L60" s="117">
        <v>65.599999999999994</v>
      </c>
      <c r="M60" s="133">
        <f t="shared" si="9"/>
        <v>23.599999999999994</v>
      </c>
      <c r="N60" s="157"/>
      <c r="O60" s="158"/>
      <c r="P60" s="158"/>
      <c r="Q60" s="158"/>
      <c r="R60" s="158"/>
      <c r="S60" s="158"/>
      <c r="T60" s="158"/>
      <c r="U60" s="158"/>
      <c r="V60" s="158"/>
      <c r="W60" s="158"/>
      <c r="X60" s="158"/>
      <c r="Y60" s="158"/>
      <c r="Z60" s="158"/>
      <c r="AA60" s="158"/>
    </row>
    <row r="61" spans="1:27" ht="15.75" customHeight="1" x14ac:dyDescent="0.55000000000000004">
      <c r="A61" s="159">
        <v>10</v>
      </c>
      <c r="B61" s="159" t="s">
        <v>927</v>
      </c>
      <c r="C61" s="159" t="s">
        <v>859</v>
      </c>
      <c r="D61" s="160">
        <v>27455</v>
      </c>
      <c r="E61" s="120" t="s">
        <v>2426</v>
      </c>
      <c r="F61" s="161" t="str">
        <f>HYPERLINK("https://cdnc.ucr.edu/cgi-bin/cdnc?a=d&amp;d=DS19750303.2.21&amp;e=-------en--20--1--txt-txIN--------1","31")</f>
        <v>31</v>
      </c>
      <c r="G61" s="120">
        <v>1</v>
      </c>
      <c r="H61" s="120"/>
      <c r="I61" s="120">
        <v>0</v>
      </c>
      <c r="J61" s="133" t="s">
        <v>853</v>
      </c>
      <c r="K61" s="133">
        <v>0</v>
      </c>
      <c r="L61" s="117">
        <v>71.099999999999994</v>
      </c>
      <c r="M61" s="133">
        <f t="shared" si="9"/>
        <v>40.099999999999994</v>
      </c>
      <c r="N61" s="157"/>
      <c r="O61" s="158"/>
      <c r="P61" s="158"/>
      <c r="Q61" s="158"/>
      <c r="R61" s="158"/>
      <c r="S61" s="158"/>
      <c r="T61" s="158"/>
      <c r="U61" s="158"/>
      <c r="V61" s="158"/>
      <c r="W61" s="158"/>
      <c r="X61" s="158"/>
      <c r="Y61" s="158"/>
      <c r="Z61" s="158"/>
      <c r="AA61" s="158"/>
    </row>
    <row r="62" spans="1:27" ht="15.75" customHeight="1" x14ac:dyDescent="0.55000000000000004">
      <c r="A62" s="159">
        <v>10</v>
      </c>
      <c r="B62" s="159" t="s">
        <v>927</v>
      </c>
      <c r="C62" s="159" t="s">
        <v>859</v>
      </c>
      <c r="D62" s="160">
        <v>27455</v>
      </c>
      <c r="E62" s="120" t="s">
        <v>2427</v>
      </c>
      <c r="F62" s="161" t="str">
        <f>HYPERLINK("https://cdnc.ucr.edu/cgi-bin/cdnc?a=d&amp;d=DS19750303.2.21&amp;e=-------en--20--1--txt-txIN--------1","22")</f>
        <v>22</v>
      </c>
      <c r="G62" s="120">
        <v>1</v>
      </c>
      <c r="H62" s="120"/>
      <c r="I62" s="120">
        <v>0</v>
      </c>
      <c r="J62" s="133" t="s">
        <v>853</v>
      </c>
      <c r="K62" s="133">
        <v>0</v>
      </c>
      <c r="L62" s="117">
        <v>71.099999999999994</v>
      </c>
      <c r="M62" s="133">
        <f t="shared" si="9"/>
        <v>49.099999999999994</v>
      </c>
      <c r="N62" s="157"/>
      <c r="O62" s="158"/>
      <c r="P62" s="158"/>
      <c r="Q62" s="158"/>
      <c r="R62" s="158"/>
      <c r="S62" s="158"/>
      <c r="T62" s="158"/>
      <c r="U62" s="158"/>
      <c r="V62" s="158"/>
      <c r="W62" s="158"/>
      <c r="X62" s="158"/>
      <c r="Y62" s="158"/>
      <c r="Z62" s="158"/>
      <c r="AA62" s="158"/>
    </row>
    <row r="63" spans="1:27" ht="15.75" customHeight="1" x14ac:dyDescent="0.55000000000000004">
      <c r="A63" s="159">
        <v>10</v>
      </c>
      <c r="B63" s="159" t="s">
        <v>927</v>
      </c>
      <c r="C63" s="159" t="s">
        <v>859</v>
      </c>
      <c r="D63" s="160">
        <v>27455</v>
      </c>
      <c r="E63" s="120" t="s">
        <v>2428</v>
      </c>
      <c r="F63" s="161" t="str">
        <f>HYPERLINK("https://www.nytimes.com/1975/03/04/archives/fifth-victim-dies-in-coast-shooting.html","69")</f>
        <v>69</v>
      </c>
      <c r="G63" s="120">
        <v>0</v>
      </c>
      <c r="H63" s="120"/>
      <c r="I63" s="120">
        <v>0</v>
      </c>
      <c r="J63" s="133" t="s">
        <v>853</v>
      </c>
      <c r="K63" s="133">
        <v>0</v>
      </c>
      <c r="L63" s="117">
        <v>78.099999999999994</v>
      </c>
      <c r="M63" s="133">
        <f t="shared" si="9"/>
        <v>9.0999999999999943</v>
      </c>
      <c r="N63" s="157"/>
      <c r="O63" s="158"/>
      <c r="P63" s="158"/>
      <c r="Q63" s="158"/>
      <c r="R63" s="158"/>
      <c r="S63" s="158"/>
      <c r="T63" s="158"/>
      <c r="U63" s="158"/>
      <c r="V63" s="158"/>
      <c r="W63" s="158"/>
      <c r="X63" s="158"/>
      <c r="Y63" s="158"/>
      <c r="Z63" s="158"/>
      <c r="AA63" s="158"/>
    </row>
    <row r="64" spans="1:27" ht="15.75" customHeight="1" x14ac:dyDescent="0.55000000000000004">
      <c r="A64" s="159">
        <v>10</v>
      </c>
      <c r="B64" s="159" t="s">
        <v>927</v>
      </c>
      <c r="C64" s="159" t="s">
        <v>859</v>
      </c>
      <c r="D64" s="160">
        <v>27455</v>
      </c>
      <c r="E64" s="120" t="s">
        <v>2429</v>
      </c>
      <c r="F64" s="161" t="str">
        <f>HYPERLINK("https://newspaperarchive.com/press-telegram-mar-03-1975-p-1/","58")</f>
        <v>58</v>
      </c>
      <c r="G64" s="120">
        <v>1</v>
      </c>
      <c r="H64" s="120"/>
      <c r="I64" s="120">
        <v>0</v>
      </c>
      <c r="J64" s="133" t="s">
        <v>853</v>
      </c>
      <c r="K64" s="133">
        <v>0</v>
      </c>
      <c r="L64" s="117">
        <v>48.3</v>
      </c>
      <c r="M64" s="133">
        <v>0</v>
      </c>
      <c r="N64" s="157"/>
      <c r="O64" s="158"/>
      <c r="P64" s="158"/>
      <c r="Q64" s="158"/>
      <c r="R64" s="158"/>
      <c r="S64" s="158"/>
      <c r="T64" s="158"/>
      <c r="U64" s="158"/>
      <c r="V64" s="158"/>
      <c r="W64" s="158"/>
      <c r="X64" s="158"/>
      <c r="Y64" s="158"/>
      <c r="Z64" s="158"/>
      <c r="AA64" s="158"/>
    </row>
    <row r="65" spans="1:27" ht="15.75" customHeight="1" x14ac:dyDescent="0.55000000000000004">
      <c r="A65" s="162">
        <v>11</v>
      </c>
      <c r="B65" s="162" t="s">
        <v>932</v>
      </c>
      <c r="C65" s="162" t="s">
        <v>933</v>
      </c>
      <c r="D65" s="163">
        <v>27953</v>
      </c>
      <c r="E65" s="120" t="s">
        <v>2430</v>
      </c>
      <c r="F65" s="120">
        <v>30</v>
      </c>
      <c r="G65" s="120">
        <v>0</v>
      </c>
      <c r="H65" s="131">
        <v>0</v>
      </c>
      <c r="I65" s="120">
        <v>1</v>
      </c>
      <c r="J65" s="131" t="s">
        <v>2387</v>
      </c>
      <c r="K65" s="133">
        <v>3</v>
      </c>
      <c r="L65" s="117">
        <v>66.5</v>
      </c>
      <c r="M65" s="133">
        <f t="shared" ref="M65:M67" si="10">L65-F65</f>
        <v>36.5</v>
      </c>
      <c r="N65" s="157"/>
      <c r="O65" s="158"/>
      <c r="P65" s="158"/>
      <c r="Q65" s="158"/>
      <c r="R65" s="158"/>
      <c r="S65" s="158"/>
      <c r="T65" s="158"/>
      <c r="U65" s="158"/>
      <c r="V65" s="158"/>
      <c r="W65" s="158"/>
      <c r="X65" s="158"/>
      <c r="Y65" s="158"/>
      <c r="Z65" s="158"/>
      <c r="AA65" s="158"/>
    </row>
    <row r="66" spans="1:27" ht="15.75" customHeight="1" x14ac:dyDescent="0.55000000000000004">
      <c r="A66" s="162">
        <v>11</v>
      </c>
      <c r="B66" s="162" t="s">
        <v>932</v>
      </c>
      <c r="C66" s="162" t="s">
        <v>933</v>
      </c>
      <c r="D66" s="163">
        <v>27953</v>
      </c>
      <c r="E66" s="120" t="s">
        <v>2431</v>
      </c>
      <c r="F66" s="120">
        <v>32</v>
      </c>
      <c r="G66" s="120">
        <v>0</v>
      </c>
      <c r="H66" s="131">
        <v>0</v>
      </c>
      <c r="I66" s="120">
        <v>1</v>
      </c>
      <c r="J66" s="131" t="s">
        <v>2387</v>
      </c>
      <c r="K66" s="133">
        <v>3</v>
      </c>
      <c r="L66" s="117">
        <v>66.5</v>
      </c>
      <c r="M66" s="133">
        <f t="shared" si="10"/>
        <v>34.5</v>
      </c>
      <c r="N66" s="157"/>
      <c r="O66" s="158"/>
      <c r="P66" s="158"/>
      <c r="Q66" s="158"/>
      <c r="R66" s="158"/>
      <c r="S66" s="158"/>
      <c r="T66" s="158"/>
      <c r="U66" s="158"/>
      <c r="V66" s="158"/>
      <c r="W66" s="158"/>
      <c r="X66" s="158"/>
      <c r="Y66" s="158"/>
      <c r="Z66" s="158"/>
      <c r="AA66" s="158"/>
    </row>
    <row r="67" spans="1:27" ht="15.75" customHeight="1" x14ac:dyDescent="0.55000000000000004">
      <c r="A67" s="162">
        <v>11</v>
      </c>
      <c r="B67" s="162" t="s">
        <v>932</v>
      </c>
      <c r="C67" s="162" t="s">
        <v>933</v>
      </c>
      <c r="D67" s="163">
        <v>27953</v>
      </c>
      <c r="E67" s="120" t="s">
        <v>2432</v>
      </c>
      <c r="F67" s="120">
        <v>72</v>
      </c>
      <c r="G67" s="120">
        <v>0</v>
      </c>
      <c r="H67" s="131">
        <v>0</v>
      </c>
      <c r="I67" s="120">
        <v>1</v>
      </c>
      <c r="J67" s="131" t="s">
        <v>2387</v>
      </c>
      <c r="K67" s="133">
        <v>3</v>
      </c>
      <c r="L67" s="117">
        <v>78.099999999999994</v>
      </c>
      <c r="M67" s="133">
        <f t="shared" si="10"/>
        <v>6.0999999999999943</v>
      </c>
      <c r="N67" s="157"/>
      <c r="O67" s="158"/>
      <c r="P67" s="158"/>
      <c r="Q67" s="158"/>
      <c r="R67" s="158"/>
      <c r="S67" s="158"/>
      <c r="T67" s="158"/>
      <c r="U67" s="158"/>
      <c r="V67" s="158"/>
      <c r="W67" s="158"/>
      <c r="X67" s="158"/>
      <c r="Y67" s="158"/>
      <c r="Z67" s="158"/>
      <c r="AA67" s="158"/>
    </row>
    <row r="68" spans="1:27" ht="15.75" customHeight="1" x14ac:dyDescent="0.55000000000000004">
      <c r="A68" s="162">
        <v>11</v>
      </c>
      <c r="B68" s="162" t="s">
        <v>932</v>
      </c>
      <c r="C68" s="162" t="s">
        <v>933</v>
      </c>
      <c r="D68" s="163">
        <v>27953</v>
      </c>
      <c r="E68" s="120" t="s">
        <v>2433</v>
      </c>
      <c r="F68" s="120">
        <v>51</v>
      </c>
      <c r="G68" s="120">
        <v>0</v>
      </c>
      <c r="H68" s="131">
        <v>0</v>
      </c>
      <c r="I68" s="120">
        <v>1</v>
      </c>
      <c r="J68" s="131" t="s">
        <v>2387</v>
      </c>
      <c r="K68" s="133">
        <v>3</v>
      </c>
      <c r="L68" s="117">
        <v>46.6</v>
      </c>
      <c r="M68" s="133">
        <v>0</v>
      </c>
      <c r="N68" s="157"/>
      <c r="O68" s="158"/>
      <c r="P68" s="158"/>
      <c r="Q68" s="158"/>
      <c r="R68" s="158"/>
      <c r="S68" s="158"/>
      <c r="T68" s="158"/>
      <c r="U68" s="158"/>
      <c r="V68" s="158"/>
      <c r="W68" s="158"/>
      <c r="X68" s="158"/>
      <c r="Y68" s="158"/>
      <c r="Z68" s="158"/>
      <c r="AA68" s="158"/>
    </row>
    <row r="69" spans="1:27" ht="15.75" customHeight="1" x14ac:dyDescent="0.55000000000000004">
      <c r="A69" s="162">
        <v>11</v>
      </c>
      <c r="B69" s="162" t="s">
        <v>932</v>
      </c>
      <c r="C69" s="162" t="s">
        <v>933</v>
      </c>
      <c r="D69" s="163">
        <v>27953</v>
      </c>
      <c r="E69" s="120" t="s">
        <v>2434</v>
      </c>
      <c r="F69" s="120">
        <v>41</v>
      </c>
      <c r="G69" s="120">
        <v>0</v>
      </c>
      <c r="H69" s="131">
        <v>0</v>
      </c>
      <c r="I69" s="120">
        <v>1</v>
      </c>
      <c r="J69" s="131" t="s">
        <v>2387</v>
      </c>
      <c r="K69" s="133">
        <v>3</v>
      </c>
      <c r="L69" s="117">
        <v>66.5</v>
      </c>
      <c r="M69" s="133">
        <f t="shared" ref="M69:M71" si="11">L69-F69</f>
        <v>25.5</v>
      </c>
      <c r="N69" s="157"/>
      <c r="O69" s="158"/>
      <c r="P69" s="158"/>
      <c r="Q69" s="158"/>
      <c r="R69" s="158"/>
      <c r="S69" s="158"/>
      <c r="T69" s="158"/>
      <c r="U69" s="158"/>
      <c r="V69" s="158"/>
      <c r="W69" s="158"/>
      <c r="X69" s="158"/>
      <c r="Y69" s="158"/>
      <c r="Z69" s="158"/>
      <c r="AA69" s="158"/>
    </row>
    <row r="70" spans="1:27" ht="15.75" customHeight="1" x14ac:dyDescent="0.55000000000000004">
      <c r="A70" s="162">
        <v>11</v>
      </c>
      <c r="B70" s="162" t="s">
        <v>932</v>
      </c>
      <c r="C70" s="162" t="s">
        <v>933</v>
      </c>
      <c r="D70" s="163">
        <v>27953</v>
      </c>
      <c r="E70" s="120" t="s">
        <v>2435</v>
      </c>
      <c r="F70" s="120">
        <v>25</v>
      </c>
      <c r="G70" s="120">
        <v>1</v>
      </c>
      <c r="H70" s="131">
        <v>0</v>
      </c>
      <c r="I70" s="120">
        <v>1</v>
      </c>
      <c r="J70" s="131" t="s">
        <v>2387</v>
      </c>
      <c r="K70" s="133">
        <v>3</v>
      </c>
      <c r="L70" s="117">
        <v>72.2</v>
      </c>
      <c r="M70" s="133">
        <f t="shared" si="11"/>
        <v>47.2</v>
      </c>
      <c r="N70" s="157"/>
      <c r="O70" s="158"/>
      <c r="P70" s="158"/>
      <c r="Q70" s="158"/>
      <c r="R70" s="158"/>
      <c r="S70" s="158"/>
      <c r="T70" s="158"/>
      <c r="U70" s="158"/>
      <c r="V70" s="158"/>
      <c r="W70" s="158"/>
      <c r="X70" s="158"/>
      <c r="Y70" s="158"/>
      <c r="Z70" s="158"/>
      <c r="AA70" s="158"/>
    </row>
    <row r="71" spans="1:27" ht="15.75" customHeight="1" x14ac:dyDescent="0.55000000000000004">
      <c r="A71" s="162">
        <v>11</v>
      </c>
      <c r="B71" s="162" t="s">
        <v>932</v>
      </c>
      <c r="C71" s="162" t="s">
        <v>933</v>
      </c>
      <c r="D71" s="163">
        <v>27953</v>
      </c>
      <c r="E71" s="120" t="s">
        <v>2436</v>
      </c>
      <c r="F71" s="120">
        <v>32</v>
      </c>
      <c r="G71" s="120">
        <v>0</v>
      </c>
      <c r="H71" s="131">
        <v>0</v>
      </c>
      <c r="I71" s="120">
        <v>1</v>
      </c>
      <c r="J71" s="131" t="s">
        <v>2387</v>
      </c>
      <c r="K71" s="133">
        <v>3</v>
      </c>
      <c r="L71" s="117">
        <v>66.5</v>
      </c>
      <c r="M71" s="133">
        <f t="shared" si="11"/>
        <v>34.5</v>
      </c>
      <c r="N71" s="157"/>
      <c r="O71" s="158"/>
      <c r="P71" s="158"/>
      <c r="Q71" s="158"/>
      <c r="R71" s="158"/>
      <c r="S71" s="158"/>
      <c r="T71" s="158"/>
      <c r="U71" s="158"/>
      <c r="V71" s="158"/>
      <c r="W71" s="158"/>
      <c r="X71" s="158"/>
      <c r="Y71" s="158"/>
      <c r="Z71" s="158"/>
      <c r="AA71" s="158"/>
    </row>
    <row r="72" spans="1:27" ht="15.75" customHeight="1" x14ac:dyDescent="0.55000000000000004">
      <c r="A72" s="164">
        <v>12</v>
      </c>
      <c r="B72" s="164" t="s">
        <v>939</v>
      </c>
      <c r="C72" s="164" t="s">
        <v>940</v>
      </c>
      <c r="D72" s="165">
        <v>28170</v>
      </c>
      <c r="E72" s="120" t="s">
        <v>2437</v>
      </c>
      <c r="F72" s="120">
        <v>60</v>
      </c>
      <c r="G72" s="120">
        <v>0</v>
      </c>
      <c r="H72" s="161" t="str">
        <f t="shared" ref="H72:H74" si="12">HYPERLINK("https://www.nytimes.com/1977/02/15/archives/nazi-admirer-also-wounds-5-in-wild-attack-followed-by-a-siege-at.html","1")</f>
        <v>1</v>
      </c>
      <c r="I72" s="120">
        <v>1</v>
      </c>
      <c r="J72" s="133" t="s">
        <v>2387</v>
      </c>
      <c r="K72" s="133">
        <v>3</v>
      </c>
      <c r="L72" s="117">
        <v>32.5</v>
      </c>
      <c r="M72" s="133">
        <v>0</v>
      </c>
      <c r="N72" s="157"/>
      <c r="O72" s="158"/>
      <c r="P72" s="158"/>
      <c r="Q72" s="158"/>
      <c r="R72" s="158"/>
      <c r="S72" s="158"/>
      <c r="T72" s="158"/>
      <c r="U72" s="158"/>
      <c r="V72" s="158"/>
      <c r="W72" s="158"/>
      <c r="X72" s="158"/>
      <c r="Y72" s="158"/>
      <c r="Z72" s="158"/>
      <c r="AA72" s="158"/>
    </row>
    <row r="73" spans="1:27" ht="15.75" customHeight="1" x14ac:dyDescent="0.55000000000000004">
      <c r="A73" s="164">
        <v>12</v>
      </c>
      <c r="B73" s="164" t="s">
        <v>939</v>
      </c>
      <c r="C73" s="164" t="s">
        <v>940</v>
      </c>
      <c r="D73" s="165">
        <v>28170</v>
      </c>
      <c r="E73" s="120" t="s">
        <v>2438</v>
      </c>
      <c r="F73" s="120">
        <v>55</v>
      </c>
      <c r="G73" s="120">
        <v>0</v>
      </c>
      <c r="H73" s="161" t="str">
        <f t="shared" si="12"/>
        <v>1</v>
      </c>
      <c r="I73" s="120">
        <v>1</v>
      </c>
      <c r="J73" s="133" t="s">
        <v>2387</v>
      </c>
      <c r="K73" s="133">
        <v>3</v>
      </c>
      <c r="L73" s="117">
        <v>32.5</v>
      </c>
      <c r="M73" s="133">
        <v>0</v>
      </c>
      <c r="N73" s="157"/>
      <c r="O73" s="158"/>
      <c r="P73" s="158"/>
      <c r="Q73" s="158"/>
      <c r="R73" s="158"/>
      <c r="S73" s="158"/>
      <c r="T73" s="158"/>
      <c r="U73" s="158"/>
      <c r="V73" s="158"/>
      <c r="W73" s="158"/>
      <c r="X73" s="158"/>
      <c r="Y73" s="158"/>
      <c r="Z73" s="158"/>
      <c r="AA73" s="158"/>
    </row>
    <row r="74" spans="1:27" ht="15.75" customHeight="1" x14ac:dyDescent="0.55000000000000004">
      <c r="A74" s="164">
        <v>12</v>
      </c>
      <c r="B74" s="164" t="s">
        <v>939</v>
      </c>
      <c r="C74" s="164" t="s">
        <v>940</v>
      </c>
      <c r="D74" s="165">
        <v>28170</v>
      </c>
      <c r="E74" s="120" t="s">
        <v>2439</v>
      </c>
      <c r="F74" s="120">
        <v>45</v>
      </c>
      <c r="G74" s="120">
        <v>0</v>
      </c>
      <c r="H74" s="161" t="str">
        <f t="shared" si="12"/>
        <v>1</v>
      </c>
      <c r="I74" s="120">
        <v>1</v>
      </c>
      <c r="J74" s="133" t="s">
        <v>2387</v>
      </c>
      <c r="K74" s="133">
        <v>3</v>
      </c>
      <c r="L74" s="117">
        <v>59.1</v>
      </c>
      <c r="M74" s="133">
        <f t="shared" ref="M74:M84" si="13">L74-F74</f>
        <v>14.100000000000001</v>
      </c>
      <c r="N74" s="157"/>
      <c r="O74" s="158"/>
      <c r="P74" s="158"/>
      <c r="Q74" s="158"/>
      <c r="R74" s="158"/>
      <c r="S74" s="158"/>
      <c r="T74" s="158"/>
      <c r="U74" s="158"/>
      <c r="V74" s="158"/>
      <c r="W74" s="158"/>
      <c r="X74" s="158"/>
      <c r="Y74" s="158"/>
      <c r="Z74" s="158"/>
      <c r="AA74" s="158"/>
    </row>
    <row r="75" spans="1:27" ht="15.75" customHeight="1" x14ac:dyDescent="0.55000000000000004">
      <c r="A75" s="164">
        <v>12</v>
      </c>
      <c r="B75" s="164" t="s">
        <v>939</v>
      </c>
      <c r="C75" s="164" t="s">
        <v>940</v>
      </c>
      <c r="D75" s="165">
        <v>28170</v>
      </c>
      <c r="E75" s="120" t="s">
        <v>2440</v>
      </c>
      <c r="F75" s="120">
        <v>32</v>
      </c>
      <c r="G75" s="120">
        <v>0</v>
      </c>
      <c r="H75" s="131">
        <v>3</v>
      </c>
      <c r="I75" s="120">
        <v>1</v>
      </c>
      <c r="J75" s="133" t="s">
        <v>2387</v>
      </c>
      <c r="K75" s="133">
        <v>3</v>
      </c>
      <c r="L75" s="117">
        <v>65.599999999999994</v>
      </c>
      <c r="M75" s="133">
        <f t="shared" si="13"/>
        <v>33.599999999999994</v>
      </c>
      <c r="N75" s="157"/>
      <c r="O75" s="158"/>
      <c r="P75" s="158"/>
      <c r="Q75" s="158"/>
      <c r="R75" s="158"/>
      <c r="S75" s="158"/>
      <c r="T75" s="158"/>
      <c r="U75" s="158"/>
      <c r="V75" s="158"/>
      <c r="W75" s="158"/>
      <c r="X75" s="158"/>
      <c r="Y75" s="158"/>
      <c r="Z75" s="158"/>
      <c r="AA75" s="158"/>
    </row>
    <row r="76" spans="1:27" ht="15.75" customHeight="1" x14ac:dyDescent="0.55000000000000004">
      <c r="A76" s="164">
        <v>12</v>
      </c>
      <c r="B76" s="164" t="s">
        <v>939</v>
      </c>
      <c r="C76" s="164" t="s">
        <v>940</v>
      </c>
      <c r="D76" s="165">
        <v>28170</v>
      </c>
      <c r="E76" s="120" t="s">
        <v>2441</v>
      </c>
      <c r="F76" s="161" t="str">
        <f>HYPERLINK("https://www.findagrave.com/memorial/7402590/allen-bruce-mcleod","33")</f>
        <v>33</v>
      </c>
      <c r="G76" s="120">
        <v>0</v>
      </c>
      <c r="H76" s="161" t="str">
        <f>HYPERLINK("https://www.findagrave.com/memorial/7402590/allen-bruce-mcleod","0")</f>
        <v>0</v>
      </c>
      <c r="I76" s="120">
        <v>0</v>
      </c>
      <c r="J76" s="133" t="s">
        <v>853</v>
      </c>
      <c r="K76" s="133">
        <v>0</v>
      </c>
      <c r="L76" s="117">
        <v>66.5</v>
      </c>
      <c r="M76" s="133">
        <f t="shared" si="13"/>
        <v>33.5</v>
      </c>
      <c r="N76" s="157"/>
      <c r="O76" s="158"/>
      <c r="P76" s="158"/>
      <c r="Q76" s="158"/>
      <c r="R76" s="158"/>
      <c r="S76" s="158"/>
      <c r="T76" s="158"/>
      <c r="U76" s="158"/>
      <c r="V76" s="158"/>
      <c r="W76" s="158"/>
      <c r="X76" s="158"/>
      <c r="Y76" s="158"/>
      <c r="Z76" s="158"/>
      <c r="AA76" s="158"/>
    </row>
    <row r="77" spans="1:27" ht="15.75" customHeight="1" x14ac:dyDescent="0.55000000000000004">
      <c r="A77" s="166">
        <v>13</v>
      </c>
      <c r="B77" s="166" t="s">
        <v>947</v>
      </c>
      <c r="C77" s="166" t="s">
        <v>948</v>
      </c>
      <c r="D77" s="167">
        <v>28329</v>
      </c>
      <c r="E77" s="120" t="s">
        <v>2442</v>
      </c>
      <c r="F77" s="161" t="str">
        <f>HYPERLINK("https://www.findagrave.com/memorial/50500559/gary-lee-anderson","27")</f>
        <v>27</v>
      </c>
      <c r="G77" s="120">
        <v>0</v>
      </c>
      <c r="H77" s="120"/>
      <c r="I77" s="161" t="str">
        <f t="shared" ref="I77:I82" si="14">HYPERLINK("https://www.heraldandnews.com/state-s-worst-mass-murder-in-kf-years-ago/article_47caaa64-e90d-5bd5-ab4e-5427e93598d2.html","0")</f>
        <v>0</v>
      </c>
      <c r="J77" s="133" t="s">
        <v>853</v>
      </c>
      <c r="K77" s="133">
        <v>0</v>
      </c>
      <c r="L77" s="117">
        <v>65.599999999999994</v>
      </c>
      <c r="M77" s="133">
        <f t="shared" si="13"/>
        <v>38.599999999999994</v>
      </c>
      <c r="N77" s="157"/>
      <c r="O77" s="158"/>
      <c r="P77" s="158"/>
      <c r="Q77" s="158"/>
      <c r="R77" s="158"/>
      <c r="S77" s="158"/>
      <c r="T77" s="158"/>
      <c r="U77" s="158"/>
      <c r="V77" s="158"/>
      <c r="W77" s="158"/>
      <c r="X77" s="158"/>
      <c r="Y77" s="158"/>
      <c r="Z77" s="158"/>
      <c r="AA77" s="158"/>
    </row>
    <row r="78" spans="1:27" ht="15.75" customHeight="1" x14ac:dyDescent="0.55000000000000004">
      <c r="A78" s="166">
        <v>13</v>
      </c>
      <c r="B78" s="166" t="s">
        <v>947</v>
      </c>
      <c r="C78" s="166" t="s">
        <v>948</v>
      </c>
      <c r="D78" s="167">
        <v>28329</v>
      </c>
      <c r="E78" s="120" t="s">
        <v>2443</v>
      </c>
      <c r="F78" s="161" t="str">
        <f>HYPERLINK("https://www.oregonlive.com/politics/2015/10/mass_shootings_in_oregon_a_lis.html","23")</f>
        <v>23</v>
      </c>
      <c r="G78" s="120">
        <v>0</v>
      </c>
      <c r="H78" s="120"/>
      <c r="I78" s="161" t="str">
        <f t="shared" si="14"/>
        <v>0</v>
      </c>
      <c r="J78" s="133" t="s">
        <v>853</v>
      </c>
      <c r="K78" s="133">
        <v>0</v>
      </c>
      <c r="L78" s="117">
        <v>65.599999999999994</v>
      </c>
      <c r="M78" s="133">
        <f t="shared" si="13"/>
        <v>42.599999999999994</v>
      </c>
      <c r="N78" s="157"/>
      <c r="O78" s="158"/>
      <c r="P78" s="158"/>
      <c r="Q78" s="158"/>
      <c r="R78" s="158"/>
      <c r="S78" s="158"/>
      <c r="T78" s="158"/>
      <c r="U78" s="158"/>
      <c r="V78" s="158"/>
      <c r="W78" s="158"/>
      <c r="X78" s="158"/>
      <c r="Y78" s="158"/>
      <c r="Z78" s="158"/>
      <c r="AA78" s="158"/>
    </row>
    <row r="79" spans="1:27" ht="15.75" customHeight="1" x14ac:dyDescent="0.55000000000000004">
      <c r="A79" s="166">
        <v>13</v>
      </c>
      <c r="B79" s="166" t="s">
        <v>947</v>
      </c>
      <c r="C79" s="166" t="s">
        <v>948</v>
      </c>
      <c r="D79" s="167">
        <v>28329</v>
      </c>
      <c r="E79" s="120" t="s">
        <v>2444</v>
      </c>
      <c r="F79" s="120">
        <v>26</v>
      </c>
      <c r="G79" s="120">
        <v>0</v>
      </c>
      <c r="H79" s="161" t="str">
        <f>HYPERLINK("https://www.findagrave.com/memorial/10854053/robert-david-seater","0")</f>
        <v>0</v>
      </c>
      <c r="I79" s="161" t="str">
        <f t="shared" si="14"/>
        <v>0</v>
      </c>
      <c r="J79" s="133" t="s">
        <v>853</v>
      </c>
      <c r="K79" s="133">
        <v>0</v>
      </c>
      <c r="L79" s="117">
        <v>66.5</v>
      </c>
      <c r="M79" s="133">
        <f t="shared" si="13"/>
        <v>40.5</v>
      </c>
      <c r="N79" s="157"/>
      <c r="O79" s="158"/>
      <c r="P79" s="158"/>
      <c r="Q79" s="158"/>
      <c r="R79" s="158"/>
      <c r="S79" s="158"/>
      <c r="T79" s="158"/>
      <c r="U79" s="158"/>
      <c r="V79" s="158"/>
      <c r="W79" s="158"/>
      <c r="X79" s="158"/>
      <c r="Y79" s="158"/>
      <c r="Z79" s="158"/>
      <c r="AA79" s="158"/>
    </row>
    <row r="80" spans="1:27" ht="15.75" customHeight="1" x14ac:dyDescent="0.55000000000000004">
      <c r="A80" s="166">
        <v>13</v>
      </c>
      <c r="B80" s="166" t="s">
        <v>947</v>
      </c>
      <c r="C80" s="166" t="s">
        <v>948</v>
      </c>
      <c r="D80" s="167">
        <v>28329</v>
      </c>
      <c r="E80" s="120" t="s">
        <v>2445</v>
      </c>
      <c r="F80" s="120">
        <v>23</v>
      </c>
      <c r="G80" s="120">
        <v>1</v>
      </c>
      <c r="H80" s="161" t="str">
        <f>HYPERLINK("https://www.findagrave.com/memorial/10854046/carrol-ann-seater","0")</f>
        <v>0</v>
      </c>
      <c r="I80" s="161" t="str">
        <f t="shared" si="14"/>
        <v>0</v>
      </c>
      <c r="J80" s="133" t="s">
        <v>853</v>
      </c>
      <c r="K80" s="133">
        <v>0</v>
      </c>
      <c r="L80" s="117">
        <v>72.2</v>
      </c>
      <c r="M80" s="133">
        <f t="shared" si="13"/>
        <v>49.2</v>
      </c>
      <c r="N80" s="157"/>
      <c r="O80" s="158"/>
      <c r="P80" s="158"/>
      <c r="Q80" s="158"/>
      <c r="R80" s="158"/>
      <c r="S80" s="158"/>
      <c r="T80" s="158"/>
      <c r="U80" s="158"/>
      <c r="V80" s="158"/>
      <c r="W80" s="158"/>
      <c r="X80" s="158"/>
      <c r="Y80" s="158"/>
      <c r="Z80" s="158"/>
      <c r="AA80" s="158"/>
    </row>
    <row r="81" spans="1:27" ht="15.75" customHeight="1" x14ac:dyDescent="0.55000000000000004">
      <c r="A81" s="166">
        <v>13</v>
      </c>
      <c r="B81" s="166" t="s">
        <v>947</v>
      </c>
      <c r="C81" s="166" t="s">
        <v>948</v>
      </c>
      <c r="D81" s="167">
        <v>28329</v>
      </c>
      <c r="E81" s="120" t="s">
        <v>2446</v>
      </c>
      <c r="F81" s="161" t="str">
        <f>HYPERLINK("https://www.findagrave.com/memorial/122002855/james-trueman","25")</f>
        <v>25</v>
      </c>
      <c r="G81" s="120">
        <v>0</v>
      </c>
      <c r="H81" s="120"/>
      <c r="I81" s="161" t="str">
        <f t="shared" si="14"/>
        <v>0</v>
      </c>
      <c r="J81" s="133" t="s">
        <v>853</v>
      </c>
      <c r="K81" s="133">
        <v>0</v>
      </c>
      <c r="L81" s="117">
        <v>65.599999999999994</v>
      </c>
      <c r="M81" s="133">
        <f t="shared" si="13"/>
        <v>40.599999999999994</v>
      </c>
      <c r="N81" s="157"/>
      <c r="O81" s="158"/>
      <c r="P81" s="158"/>
      <c r="Q81" s="158"/>
      <c r="R81" s="158"/>
      <c r="S81" s="158"/>
      <c r="T81" s="158"/>
      <c r="U81" s="158"/>
      <c r="V81" s="158"/>
      <c r="W81" s="158"/>
      <c r="X81" s="158"/>
      <c r="Y81" s="158"/>
      <c r="Z81" s="158"/>
      <c r="AA81" s="158"/>
    </row>
    <row r="82" spans="1:27" ht="15.75" customHeight="1" x14ac:dyDescent="0.55000000000000004">
      <c r="A82" s="166">
        <v>13</v>
      </c>
      <c r="B82" s="166" t="s">
        <v>947</v>
      </c>
      <c r="C82" s="166" t="s">
        <v>948</v>
      </c>
      <c r="D82" s="167">
        <v>28329</v>
      </c>
      <c r="E82" s="120" t="s">
        <v>2447</v>
      </c>
      <c r="F82" s="161" t="str">
        <f>HYPERLINK("https://www.findagrave.com/memorial/14390225/andrew-lane-walker","22")</f>
        <v>22</v>
      </c>
      <c r="G82" s="120">
        <v>0</v>
      </c>
      <c r="H82" s="120"/>
      <c r="I82" s="161" t="str">
        <f t="shared" si="14"/>
        <v>0</v>
      </c>
      <c r="J82" s="133" t="s">
        <v>853</v>
      </c>
      <c r="K82" s="133">
        <v>0</v>
      </c>
      <c r="L82" s="117">
        <v>65.599999999999994</v>
      </c>
      <c r="M82" s="133">
        <f t="shared" si="13"/>
        <v>43.599999999999994</v>
      </c>
      <c r="N82" s="157"/>
      <c r="O82" s="158"/>
      <c r="P82" s="158"/>
      <c r="Q82" s="158"/>
      <c r="R82" s="158"/>
      <c r="S82" s="158"/>
      <c r="T82" s="158"/>
      <c r="U82" s="158"/>
      <c r="V82" s="158"/>
      <c r="W82" s="158"/>
      <c r="X82" s="158"/>
      <c r="Y82" s="158"/>
      <c r="Z82" s="158"/>
      <c r="AA82" s="158"/>
    </row>
    <row r="83" spans="1:27" ht="15.75" customHeight="1" x14ac:dyDescent="0.55000000000000004">
      <c r="A83" s="173">
        <v>14</v>
      </c>
      <c r="B83" s="173" t="s">
        <v>957</v>
      </c>
      <c r="C83" s="173" t="s">
        <v>958</v>
      </c>
      <c r="D83" s="174">
        <v>28363</v>
      </c>
      <c r="E83" s="161" t="str">
        <f>HYPERLINK("https://www.findagrave.com/memorial/19161580/david-j-galvin","David J. Galvin")</f>
        <v>David J. Galvin</v>
      </c>
      <c r="F83" s="161" t="str">
        <f>HYPERLINK("https://www.nytimes.com/1977/08/30/archives/suspect-in-jersey-sniper-killings-had-extensive-psychiatric-record.html","14")</f>
        <v>14</v>
      </c>
      <c r="G83" s="120">
        <v>0</v>
      </c>
      <c r="H83" s="120"/>
      <c r="I83" s="120">
        <v>0</v>
      </c>
      <c r="J83" s="133" t="s">
        <v>853</v>
      </c>
      <c r="K83" s="133">
        <v>0</v>
      </c>
      <c r="L83" s="117">
        <v>66.599999999999994</v>
      </c>
      <c r="M83" s="133">
        <f t="shared" si="13"/>
        <v>52.599999999999994</v>
      </c>
      <c r="N83" s="157"/>
      <c r="O83" s="158"/>
      <c r="P83" s="158"/>
      <c r="Q83" s="158"/>
      <c r="R83" s="158"/>
      <c r="S83" s="158"/>
      <c r="T83" s="158"/>
      <c r="U83" s="158"/>
      <c r="V83" s="158"/>
      <c r="W83" s="158"/>
      <c r="X83" s="158"/>
      <c r="Y83" s="158"/>
      <c r="Z83" s="158"/>
      <c r="AA83" s="158"/>
    </row>
    <row r="84" spans="1:27" ht="15.75" customHeight="1" x14ac:dyDescent="0.55000000000000004">
      <c r="A84" s="173">
        <v>14</v>
      </c>
      <c r="B84" s="173" t="s">
        <v>957</v>
      </c>
      <c r="C84" s="173" t="s">
        <v>958</v>
      </c>
      <c r="D84" s="174">
        <v>28363</v>
      </c>
      <c r="E84" s="120" t="s">
        <v>2448</v>
      </c>
      <c r="F84" s="161" t="str">
        <f>HYPERLINK("https://www.nytimes.com/1977/08/29/archives/quarrels-at-home-cited-as-cause-in-jersey-shootings.html","19")</f>
        <v>19</v>
      </c>
      <c r="G84" s="120">
        <v>0</v>
      </c>
      <c r="H84" s="120"/>
      <c r="I84" s="120">
        <v>0</v>
      </c>
      <c r="J84" s="133" t="s">
        <v>853</v>
      </c>
      <c r="K84" s="133">
        <v>0</v>
      </c>
      <c r="L84" s="117">
        <v>66.599999999999994</v>
      </c>
      <c r="M84" s="133">
        <f t="shared" si="13"/>
        <v>47.599999999999994</v>
      </c>
      <c r="N84" s="157"/>
      <c r="O84" s="158"/>
      <c r="P84" s="158"/>
      <c r="Q84" s="158"/>
      <c r="R84" s="158"/>
      <c r="S84" s="158"/>
      <c r="T84" s="158"/>
      <c r="U84" s="158"/>
      <c r="V84" s="158"/>
      <c r="W84" s="158"/>
      <c r="X84" s="158"/>
      <c r="Y84" s="158"/>
      <c r="Z84" s="158"/>
      <c r="AA84" s="158"/>
    </row>
    <row r="85" spans="1:27" ht="15.75" customHeight="1" x14ac:dyDescent="0.55000000000000004">
      <c r="A85" s="173">
        <v>14</v>
      </c>
      <c r="B85" s="173" t="s">
        <v>957</v>
      </c>
      <c r="C85" s="173" t="s">
        <v>958</v>
      </c>
      <c r="D85" s="174">
        <v>28363</v>
      </c>
      <c r="E85" s="120" t="s">
        <v>2449</v>
      </c>
      <c r="F85" s="120"/>
      <c r="G85" s="120">
        <v>0</v>
      </c>
      <c r="H85" s="120"/>
      <c r="I85" s="120">
        <v>0</v>
      </c>
      <c r="J85" s="133" t="s">
        <v>853</v>
      </c>
      <c r="K85" s="133">
        <v>0</v>
      </c>
      <c r="L85" s="117"/>
      <c r="M85" s="133"/>
      <c r="N85" s="157"/>
      <c r="O85" s="158"/>
      <c r="P85" s="158"/>
      <c r="Q85" s="158"/>
      <c r="R85" s="158"/>
      <c r="S85" s="158"/>
      <c r="T85" s="158"/>
      <c r="U85" s="158"/>
      <c r="V85" s="158"/>
      <c r="W85" s="158"/>
      <c r="X85" s="158"/>
      <c r="Y85" s="158"/>
      <c r="Z85" s="158"/>
      <c r="AA85" s="158"/>
    </row>
    <row r="86" spans="1:27" ht="15.75" customHeight="1" x14ac:dyDescent="0.55000000000000004">
      <c r="A86" s="173">
        <v>14</v>
      </c>
      <c r="B86" s="173" t="s">
        <v>957</v>
      </c>
      <c r="C86" s="173" t="s">
        <v>958</v>
      </c>
      <c r="D86" s="174">
        <v>28363</v>
      </c>
      <c r="E86" s="120" t="s">
        <v>2450</v>
      </c>
      <c r="F86" s="161" t="str">
        <f>HYPERLINK("https://www.findagrave.com/memorial/116330703/clifford-c-sowers","39")</f>
        <v>39</v>
      </c>
      <c r="G86" s="120">
        <v>0</v>
      </c>
      <c r="H86" s="120"/>
      <c r="I86" s="120">
        <v>0</v>
      </c>
      <c r="J86" s="133" t="s">
        <v>853</v>
      </c>
      <c r="K86" s="133">
        <v>0</v>
      </c>
      <c r="L86" s="117">
        <v>65.599999999999994</v>
      </c>
      <c r="M86" s="133">
        <f t="shared" ref="M86:M103" si="15">L86-F86</f>
        <v>26.599999999999994</v>
      </c>
      <c r="N86" s="157"/>
      <c r="O86" s="158"/>
      <c r="P86" s="158"/>
      <c r="Q86" s="158"/>
      <c r="R86" s="158"/>
      <c r="S86" s="158"/>
      <c r="T86" s="158"/>
      <c r="U86" s="158"/>
      <c r="V86" s="158"/>
      <c r="W86" s="158"/>
      <c r="X86" s="158"/>
      <c r="Y86" s="158"/>
      <c r="Z86" s="158"/>
      <c r="AA86" s="158"/>
    </row>
    <row r="87" spans="1:27" ht="15.75" customHeight="1" x14ac:dyDescent="0.55000000000000004">
      <c r="A87" s="173">
        <v>14</v>
      </c>
      <c r="B87" s="173" t="s">
        <v>957</v>
      </c>
      <c r="C87" s="173" t="s">
        <v>958</v>
      </c>
      <c r="D87" s="174">
        <v>28363</v>
      </c>
      <c r="E87" s="120" t="s">
        <v>2451</v>
      </c>
      <c r="F87" s="161" t="str">
        <f>HYPERLINK("https://www.nytimes.com/1977/08/29/archives/quarrels-at-home-cited-as-cause-in-jersey-shootings.html","35")</f>
        <v>35</v>
      </c>
      <c r="G87" s="120">
        <v>0</v>
      </c>
      <c r="H87" s="120"/>
      <c r="I87" s="120">
        <v>0</v>
      </c>
      <c r="J87" s="133" t="s">
        <v>853</v>
      </c>
      <c r="K87" s="133">
        <v>0</v>
      </c>
      <c r="L87" s="117">
        <v>65.599999999999994</v>
      </c>
      <c r="M87" s="133">
        <f t="shared" si="15"/>
        <v>30.599999999999994</v>
      </c>
      <c r="N87" s="157"/>
      <c r="O87" s="158"/>
      <c r="P87" s="158"/>
      <c r="Q87" s="158"/>
      <c r="R87" s="158"/>
      <c r="S87" s="158"/>
      <c r="T87" s="158"/>
      <c r="U87" s="158"/>
      <c r="V87" s="158"/>
      <c r="W87" s="158"/>
      <c r="X87" s="158"/>
      <c r="Y87" s="158"/>
      <c r="Z87" s="158"/>
      <c r="AA87" s="158"/>
    </row>
    <row r="88" spans="1:27" ht="15.75" customHeight="1" x14ac:dyDescent="0.55000000000000004">
      <c r="A88" s="173">
        <v>14</v>
      </c>
      <c r="B88" s="173" t="s">
        <v>957</v>
      </c>
      <c r="C88" s="173" t="s">
        <v>958</v>
      </c>
      <c r="D88" s="174">
        <v>28363</v>
      </c>
      <c r="E88" s="120" t="s">
        <v>2452</v>
      </c>
      <c r="F88" s="161" t="str">
        <f>HYPERLINK("https://www.nytimes.com/1977/08/29/archives/quarrels-at-home-cited-as-cause-in-jersey-shootings.html","20")</f>
        <v>20</v>
      </c>
      <c r="G88" s="120">
        <v>0</v>
      </c>
      <c r="H88" s="120"/>
      <c r="I88" s="120">
        <v>0</v>
      </c>
      <c r="J88" s="133" t="s">
        <v>853</v>
      </c>
      <c r="K88" s="133">
        <v>0</v>
      </c>
      <c r="L88" s="117">
        <v>74.099999999999994</v>
      </c>
      <c r="M88" s="133">
        <f t="shared" si="15"/>
        <v>54.099999999999994</v>
      </c>
      <c r="N88" s="157"/>
      <c r="O88" s="158"/>
      <c r="P88" s="158"/>
      <c r="Q88" s="158"/>
      <c r="R88" s="158"/>
      <c r="S88" s="158"/>
      <c r="T88" s="158"/>
      <c r="U88" s="158"/>
      <c r="V88" s="158"/>
      <c r="W88" s="158"/>
      <c r="X88" s="158"/>
      <c r="Y88" s="158"/>
      <c r="Z88" s="158"/>
      <c r="AA88" s="158"/>
    </row>
    <row r="89" spans="1:27" ht="15.75" customHeight="1" x14ac:dyDescent="0.55000000000000004">
      <c r="A89" s="175">
        <v>15</v>
      </c>
      <c r="B89" s="175" t="s">
        <v>967</v>
      </c>
      <c r="C89" s="175" t="s">
        <v>968</v>
      </c>
      <c r="D89" s="176">
        <v>28658</v>
      </c>
      <c r="E89" s="120" t="s">
        <v>2453</v>
      </c>
      <c r="F89" s="120">
        <v>51</v>
      </c>
      <c r="G89" s="120">
        <v>0</v>
      </c>
      <c r="H89" s="120"/>
      <c r="I89" s="120">
        <v>1</v>
      </c>
      <c r="J89" s="131" t="s">
        <v>2454</v>
      </c>
      <c r="K89" s="133">
        <v>3</v>
      </c>
      <c r="L89" s="117">
        <v>65.599999999999994</v>
      </c>
      <c r="M89" s="133">
        <f t="shared" si="15"/>
        <v>14.599999999999994</v>
      </c>
      <c r="N89" s="157"/>
      <c r="O89" s="158"/>
      <c r="P89" s="158"/>
      <c r="Q89" s="158"/>
      <c r="R89" s="158"/>
      <c r="S89" s="158"/>
      <c r="T89" s="158"/>
      <c r="U89" s="158"/>
      <c r="V89" s="158"/>
      <c r="W89" s="158"/>
      <c r="X89" s="158"/>
      <c r="Y89" s="158"/>
      <c r="Z89" s="158"/>
      <c r="AA89" s="158"/>
    </row>
    <row r="90" spans="1:27" ht="15.75" customHeight="1" x14ac:dyDescent="0.55000000000000004">
      <c r="A90" s="175">
        <v>15</v>
      </c>
      <c r="B90" s="175" t="s">
        <v>967</v>
      </c>
      <c r="C90" s="175" t="s">
        <v>968</v>
      </c>
      <c r="D90" s="176">
        <v>28658</v>
      </c>
      <c r="E90" s="120" t="s">
        <v>2455</v>
      </c>
      <c r="F90" s="120">
        <v>40</v>
      </c>
      <c r="G90" s="120">
        <v>0</v>
      </c>
      <c r="H90" s="120"/>
      <c r="I90" s="120">
        <v>1</v>
      </c>
      <c r="J90" s="131" t="s">
        <v>2387</v>
      </c>
      <c r="K90" s="133">
        <v>3</v>
      </c>
      <c r="L90" s="117">
        <v>65.599999999999994</v>
      </c>
      <c r="M90" s="133">
        <f t="shared" si="15"/>
        <v>25.599999999999994</v>
      </c>
      <c r="N90" s="157"/>
      <c r="O90" s="158"/>
      <c r="P90" s="158"/>
      <c r="Q90" s="158"/>
      <c r="R90" s="158"/>
      <c r="S90" s="158"/>
      <c r="T90" s="158"/>
      <c r="U90" s="158"/>
      <c r="V90" s="158"/>
      <c r="W90" s="158"/>
      <c r="X90" s="158"/>
      <c r="Y90" s="158"/>
      <c r="Z90" s="158"/>
      <c r="AA90" s="158"/>
    </row>
    <row r="91" spans="1:27" ht="15.75" customHeight="1" x14ac:dyDescent="0.55000000000000004">
      <c r="A91" s="175">
        <v>15</v>
      </c>
      <c r="B91" s="175" t="s">
        <v>967</v>
      </c>
      <c r="C91" s="175" t="s">
        <v>968</v>
      </c>
      <c r="D91" s="176">
        <v>28658</v>
      </c>
      <c r="E91" s="120" t="s">
        <v>2456</v>
      </c>
      <c r="F91" s="161" t="str">
        <f>HYPERLINK("https://www.providencejournal.com/news/20180707/40-years-ago-his-mother-was-killed-by-gunman-in-warwick-restaurant-now-every-mass-shooting-takes-him-back-to-1978","48")</f>
        <v>48</v>
      </c>
      <c r="G91" s="120">
        <v>0</v>
      </c>
      <c r="H91" s="120"/>
      <c r="I91" s="120">
        <v>1</v>
      </c>
      <c r="J91" s="168" t="str">
        <f>HYPERLINK("https://www.nytimes.com/1978/06/19/archives/new-jersey-pages-rhode-island-cook-is-arraigned-in-4-shooting.html","coworker")</f>
        <v>coworker</v>
      </c>
      <c r="K91" s="133">
        <v>3</v>
      </c>
      <c r="L91" s="117">
        <v>65.599999999999994</v>
      </c>
      <c r="M91" s="133">
        <f t="shared" si="15"/>
        <v>17.599999999999994</v>
      </c>
      <c r="N91" s="157"/>
      <c r="O91" s="158"/>
      <c r="P91" s="158"/>
      <c r="Q91" s="158"/>
      <c r="R91" s="158"/>
      <c r="S91" s="158"/>
      <c r="T91" s="158"/>
      <c r="U91" s="158"/>
      <c r="V91" s="158"/>
      <c r="W91" s="158"/>
      <c r="X91" s="158"/>
      <c r="Y91" s="158"/>
      <c r="Z91" s="158"/>
      <c r="AA91" s="158"/>
    </row>
    <row r="92" spans="1:27" ht="15.75" customHeight="1" x14ac:dyDescent="0.55000000000000004">
      <c r="A92" s="175">
        <v>15</v>
      </c>
      <c r="B92" s="175" t="s">
        <v>967</v>
      </c>
      <c r="C92" s="175" t="s">
        <v>968</v>
      </c>
      <c r="D92" s="176">
        <v>28658</v>
      </c>
      <c r="E92" s="120" t="s">
        <v>2457</v>
      </c>
      <c r="F92" s="161" t="str">
        <f>HYPERLINK("https://www.providencejournal.com/news/20180707/40-years-ago-his-mother-was-killed-by-gunman-in-warwick-restaurant-now-every-mass-shooting-takes-him-back-to-1978","38")</f>
        <v>38</v>
      </c>
      <c r="G92" s="120">
        <v>1</v>
      </c>
      <c r="H92" s="161" t="str">
        <f>HYPERLINK("https://www.providencejournal.com/news/20180707/40-years-ago-his-mother-was-killed-by-gunman-in-warwick-restaurant-now-every-mass-shooting-takes-him-back-to-1978","0")</f>
        <v>0</v>
      </c>
      <c r="I92" s="120">
        <v>1</v>
      </c>
      <c r="J92" s="131" t="s">
        <v>2387</v>
      </c>
      <c r="K92" s="133">
        <v>3</v>
      </c>
      <c r="L92" s="117">
        <v>72.2</v>
      </c>
      <c r="M92" s="133">
        <f t="shared" si="15"/>
        <v>34.200000000000003</v>
      </c>
      <c r="N92" s="157"/>
      <c r="O92" s="158"/>
      <c r="P92" s="158"/>
      <c r="Q92" s="158"/>
      <c r="R92" s="158"/>
      <c r="S92" s="158"/>
      <c r="T92" s="158"/>
      <c r="U92" s="158"/>
      <c r="V92" s="158"/>
      <c r="W92" s="158"/>
      <c r="X92" s="158"/>
      <c r="Y92" s="158"/>
      <c r="Z92" s="158"/>
      <c r="AA92" s="158"/>
    </row>
    <row r="93" spans="1:27" ht="15.75" customHeight="1" x14ac:dyDescent="0.55000000000000004">
      <c r="A93" s="175">
        <v>15</v>
      </c>
      <c r="B93" s="175" t="s">
        <v>967</v>
      </c>
      <c r="C93" s="175" t="s">
        <v>968</v>
      </c>
      <c r="D93" s="176">
        <v>28658</v>
      </c>
      <c r="E93" s="120" t="s">
        <v>2458</v>
      </c>
      <c r="F93" s="161" t="str">
        <f>HYPERLINK("https://www.nytimes.com/1978/06/19/archives/new-jersey-pages-rhode-island-cook-is-arraigned-in-4-shooting.html","66")</f>
        <v>66</v>
      </c>
      <c r="G93" s="120">
        <v>1</v>
      </c>
      <c r="H93" s="120"/>
      <c r="I93" s="120">
        <v>0</v>
      </c>
      <c r="J93" s="133" t="s">
        <v>853</v>
      </c>
      <c r="K93" s="133">
        <v>0</v>
      </c>
      <c r="L93" s="117">
        <v>83.1</v>
      </c>
      <c r="M93" s="133">
        <f t="shared" si="15"/>
        <v>17.099999999999994</v>
      </c>
      <c r="N93" s="157"/>
      <c r="O93" s="158"/>
      <c r="P93" s="158"/>
      <c r="Q93" s="158"/>
      <c r="R93" s="158"/>
      <c r="S93" s="158"/>
      <c r="T93" s="158"/>
      <c r="U93" s="158"/>
      <c r="V93" s="158"/>
      <c r="W93" s="158"/>
      <c r="X93" s="158"/>
      <c r="Y93" s="158"/>
      <c r="Z93" s="158"/>
      <c r="AA93" s="158"/>
    </row>
    <row r="94" spans="1:27" ht="15.75" customHeight="1" x14ac:dyDescent="0.55000000000000004">
      <c r="A94" s="162">
        <v>16</v>
      </c>
      <c r="B94" s="162" t="s">
        <v>973</v>
      </c>
      <c r="C94" s="162" t="s">
        <v>974</v>
      </c>
      <c r="D94" s="163">
        <v>29254</v>
      </c>
      <c r="E94" s="120" t="s">
        <v>2459</v>
      </c>
      <c r="F94" s="120">
        <v>20</v>
      </c>
      <c r="G94" s="120">
        <v>0</v>
      </c>
      <c r="H94" s="131">
        <v>0</v>
      </c>
      <c r="I94" s="120">
        <v>0</v>
      </c>
      <c r="J94" s="133" t="s">
        <v>853</v>
      </c>
      <c r="K94" s="133">
        <v>0</v>
      </c>
      <c r="L94" s="117">
        <v>67.400000000000006</v>
      </c>
      <c r="M94" s="133">
        <f t="shared" si="15"/>
        <v>47.400000000000006</v>
      </c>
      <c r="N94" s="157"/>
      <c r="O94" s="158"/>
      <c r="P94" s="158"/>
      <c r="Q94" s="158"/>
      <c r="R94" s="158"/>
      <c r="S94" s="158"/>
      <c r="T94" s="158"/>
      <c r="U94" s="158"/>
      <c r="V94" s="158"/>
      <c r="W94" s="158"/>
      <c r="X94" s="158"/>
      <c r="Y94" s="158"/>
      <c r="Z94" s="158"/>
      <c r="AA94" s="158"/>
    </row>
    <row r="95" spans="1:27" ht="15.75" customHeight="1" x14ac:dyDescent="0.55000000000000004">
      <c r="A95" s="162">
        <v>16</v>
      </c>
      <c r="B95" s="162" t="s">
        <v>973</v>
      </c>
      <c r="C95" s="162" t="s">
        <v>974</v>
      </c>
      <c r="D95" s="163">
        <v>29254</v>
      </c>
      <c r="E95" s="120" t="s">
        <v>2460</v>
      </c>
      <c r="F95" s="131">
        <v>32</v>
      </c>
      <c r="G95" s="120">
        <v>1</v>
      </c>
      <c r="H95" s="120"/>
      <c r="I95" s="120">
        <v>0</v>
      </c>
      <c r="J95" s="133" t="s">
        <v>853</v>
      </c>
      <c r="K95" s="133">
        <v>0</v>
      </c>
      <c r="L95" s="117">
        <v>71.099999999999994</v>
      </c>
      <c r="M95" s="133">
        <f t="shared" si="15"/>
        <v>39.099999999999994</v>
      </c>
      <c r="N95" s="157"/>
      <c r="O95" s="158"/>
      <c r="P95" s="158"/>
      <c r="Q95" s="158"/>
      <c r="R95" s="158"/>
      <c r="S95" s="158"/>
      <c r="T95" s="158"/>
      <c r="U95" s="158"/>
      <c r="V95" s="158"/>
      <c r="W95" s="158"/>
      <c r="X95" s="158"/>
      <c r="Y95" s="158"/>
      <c r="Z95" s="158"/>
      <c r="AA95" s="158"/>
    </row>
    <row r="96" spans="1:27" ht="15.75" customHeight="1" x14ac:dyDescent="0.55000000000000004">
      <c r="A96" s="162">
        <v>16</v>
      </c>
      <c r="B96" s="162" t="s">
        <v>973</v>
      </c>
      <c r="C96" s="162" t="s">
        <v>974</v>
      </c>
      <c r="D96" s="163">
        <v>29254</v>
      </c>
      <c r="E96" s="120" t="s">
        <v>2461</v>
      </c>
      <c r="F96" s="161" t="str">
        <f>HYPERLINK("https://www.findagrave.com/memorial/905936/marianne-laweka","53")</f>
        <v>53</v>
      </c>
      <c r="G96" s="131">
        <v>1</v>
      </c>
      <c r="H96" s="120"/>
      <c r="I96" s="120">
        <v>0</v>
      </c>
      <c r="J96" s="133" t="s">
        <v>853</v>
      </c>
      <c r="K96" s="133">
        <v>0</v>
      </c>
      <c r="L96" s="117">
        <v>71.099999999999994</v>
      </c>
      <c r="M96" s="133">
        <f t="shared" si="15"/>
        <v>18.099999999999994</v>
      </c>
      <c r="N96" s="157"/>
      <c r="O96" s="158"/>
      <c r="P96" s="158"/>
      <c r="Q96" s="158"/>
      <c r="R96" s="158"/>
      <c r="S96" s="158"/>
      <c r="T96" s="158"/>
      <c r="U96" s="158"/>
      <c r="V96" s="158"/>
      <c r="W96" s="158"/>
      <c r="X96" s="158"/>
      <c r="Y96" s="158"/>
      <c r="Z96" s="158"/>
      <c r="AA96" s="158"/>
    </row>
    <row r="97" spans="1:27" ht="15.75" customHeight="1" x14ac:dyDescent="0.55000000000000004">
      <c r="A97" s="162">
        <v>16</v>
      </c>
      <c r="B97" s="162" t="s">
        <v>973</v>
      </c>
      <c r="C97" s="162" t="s">
        <v>974</v>
      </c>
      <c r="D97" s="163">
        <v>29254</v>
      </c>
      <c r="E97" s="120" t="s">
        <v>2462</v>
      </c>
      <c r="F97" s="161" t="str">
        <f>HYPERLINK("https://www.findagrave.com/memorial/467444/jana-l-carpenter","29")</f>
        <v>29</v>
      </c>
      <c r="G97" s="131">
        <v>1</v>
      </c>
      <c r="H97" s="120"/>
      <c r="I97" s="120">
        <v>0</v>
      </c>
      <c r="J97" s="133" t="s">
        <v>853</v>
      </c>
      <c r="K97" s="133">
        <v>0</v>
      </c>
      <c r="L97" s="117">
        <v>71.099999999999994</v>
      </c>
      <c r="M97" s="133">
        <f t="shared" si="15"/>
        <v>42.099999999999994</v>
      </c>
      <c r="N97" s="157"/>
      <c r="O97" s="158"/>
      <c r="P97" s="158"/>
      <c r="Q97" s="158"/>
      <c r="R97" s="158"/>
      <c r="S97" s="158"/>
      <c r="T97" s="158"/>
      <c r="U97" s="158"/>
      <c r="V97" s="158"/>
      <c r="W97" s="158"/>
      <c r="X97" s="158"/>
      <c r="Y97" s="158"/>
      <c r="Z97" s="158"/>
      <c r="AA97" s="158"/>
    </row>
    <row r="98" spans="1:27" ht="15.75" customHeight="1" x14ac:dyDescent="0.55000000000000004">
      <c r="A98" s="162">
        <v>16</v>
      </c>
      <c r="B98" s="162" t="s">
        <v>973</v>
      </c>
      <c r="C98" s="162" t="s">
        <v>974</v>
      </c>
      <c r="D98" s="163">
        <v>29254</v>
      </c>
      <c r="E98" s="120" t="s">
        <v>2463</v>
      </c>
      <c r="F98" s="161" t="str">
        <f>HYPERLINK("https://www.findagrave.com/memorial/36256620/fredrick-j-bergford","28")</f>
        <v>28</v>
      </c>
      <c r="G98" s="131">
        <v>0</v>
      </c>
      <c r="H98" s="120"/>
      <c r="I98" s="120">
        <v>0</v>
      </c>
      <c r="J98" s="133" t="s">
        <v>853</v>
      </c>
      <c r="K98" s="133">
        <v>0</v>
      </c>
      <c r="L98" s="117">
        <v>65.599999999999994</v>
      </c>
      <c r="M98" s="133">
        <f t="shared" si="15"/>
        <v>37.599999999999994</v>
      </c>
      <c r="N98" s="157"/>
      <c r="O98" s="158"/>
      <c r="P98" s="158"/>
      <c r="Q98" s="158"/>
      <c r="R98" s="158"/>
      <c r="S98" s="158"/>
      <c r="T98" s="158"/>
      <c r="U98" s="158"/>
      <c r="V98" s="158"/>
      <c r="W98" s="158"/>
      <c r="X98" s="158"/>
      <c r="Y98" s="158"/>
      <c r="Z98" s="158"/>
      <c r="AA98" s="158"/>
    </row>
    <row r="99" spans="1:27" ht="15.75" customHeight="1" x14ac:dyDescent="0.55000000000000004">
      <c r="A99" s="164">
        <v>17</v>
      </c>
      <c r="B99" s="164" t="s">
        <v>977</v>
      </c>
      <c r="C99" s="164" t="s">
        <v>978</v>
      </c>
      <c r="D99" s="165">
        <v>29394</v>
      </c>
      <c r="E99" s="120" t="s">
        <v>2464</v>
      </c>
      <c r="F99" s="131">
        <v>50</v>
      </c>
      <c r="G99" s="120">
        <v>0</v>
      </c>
      <c r="H99" s="131">
        <v>0</v>
      </c>
      <c r="I99" s="120">
        <v>0</v>
      </c>
      <c r="J99" s="133" t="s">
        <v>853</v>
      </c>
      <c r="K99" s="133">
        <v>0</v>
      </c>
      <c r="L99" s="117">
        <v>66.5</v>
      </c>
      <c r="M99" s="133">
        <f t="shared" si="15"/>
        <v>16.5</v>
      </c>
      <c r="N99" s="157"/>
      <c r="O99" s="158"/>
      <c r="P99" s="158"/>
      <c r="Q99" s="158"/>
      <c r="R99" s="158"/>
      <c r="S99" s="158"/>
      <c r="T99" s="158"/>
      <c r="U99" s="158"/>
      <c r="V99" s="158"/>
      <c r="W99" s="158"/>
      <c r="X99" s="158"/>
      <c r="Y99" s="158"/>
      <c r="Z99" s="158"/>
      <c r="AA99" s="158"/>
    </row>
    <row r="100" spans="1:27" ht="15.75" customHeight="1" x14ac:dyDescent="0.55000000000000004">
      <c r="A100" s="164">
        <v>17</v>
      </c>
      <c r="B100" s="164" t="s">
        <v>977</v>
      </c>
      <c r="C100" s="164" t="s">
        <v>978</v>
      </c>
      <c r="D100" s="165">
        <v>29394</v>
      </c>
      <c r="E100" s="120" t="s">
        <v>2465</v>
      </c>
      <c r="F100" s="131">
        <v>7</v>
      </c>
      <c r="G100" s="120">
        <v>1</v>
      </c>
      <c r="H100" s="131">
        <v>0</v>
      </c>
      <c r="I100" s="120">
        <v>0</v>
      </c>
      <c r="J100" s="133" t="s">
        <v>853</v>
      </c>
      <c r="K100" s="133">
        <v>0</v>
      </c>
      <c r="L100" s="117">
        <v>75.599999999999994</v>
      </c>
      <c r="M100" s="133">
        <f t="shared" si="15"/>
        <v>68.599999999999994</v>
      </c>
      <c r="N100" s="157"/>
      <c r="O100" s="158"/>
      <c r="P100" s="158"/>
      <c r="Q100" s="158"/>
      <c r="R100" s="158"/>
      <c r="S100" s="158"/>
      <c r="T100" s="158"/>
      <c r="U100" s="158"/>
      <c r="V100" s="158"/>
      <c r="W100" s="158"/>
      <c r="X100" s="158"/>
      <c r="Y100" s="158"/>
      <c r="Z100" s="158"/>
      <c r="AA100" s="158"/>
    </row>
    <row r="101" spans="1:27" ht="15.75" customHeight="1" x14ac:dyDescent="0.55000000000000004">
      <c r="A101" s="164">
        <v>17</v>
      </c>
      <c r="B101" s="164" t="s">
        <v>977</v>
      </c>
      <c r="C101" s="164" t="s">
        <v>978</v>
      </c>
      <c r="D101" s="165">
        <v>29394</v>
      </c>
      <c r="E101" s="131" t="s">
        <v>2466</v>
      </c>
      <c r="F101" s="131">
        <v>53</v>
      </c>
      <c r="G101" s="120">
        <v>0</v>
      </c>
      <c r="H101" s="131">
        <v>0</v>
      </c>
      <c r="I101" s="120">
        <v>1</v>
      </c>
      <c r="J101" s="131" t="s">
        <v>2467</v>
      </c>
      <c r="K101" s="133">
        <v>5</v>
      </c>
      <c r="L101" s="117">
        <v>66.5</v>
      </c>
      <c r="M101" s="133">
        <f t="shared" si="15"/>
        <v>13.5</v>
      </c>
      <c r="N101" s="157"/>
      <c r="O101" s="158"/>
      <c r="P101" s="158"/>
      <c r="Q101" s="158"/>
      <c r="R101" s="158"/>
      <c r="S101" s="158"/>
      <c r="T101" s="158"/>
      <c r="U101" s="158"/>
      <c r="V101" s="158"/>
      <c r="W101" s="158"/>
      <c r="X101" s="158"/>
      <c r="Y101" s="158"/>
      <c r="Z101" s="158"/>
      <c r="AA101" s="158"/>
    </row>
    <row r="102" spans="1:27" ht="15.75" customHeight="1" x14ac:dyDescent="0.55000000000000004">
      <c r="A102" s="164">
        <v>17</v>
      </c>
      <c r="B102" s="164" t="s">
        <v>977</v>
      </c>
      <c r="C102" s="164" t="s">
        <v>978</v>
      </c>
      <c r="D102" s="165">
        <v>29394</v>
      </c>
      <c r="E102" s="120" t="s">
        <v>2468</v>
      </c>
      <c r="F102" s="131">
        <v>78</v>
      </c>
      <c r="G102" s="120">
        <v>1</v>
      </c>
      <c r="H102" s="120"/>
      <c r="I102" s="120">
        <v>0</v>
      </c>
      <c r="J102" s="133" t="s">
        <v>853</v>
      </c>
      <c r="K102" s="133">
        <v>0</v>
      </c>
      <c r="L102" s="117">
        <v>86.5</v>
      </c>
      <c r="M102" s="133">
        <f t="shared" si="15"/>
        <v>8.5</v>
      </c>
      <c r="N102" s="157"/>
      <c r="O102" s="158"/>
      <c r="P102" s="158"/>
      <c r="Q102" s="158"/>
      <c r="R102" s="158"/>
      <c r="S102" s="158"/>
      <c r="T102" s="158"/>
      <c r="U102" s="158"/>
      <c r="V102" s="158"/>
      <c r="W102" s="158"/>
      <c r="X102" s="158"/>
      <c r="Y102" s="158"/>
      <c r="Z102" s="158"/>
      <c r="AA102" s="158"/>
    </row>
    <row r="103" spans="1:27" ht="15.75" customHeight="1" x14ac:dyDescent="0.55000000000000004">
      <c r="A103" s="164">
        <v>17</v>
      </c>
      <c r="B103" s="164" t="s">
        <v>977</v>
      </c>
      <c r="C103" s="164" t="s">
        <v>978</v>
      </c>
      <c r="D103" s="165">
        <v>29394</v>
      </c>
      <c r="E103" s="120" t="s">
        <v>2469</v>
      </c>
      <c r="F103" s="131">
        <v>49</v>
      </c>
      <c r="G103" s="120">
        <v>0</v>
      </c>
      <c r="H103" s="131">
        <v>0</v>
      </c>
      <c r="I103" s="120">
        <v>1</v>
      </c>
      <c r="J103" s="131" t="s">
        <v>2470</v>
      </c>
      <c r="K103" s="133">
        <v>5</v>
      </c>
      <c r="L103" s="117">
        <v>66.5</v>
      </c>
      <c r="M103" s="133">
        <f t="shared" si="15"/>
        <v>17.5</v>
      </c>
      <c r="N103" s="157"/>
      <c r="O103" s="158"/>
      <c r="P103" s="158"/>
      <c r="Q103" s="158"/>
      <c r="R103" s="158"/>
      <c r="S103" s="158"/>
      <c r="T103" s="158"/>
      <c r="U103" s="158"/>
      <c r="V103" s="158"/>
      <c r="W103" s="158"/>
      <c r="X103" s="158"/>
      <c r="Y103" s="158"/>
      <c r="Z103" s="158"/>
      <c r="AA103" s="158"/>
    </row>
    <row r="104" spans="1:27" ht="15.75" customHeight="1" x14ac:dyDescent="0.55000000000000004">
      <c r="A104" s="166">
        <v>18</v>
      </c>
      <c r="B104" s="166" t="s">
        <v>987</v>
      </c>
      <c r="C104" s="166" t="s">
        <v>988</v>
      </c>
      <c r="D104" s="167">
        <v>29423</v>
      </c>
      <c r="E104" s="120" t="s">
        <v>2471</v>
      </c>
      <c r="F104" s="131">
        <v>57</v>
      </c>
      <c r="G104" s="120">
        <v>1</v>
      </c>
      <c r="H104" s="120"/>
      <c r="I104" s="131">
        <v>1</v>
      </c>
      <c r="J104" s="133" t="s">
        <v>2394</v>
      </c>
      <c r="K104" s="133">
        <v>5</v>
      </c>
      <c r="L104" s="117">
        <v>48.3</v>
      </c>
      <c r="M104" s="133">
        <v>0</v>
      </c>
      <c r="N104" s="157"/>
      <c r="O104" s="158"/>
      <c r="P104" s="158"/>
      <c r="Q104" s="158"/>
      <c r="R104" s="158"/>
      <c r="S104" s="158"/>
      <c r="T104" s="158"/>
      <c r="U104" s="158"/>
      <c r="V104" s="158"/>
      <c r="W104" s="158"/>
      <c r="X104" s="158"/>
      <c r="Y104" s="158"/>
      <c r="Z104" s="158"/>
      <c r="AA104" s="158"/>
    </row>
    <row r="105" spans="1:27" ht="15.75" customHeight="1" x14ac:dyDescent="0.55000000000000004">
      <c r="A105" s="166">
        <v>18</v>
      </c>
      <c r="B105" s="166" t="s">
        <v>987</v>
      </c>
      <c r="C105" s="166" t="s">
        <v>988</v>
      </c>
      <c r="D105" s="167">
        <v>29423</v>
      </c>
      <c r="E105" s="120" t="s">
        <v>2472</v>
      </c>
      <c r="F105" s="131">
        <v>71</v>
      </c>
      <c r="G105" s="120">
        <v>0</v>
      </c>
      <c r="H105" s="120"/>
      <c r="I105" s="131">
        <v>1</v>
      </c>
      <c r="J105" s="133" t="s">
        <v>2394</v>
      </c>
      <c r="K105" s="133">
        <v>5</v>
      </c>
      <c r="L105" s="117">
        <v>78.8</v>
      </c>
      <c r="M105" s="133">
        <f t="shared" ref="M105:M106" si="16">L105-F105</f>
        <v>7.7999999999999972</v>
      </c>
      <c r="N105" s="157"/>
      <c r="O105" s="158"/>
      <c r="P105" s="158"/>
      <c r="Q105" s="158"/>
      <c r="R105" s="158"/>
      <c r="S105" s="158"/>
      <c r="T105" s="158"/>
      <c r="U105" s="158"/>
      <c r="V105" s="158"/>
      <c r="W105" s="158"/>
      <c r="X105" s="158"/>
      <c r="Y105" s="158"/>
      <c r="Z105" s="158"/>
      <c r="AA105" s="158"/>
    </row>
    <row r="106" spans="1:27" ht="15.75" customHeight="1" x14ac:dyDescent="0.55000000000000004">
      <c r="A106" s="166">
        <v>18</v>
      </c>
      <c r="B106" s="166" t="s">
        <v>987</v>
      </c>
      <c r="C106" s="166" t="s">
        <v>988</v>
      </c>
      <c r="D106" s="167">
        <v>29423</v>
      </c>
      <c r="E106" s="120" t="s">
        <v>2473</v>
      </c>
      <c r="F106" s="131">
        <v>25</v>
      </c>
      <c r="G106" s="120">
        <v>0</v>
      </c>
      <c r="H106" s="120"/>
      <c r="I106" s="131">
        <v>1</v>
      </c>
      <c r="J106" s="133" t="s">
        <v>2394</v>
      </c>
      <c r="K106" s="133">
        <v>5</v>
      </c>
      <c r="L106" s="117">
        <v>67.400000000000006</v>
      </c>
      <c r="M106" s="133">
        <f t="shared" si="16"/>
        <v>42.400000000000006</v>
      </c>
      <c r="N106" s="157"/>
      <c r="O106" s="158"/>
      <c r="P106" s="158"/>
      <c r="Q106" s="158"/>
      <c r="R106" s="158"/>
      <c r="S106" s="158"/>
      <c r="T106" s="158"/>
      <c r="U106" s="158"/>
      <c r="V106" s="158"/>
      <c r="W106" s="158"/>
      <c r="X106" s="158"/>
      <c r="Y106" s="158"/>
      <c r="Z106" s="158"/>
      <c r="AA106" s="158"/>
    </row>
    <row r="107" spans="1:27" ht="15.75" customHeight="1" x14ac:dyDescent="0.55000000000000004">
      <c r="A107" s="166">
        <v>18</v>
      </c>
      <c r="B107" s="166" t="s">
        <v>987</v>
      </c>
      <c r="C107" s="166" t="s">
        <v>988</v>
      </c>
      <c r="D107" s="167">
        <v>29423</v>
      </c>
      <c r="E107" s="120" t="s">
        <v>2474</v>
      </c>
      <c r="F107" s="131">
        <v>59</v>
      </c>
      <c r="G107" s="120">
        <v>1</v>
      </c>
      <c r="H107" s="120"/>
      <c r="I107" s="131">
        <v>0</v>
      </c>
      <c r="J107" s="133" t="s">
        <v>853</v>
      </c>
      <c r="K107" s="133">
        <v>0</v>
      </c>
      <c r="L107" s="117">
        <v>48.3</v>
      </c>
      <c r="M107" s="133">
        <v>0</v>
      </c>
      <c r="N107" s="157"/>
      <c r="O107" s="158"/>
      <c r="P107" s="158"/>
      <c r="Q107" s="158"/>
      <c r="R107" s="158"/>
      <c r="S107" s="158"/>
      <c r="T107" s="158"/>
      <c r="U107" s="158"/>
      <c r="V107" s="158"/>
      <c r="W107" s="158"/>
      <c r="X107" s="158"/>
      <c r="Y107" s="158"/>
      <c r="Z107" s="158"/>
      <c r="AA107" s="158"/>
    </row>
    <row r="108" spans="1:27" ht="15.75" customHeight="1" x14ac:dyDescent="0.55000000000000004">
      <c r="A108" s="169">
        <v>19</v>
      </c>
      <c r="B108" s="169" t="s">
        <v>993</v>
      </c>
      <c r="C108" s="169" t="s">
        <v>994</v>
      </c>
      <c r="D108" s="170">
        <v>29713</v>
      </c>
      <c r="E108" s="120" t="s">
        <v>2475</v>
      </c>
      <c r="F108" s="161" t="str">
        <f>HYPERLINK("https://www.findagrave.com/memorial/67433992/john-william-cooper","27")</f>
        <v>27</v>
      </c>
      <c r="G108" s="120">
        <v>0</v>
      </c>
      <c r="H108" s="120"/>
      <c r="I108" s="120">
        <v>0</v>
      </c>
      <c r="J108" s="133" t="s">
        <v>853</v>
      </c>
      <c r="K108" s="133">
        <v>0</v>
      </c>
      <c r="L108" s="117">
        <v>65.599999999999994</v>
      </c>
      <c r="M108" s="133">
        <f t="shared" ref="M108:M123" si="17">L108-F108</f>
        <v>38.599999999999994</v>
      </c>
      <c r="N108" s="157"/>
      <c r="O108" s="158"/>
      <c r="P108" s="158"/>
      <c r="Q108" s="158"/>
      <c r="R108" s="158"/>
      <c r="S108" s="158"/>
      <c r="T108" s="158"/>
      <c r="U108" s="158"/>
      <c r="V108" s="158"/>
      <c r="W108" s="158"/>
      <c r="X108" s="158"/>
      <c r="Y108" s="158"/>
      <c r="Z108" s="158"/>
      <c r="AA108" s="158"/>
    </row>
    <row r="109" spans="1:27" ht="15.75" customHeight="1" x14ac:dyDescent="0.55000000000000004">
      <c r="A109" s="169">
        <v>19</v>
      </c>
      <c r="B109" s="169" t="s">
        <v>993</v>
      </c>
      <c r="C109" s="169" t="s">
        <v>994</v>
      </c>
      <c r="D109" s="170">
        <v>29713</v>
      </c>
      <c r="E109" s="120" t="s">
        <v>2476</v>
      </c>
      <c r="F109" s="131">
        <v>22</v>
      </c>
      <c r="G109" s="120">
        <v>1</v>
      </c>
      <c r="H109" s="120"/>
      <c r="I109" s="120">
        <v>0</v>
      </c>
      <c r="J109" s="133" t="s">
        <v>853</v>
      </c>
      <c r="K109" s="133">
        <v>0</v>
      </c>
      <c r="L109" s="117">
        <v>73.099999999999994</v>
      </c>
      <c r="M109" s="133">
        <f t="shared" si="17"/>
        <v>51.099999999999994</v>
      </c>
      <c r="N109" s="157"/>
      <c r="O109" s="158"/>
      <c r="P109" s="158"/>
      <c r="Q109" s="158"/>
      <c r="R109" s="158"/>
      <c r="S109" s="158"/>
      <c r="T109" s="158"/>
      <c r="U109" s="158"/>
      <c r="V109" s="158"/>
      <c r="W109" s="158"/>
      <c r="X109" s="158"/>
      <c r="Y109" s="158"/>
      <c r="Z109" s="158"/>
      <c r="AA109" s="158"/>
    </row>
    <row r="110" spans="1:27" ht="15.75" customHeight="1" x14ac:dyDescent="0.55000000000000004">
      <c r="A110" s="169">
        <v>19</v>
      </c>
      <c r="B110" s="169" t="s">
        <v>993</v>
      </c>
      <c r="C110" s="169" t="s">
        <v>994</v>
      </c>
      <c r="D110" s="170">
        <v>29713</v>
      </c>
      <c r="E110" s="120" t="s">
        <v>2477</v>
      </c>
      <c r="F110" s="131">
        <v>24</v>
      </c>
      <c r="G110" s="120">
        <v>0</v>
      </c>
      <c r="H110" s="120"/>
      <c r="I110" s="120">
        <v>0</v>
      </c>
      <c r="J110" s="133" t="s">
        <v>853</v>
      </c>
      <c r="K110" s="133">
        <v>0</v>
      </c>
      <c r="L110" s="117">
        <v>66.599999999999994</v>
      </c>
      <c r="M110" s="133">
        <f t="shared" si="17"/>
        <v>42.599999999999994</v>
      </c>
      <c r="N110" s="157"/>
      <c r="O110" s="158"/>
      <c r="P110" s="158"/>
      <c r="Q110" s="158"/>
      <c r="R110" s="158"/>
      <c r="S110" s="158"/>
      <c r="T110" s="158"/>
      <c r="U110" s="158"/>
      <c r="V110" s="158"/>
      <c r="W110" s="158"/>
      <c r="X110" s="158"/>
      <c r="Y110" s="158"/>
      <c r="Z110" s="158"/>
      <c r="AA110" s="158"/>
    </row>
    <row r="111" spans="1:27" ht="15.75" customHeight="1" x14ac:dyDescent="0.55000000000000004">
      <c r="A111" s="169">
        <v>19</v>
      </c>
      <c r="B111" s="169" t="s">
        <v>993</v>
      </c>
      <c r="C111" s="169" t="s">
        <v>994</v>
      </c>
      <c r="D111" s="170">
        <v>29713</v>
      </c>
      <c r="E111" s="120" t="s">
        <v>2478</v>
      </c>
      <c r="F111" s="131">
        <v>24</v>
      </c>
      <c r="G111" s="120">
        <v>0</v>
      </c>
      <c r="H111" s="120"/>
      <c r="I111" s="120">
        <v>0</v>
      </c>
      <c r="J111" s="133" t="s">
        <v>853</v>
      </c>
      <c r="K111" s="133">
        <v>0</v>
      </c>
      <c r="L111" s="117">
        <v>66.599999999999994</v>
      </c>
      <c r="M111" s="133">
        <f t="shared" si="17"/>
        <v>42.599999999999994</v>
      </c>
      <c r="N111" s="157"/>
      <c r="O111" s="158"/>
      <c r="P111" s="158"/>
      <c r="Q111" s="158"/>
      <c r="R111" s="158"/>
      <c r="S111" s="158"/>
      <c r="T111" s="158"/>
      <c r="U111" s="158"/>
      <c r="V111" s="158"/>
      <c r="W111" s="158"/>
      <c r="X111" s="158"/>
      <c r="Y111" s="158"/>
      <c r="Z111" s="158"/>
      <c r="AA111" s="158"/>
    </row>
    <row r="112" spans="1:27" ht="15.75" customHeight="1" x14ac:dyDescent="0.55000000000000004">
      <c r="A112" s="159">
        <v>20</v>
      </c>
      <c r="B112" s="159" t="s">
        <v>998</v>
      </c>
      <c r="C112" s="159" t="s">
        <v>999</v>
      </c>
      <c r="D112" s="160">
        <v>29875</v>
      </c>
      <c r="E112" s="120" t="s">
        <v>2479</v>
      </c>
      <c r="F112" s="120">
        <v>28</v>
      </c>
      <c r="G112" s="120">
        <v>0</v>
      </c>
      <c r="H112" s="120"/>
      <c r="I112" s="120">
        <v>1</v>
      </c>
      <c r="J112" s="131" t="s">
        <v>2480</v>
      </c>
      <c r="K112" s="133">
        <v>5</v>
      </c>
      <c r="L112" s="117">
        <v>65.599999999999994</v>
      </c>
      <c r="M112" s="133">
        <f t="shared" si="17"/>
        <v>37.599999999999994</v>
      </c>
      <c r="N112" s="157"/>
      <c r="O112" s="158"/>
      <c r="P112" s="158"/>
      <c r="Q112" s="158"/>
      <c r="R112" s="158"/>
      <c r="S112" s="158"/>
      <c r="T112" s="158"/>
      <c r="U112" s="158"/>
      <c r="V112" s="158"/>
      <c r="W112" s="158"/>
      <c r="X112" s="158"/>
      <c r="Y112" s="158"/>
      <c r="Z112" s="158"/>
      <c r="AA112" s="158"/>
    </row>
    <row r="113" spans="1:27" ht="15.75" customHeight="1" x14ac:dyDescent="0.55000000000000004">
      <c r="A113" s="159">
        <v>20</v>
      </c>
      <c r="B113" s="159" t="s">
        <v>998</v>
      </c>
      <c r="C113" s="159" t="s">
        <v>999</v>
      </c>
      <c r="D113" s="160">
        <v>29875</v>
      </c>
      <c r="E113" s="120" t="s">
        <v>2481</v>
      </c>
      <c r="F113" s="161" t="str">
        <f>HYPERLINK("https://www.findagrave.com/memorial/57351806/rufus-hamilton","42")</f>
        <v>42</v>
      </c>
      <c r="G113" s="120">
        <v>0</v>
      </c>
      <c r="H113" s="120"/>
      <c r="I113" s="120">
        <v>1</v>
      </c>
      <c r="J113" s="131" t="s">
        <v>2387</v>
      </c>
      <c r="K113" s="133">
        <v>3</v>
      </c>
      <c r="L113" s="117">
        <v>65.599999999999994</v>
      </c>
      <c r="M113" s="133">
        <f t="shared" si="17"/>
        <v>23.599999999999994</v>
      </c>
      <c r="N113" s="157"/>
      <c r="O113" s="158"/>
      <c r="P113" s="158"/>
      <c r="Q113" s="158"/>
      <c r="R113" s="158"/>
      <c r="S113" s="158"/>
      <c r="T113" s="158"/>
      <c r="U113" s="158"/>
      <c r="V113" s="158"/>
      <c r="W113" s="158"/>
      <c r="X113" s="158"/>
      <c r="Y113" s="158"/>
      <c r="Z113" s="158"/>
      <c r="AA113" s="158"/>
    </row>
    <row r="114" spans="1:27" ht="15.75" customHeight="1" x14ac:dyDescent="0.55000000000000004">
      <c r="A114" s="159">
        <v>20</v>
      </c>
      <c r="B114" s="159" t="s">
        <v>998</v>
      </c>
      <c r="C114" s="159" t="s">
        <v>999</v>
      </c>
      <c r="D114" s="160">
        <v>29875</v>
      </c>
      <c r="E114" s="120" t="s">
        <v>2482</v>
      </c>
      <c r="F114" s="131">
        <v>34</v>
      </c>
      <c r="G114" s="120">
        <v>0</v>
      </c>
      <c r="H114" s="120"/>
      <c r="I114" s="120">
        <v>0</v>
      </c>
      <c r="J114" s="133" t="s">
        <v>853</v>
      </c>
      <c r="K114" s="133">
        <v>0</v>
      </c>
      <c r="L114" s="117">
        <v>65.599999999999994</v>
      </c>
      <c r="M114" s="133">
        <f t="shared" si="17"/>
        <v>31.599999999999994</v>
      </c>
      <c r="N114" s="157"/>
      <c r="O114" s="158"/>
      <c r="P114" s="158"/>
      <c r="Q114" s="158"/>
      <c r="R114" s="158"/>
      <c r="S114" s="158"/>
      <c r="T114" s="158"/>
      <c r="U114" s="158"/>
      <c r="V114" s="158"/>
      <c r="W114" s="158"/>
      <c r="X114" s="158"/>
      <c r="Y114" s="158"/>
      <c r="Z114" s="158"/>
      <c r="AA114" s="158"/>
    </row>
    <row r="115" spans="1:27" ht="15.75" customHeight="1" x14ac:dyDescent="0.55000000000000004">
      <c r="A115" s="159">
        <v>20</v>
      </c>
      <c r="B115" s="159" t="s">
        <v>998</v>
      </c>
      <c r="C115" s="159" t="s">
        <v>999</v>
      </c>
      <c r="D115" s="160">
        <v>29875</v>
      </c>
      <c r="E115" s="120" t="s">
        <v>2483</v>
      </c>
      <c r="F115" s="131">
        <v>28</v>
      </c>
      <c r="G115" s="120">
        <v>0</v>
      </c>
      <c r="H115" s="120"/>
      <c r="I115" s="120">
        <v>0</v>
      </c>
      <c r="J115" s="133" t="s">
        <v>853</v>
      </c>
      <c r="K115" s="133">
        <v>0</v>
      </c>
      <c r="L115" s="117">
        <v>65.599999999999994</v>
      </c>
      <c r="M115" s="133">
        <f t="shared" si="17"/>
        <v>37.599999999999994</v>
      </c>
      <c r="N115" s="157"/>
      <c r="O115" s="158"/>
      <c r="P115" s="158"/>
      <c r="Q115" s="158"/>
      <c r="R115" s="158"/>
      <c r="S115" s="158"/>
      <c r="T115" s="158"/>
      <c r="U115" s="158"/>
      <c r="V115" s="158"/>
      <c r="W115" s="158"/>
      <c r="X115" s="158"/>
      <c r="Y115" s="158"/>
      <c r="Z115" s="158"/>
      <c r="AA115" s="158"/>
    </row>
    <row r="116" spans="1:27" ht="15.75" customHeight="1" x14ac:dyDescent="0.55000000000000004">
      <c r="A116" s="159">
        <v>20</v>
      </c>
      <c r="B116" s="159" t="s">
        <v>998</v>
      </c>
      <c r="C116" s="159" t="s">
        <v>999</v>
      </c>
      <c r="D116" s="160">
        <v>29875</v>
      </c>
      <c r="E116" s="120" t="s">
        <v>2484</v>
      </c>
      <c r="F116" s="131">
        <v>28</v>
      </c>
      <c r="G116" s="120">
        <v>0</v>
      </c>
      <c r="H116" s="120"/>
      <c r="I116" s="120">
        <v>0</v>
      </c>
      <c r="J116" s="133" t="s">
        <v>853</v>
      </c>
      <c r="K116" s="133">
        <v>0</v>
      </c>
      <c r="L116" s="117">
        <v>65.599999999999994</v>
      </c>
      <c r="M116" s="133">
        <f t="shared" si="17"/>
        <v>37.599999999999994</v>
      </c>
      <c r="N116" s="157"/>
      <c r="O116" s="158"/>
      <c r="P116" s="158"/>
      <c r="Q116" s="158"/>
      <c r="R116" s="158"/>
      <c r="S116" s="158"/>
      <c r="T116" s="158"/>
      <c r="U116" s="158"/>
      <c r="V116" s="158"/>
      <c r="W116" s="158"/>
      <c r="X116" s="158"/>
      <c r="Y116" s="158"/>
      <c r="Z116" s="158"/>
      <c r="AA116" s="158"/>
    </row>
    <row r="117" spans="1:27" ht="15.75" customHeight="1" x14ac:dyDescent="0.55000000000000004">
      <c r="A117" s="171">
        <v>21</v>
      </c>
      <c r="B117" s="171" t="s">
        <v>1004</v>
      </c>
      <c r="C117" s="171" t="s">
        <v>845</v>
      </c>
      <c r="D117" s="172">
        <v>30074</v>
      </c>
      <c r="E117" s="131" t="s">
        <v>2485</v>
      </c>
      <c r="F117" s="131">
        <v>19</v>
      </c>
      <c r="G117" s="120">
        <v>0</v>
      </c>
      <c r="H117" s="120"/>
      <c r="I117" s="120">
        <v>0</v>
      </c>
      <c r="J117" s="133" t="s">
        <v>853</v>
      </c>
      <c r="K117" s="133">
        <v>0</v>
      </c>
      <c r="L117" s="117">
        <v>66.599999999999994</v>
      </c>
      <c r="M117" s="133">
        <f t="shared" si="17"/>
        <v>47.599999999999994</v>
      </c>
      <c r="N117" s="157"/>
      <c r="O117" s="158"/>
      <c r="P117" s="158"/>
      <c r="Q117" s="158"/>
      <c r="R117" s="158"/>
      <c r="S117" s="158"/>
      <c r="T117" s="158"/>
      <c r="U117" s="158"/>
      <c r="V117" s="158"/>
      <c r="W117" s="158"/>
      <c r="X117" s="158"/>
      <c r="Y117" s="158"/>
      <c r="Z117" s="158"/>
      <c r="AA117" s="158"/>
    </row>
    <row r="118" spans="1:27" ht="15.75" customHeight="1" x14ac:dyDescent="0.55000000000000004">
      <c r="A118" s="171">
        <v>21</v>
      </c>
      <c r="B118" s="171" t="s">
        <v>1004</v>
      </c>
      <c r="C118" s="171" t="s">
        <v>845</v>
      </c>
      <c r="D118" s="172">
        <v>30074</v>
      </c>
      <c r="E118" s="131" t="s">
        <v>2486</v>
      </c>
      <c r="F118" s="131">
        <v>19</v>
      </c>
      <c r="G118" s="120">
        <v>0</v>
      </c>
      <c r="H118" s="120"/>
      <c r="I118" s="120">
        <v>0</v>
      </c>
      <c r="J118" s="133" t="s">
        <v>853</v>
      </c>
      <c r="K118" s="133">
        <v>0</v>
      </c>
      <c r="L118" s="117">
        <v>66.599999999999994</v>
      </c>
      <c r="M118" s="133">
        <f t="shared" si="17"/>
        <v>47.599999999999994</v>
      </c>
      <c r="N118" s="157"/>
      <c r="O118" s="158"/>
      <c r="P118" s="158"/>
      <c r="Q118" s="158"/>
      <c r="R118" s="158"/>
      <c r="S118" s="158"/>
      <c r="T118" s="158"/>
      <c r="U118" s="158"/>
      <c r="V118" s="158"/>
      <c r="W118" s="158"/>
      <c r="X118" s="158"/>
      <c r="Y118" s="158"/>
      <c r="Z118" s="158"/>
      <c r="AA118" s="158"/>
    </row>
    <row r="119" spans="1:27" ht="15.75" customHeight="1" x14ac:dyDescent="0.55000000000000004">
      <c r="A119" s="171">
        <v>21</v>
      </c>
      <c r="B119" s="171" t="s">
        <v>1004</v>
      </c>
      <c r="C119" s="171" t="s">
        <v>845</v>
      </c>
      <c r="D119" s="172">
        <v>30074</v>
      </c>
      <c r="E119" s="120" t="s">
        <v>2487</v>
      </c>
      <c r="F119" s="161" t="str">
        <f>HYPERLINK("https://www.findagrave.com/memorial/29235866/sabrina-lynn-imlach","16")</f>
        <v>16</v>
      </c>
      <c r="G119" s="120">
        <v>1</v>
      </c>
      <c r="H119" s="120"/>
      <c r="I119" s="120">
        <v>0</v>
      </c>
      <c r="J119" s="133" t="s">
        <v>853</v>
      </c>
      <c r="K119" s="133">
        <v>0</v>
      </c>
      <c r="L119" s="117">
        <v>74.7</v>
      </c>
      <c r="M119" s="133">
        <f t="shared" si="17"/>
        <v>58.7</v>
      </c>
      <c r="N119" s="157"/>
      <c r="O119" s="158"/>
      <c r="P119" s="158"/>
      <c r="Q119" s="158"/>
      <c r="R119" s="158"/>
      <c r="S119" s="158"/>
      <c r="T119" s="158"/>
      <c r="U119" s="158"/>
      <c r="V119" s="158"/>
      <c r="W119" s="158"/>
      <c r="X119" s="158"/>
      <c r="Y119" s="158"/>
      <c r="Z119" s="158"/>
      <c r="AA119" s="158"/>
    </row>
    <row r="120" spans="1:27" ht="15.75" customHeight="1" x14ac:dyDescent="0.55000000000000004">
      <c r="A120" s="171">
        <v>21</v>
      </c>
      <c r="B120" s="171" t="s">
        <v>1004</v>
      </c>
      <c r="C120" s="171" t="s">
        <v>845</v>
      </c>
      <c r="D120" s="172">
        <v>30074</v>
      </c>
      <c r="E120" s="120" t="s">
        <v>2488</v>
      </c>
      <c r="F120" s="161" t="str">
        <f>HYPERLINK("https://www.findagrave.com/memorial/29510308/rebecca-dawn-phillips","16")</f>
        <v>16</v>
      </c>
      <c r="G120" s="120">
        <v>1</v>
      </c>
      <c r="H120" s="120"/>
      <c r="I120" s="120">
        <v>0</v>
      </c>
      <c r="J120" s="133" t="s">
        <v>853</v>
      </c>
      <c r="K120" s="133">
        <v>0</v>
      </c>
      <c r="L120" s="117">
        <v>74.7</v>
      </c>
      <c r="M120" s="133">
        <f t="shared" si="17"/>
        <v>58.7</v>
      </c>
      <c r="N120" s="157"/>
      <c r="O120" s="158"/>
      <c r="P120" s="158"/>
      <c r="Q120" s="158"/>
      <c r="R120" s="158"/>
      <c r="S120" s="158"/>
      <c r="T120" s="158"/>
      <c r="U120" s="158"/>
      <c r="V120" s="158"/>
      <c r="W120" s="158"/>
      <c r="X120" s="158"/>
      <c r="Y120" s="158"/>
      <c r="Z120" s="158"/>
      <c r="AA120" s="158"/>
    </row>
    <row r="121" spans="1:27" ht="15.75" customHeight="1" x14ac:dyDescent="0.55000000000000004">
      <c r="A121" s="164">
        <v>22</v>
      </c>
      <c r="B121" s="164" t="s">
        <v>1013</v>
      </c>
      <c r="C121" s="164" t="s">
        <v>1014</v>
      </c>
      <c r="D121" s="165">
        <v>30172</v>
      </c>
      <c r="E121" s="120" t="s">
        <v>2489</v>
      </c>
      <c r="F121" s="131">
        <v>28</v>
      </c>
      <c r="G121" s="120">
        <v>0</v>
      </c>
      <c r="H121" s="120"/>
      <c r="I121" s="120">
        <v>1</v>
      </c>
      <c r="J121" s="133" t="s">
        <v>2490</v>
      </c>
      <c r="K121" s="133">
        <v>5</v>
      </c>
      <c r="L121" s="117">
        <v>65.599999999999994</v>
      </c>
      <c r="M121" s="133">
        <f t="shared" si="17"/>
        <v>37.599999999999994</v>
      </c>
      <c r="N121" s="157"/>
      <c r="O121" s="158"/>
      <c r="P121" s="158"/>
      <c r="Q121" s="158"/>
      <c r="R121" s="158"/>
      <c r="S121" s="158"/>
      <c r="T121" s="158"/>
      <c r="U121" s="158"/>
      <c r="V121" s="158"/>
      <c r="W121" s="158"/>
      <c r="X121" s="158"/>
      <c r="Y121" s="158"/>
      <c r="Z121" s="158"/>
      <c r="AA121" s="158"/>
    </row>
    <row r="122" spans="1:27" ht="15.75" customHeight="1" x14ac:dyDescent="0.55000000000000004">
      <c r="A122" s="164">
        <v>22</v>
      </c>
      <c r="B122" s="164" t="s">
        <v>1013</v>
      </c>
      <c r="C122" s="164" t="s">
        <v>1014</v>
      </c>
      <c r="D122" s="165">
        <v>30172</v>
      </c>
      <c r="E122" s="120" t="s">
        <v>2491</v>
      </c>
      <c r="F122" s="131">
        <v>45</v>
      </c>
      <c r="G122" s="120">
        <v>1</v>
      </c>
      <c r="H122" s="120"/>
      <c r="I122" s="120">
        <v>0</v>
      </c>
      <c r="J122" s="133" t="s">
        <v>853</v>
      </c>
      <c r="K122" s="133">
        <v>0</v>
      </c>
      <c r="L122" s="117">
        <v>71.099999999999994</v>
      </c>
      <c r="M122" s="133">
        <f t="shared" si="17"/>
        <v>26.099999999999994</v>
      </c>
      <c r="N122" s="157"/>
      <c r="O122" s="158"/>
      <c r="P122" s="158"/>
      <c r="Q122" s="158"/>
      <c r="R122" s="158"/>
      <c r="S122" s="158"/>
      <c r="T122" s="158"/>
      <c r="U122" s="158"/>
      <c r="V122" s="158"/>
      <c r="W122" s="158"/>
      <c r="X122" s="158"/>
      <c r="Y122" s="158"/>
      <c r="Z122" s="158"/>
      <c r="AA122" s="158"/>
    </row>
    <row r="123" spans="1:27" ht="15.75" customHeight="1" x14ac:dyDescent="0.55000000000000004">
      <c r="A123" s="164">
        <v>22</v>
      </c>
      <c r="B123" s="164" t="s">
        <v>1013</v>
      </c>
      <c r="C123" s="164" t="s">
        <v>1014</v>
      </c>
      <c r="D123" s="165">
        <v>30172</v>
      </c>
      <c r="E123" s="120" t="s">
        <v>2492</v>
      </c>
      <c r="F123" s="131">
        <v>30</v>
      </c>
      <c r="G123" s="120">
        <v>0</v>
      </c>
      <c r="H123" s="120"/>
      <c r="I123" s="120">
        <v>1</v>
      </c>
      <c r="J123" s="131" t="s">
        <v>2391</v>
      </c>
      <c r="K123" s="133">
        <v>3</v>
      </c>
      <c r="L123" s="117">
        <v>65.599999999999994</v>
      </c>
      <c r="M123" s="133">
        <f t="shared" si="17"/>
        <v>35.599999999999994</v>
      </c>
      <c r="N123" s="157"/>
      <c r="O123" s="158"/>
      <c r="P123" s="158"/>
      <c r="Q123" s="158"/>
      <c r="R123" s="158"/>
      <c r="S123" s="158"/>
      <c r="T123" s="158"/>
      <c r="U123" s="158"/>
      <c r="V123" s="158"/>
      <c r="W123" s="158"/>
      <c r="X123" s="158"/>
      <c r="Y123" s="158"/>
      <c r="Z123" s="158"/>
      <c r="AA123" s="158"/>
    </row>
    <row r="124" spans="1:27" ht="15.75" customHeight="1" x14ac:dyDescent="0.55000000000000004">
      <c r="A124" s="164">
        <v>22</v>
      </c>
      <c r="B124" s="164" t="s">
        <v>1013</v>
      </c>
      <c r="C124" s="164" t="s">
        <v>1014</v>
      </c>
      <c r="D124" s="165">
        <v>30172</v>
      </c>
      <c r="E124" s="120" t="s">
        <v>2493</v>
      </c>
      <c r="F124" s="131">
        <v>58</v>
      </c>
      <c r="G124" s="120">
        <v>0</v>
      </c>
      <c r="H124" s="120"/>
      <c r="I124" s="120">
        <v>1</v>
      </c>
      <c r="J124" s="131" t="s">
        <v>2391</v>
      </c>
      <c r="K124" s="133">
        <v>3</v>
      </c>
      <c r="L124" s="117">
        <v>46.3</v>
      </c>
      <c r="M124" s="133">
        <v>0</v>
      </c>
      <c r="N124" s="157"/>
      <c r="O124" s="158"/>
      <c r="P124" s="158"/>
      <c r="Q124" s="158"/>
      <c r="R124" s="158"/>
      <c r="S124" s="158"/>
      <c r="T124" s="158"/>
      <c r="U124" s="158"/>
      <c r="V124" s="158"/>
      <c r="W124" s="158"/>
      <c r="X124" s="158"/>
      <c r="Y124" s="158"/>
      <c r="Z124" s="158"/>
      <c r="AA124" s="158"/>
    </row>
    <row r="125" spans="1:27" ht="15.75" customHeight="1" x14ac:dyDescent="0.55000000000000004">
      <c r="A125" s="164">
        <v>22</v>
      </c>
      <c r="B125" s="164" t="s">
        <v>1013</v>
      </c>
      <c r="C125" s="164" t="s">
        <v>1014</v>
      </c>
      <c r="D125" s="165">
        <v>30172</v>
      </c>
      <c r="E125" s="120" t="s">
        <v>2494</v>
      </c>
      <c r="F125" s="131">
        <v>37</v>
      </c>
      <c r="G125" s="120">
        <v>0</v>
      </c>
      <c r="H125" s="120"/>
      <c r="I125" s="120">
        <v>1</v>
      </c>
      <c r="J125" s="133" t="s">
        <v>2490</v>
      </c>
      <c r="K125" s="133">
        <v>5</v>
      </c>
      <c r="L125" s="117">
        <v>65.599999999999994</v>
      </c>
      <c r="M125" s="133">
        <f t="shared" ref="M125:M135" si="18">L125-F125</f>
        <v>28.599999999999994</v>
      </c>
      <c r="N125" s="157"/>
      <c r="O125" s="158"/>
      <c r="P125" s="158"/>
      <c r="Q125" s="158"/>
      <c r="R125" s="158"/>
      <c r="S125" s="158"/>
      <c r="T125" s="158"/>
      <c r="U125" s="158"/>
      <c r="V125" s="158"/>
      <c r="W125" s="158"/>
      <c r="X125" s="158"/>
      <c r="Y125" s="158"/>
      <c r="Z125" s="158"/>
      <c r="AA125" s="158"/>
    </row>
    <row r="126" spans="1:27" ht="15.75" customHeight="1" x14ac:dyDescent="0.55000000000000004">
      <c r="A126" s="164">
        <v>22</v>
      </c>
      <c r="B126" s="164" t="s">
        <v>1013</v>
      </c>
      <c r="C126" s="164" t="s">
        <v>1014</v>
      </c>
      <c r="D126" s="165">
        <v>30172</v>
      </c>
      <c r="E126" s="120" t="s">
        <v>2495</v>
      </c>
      <c r="F126" s="131">
        <v>40</v>
      </c>
      <c r="G126" s="120">
        <v>0</v>
      </c>
      <c r="H126" s="120"/>
      <c r="I126" s="120">
        <v>1</v>
      </c>
      <c r="J126" s="131" t="s">
        <v>2391</v>
      </c>
      <c r="K126" s="133">
        <v>3</v>
      </c>
      <c r="L126" s="117">
        <v>65.599999999999994</v>
      </c>
      <c r="M126" s="133">
        <f t="shared" si="18"/>
        <v>25.599999999999994</v>
      </c>
      <c r="N126" s="157"/>
      <c r="O126" s="158"/>
      <c r="P126" s="158"/>
      <c r="Q126" s="158"/>
      <c r="R126" s="158"/>
      <c r="S126" s="158"/>
      <c r="T126" s="158"/>
      <c r="U126" s="158"/>
      <c r="V126" s="158"/>
      <c r="W126" s="158"/>
      <c r="X126" s="158"/>
      <c r="Y126" s="158"/>
      <c r="Z126" s="158"/>
      <c r="AA126" s="158"/>
    </row>
    <row r="127" spans="1:27" ht="15.75" customHeight="1" x14ac:dyDescent="0.55000000000000004">
      <c r="A127" s="166">
        <v>23</v>
      </c>
      <c r="B127" s="166" t="s">
        <v>1018</v>
      </c>
      <c r="C127" s="166" t="s">
        <v>1019</v>
      </c>
      <c r="D127" s="167">
        <v>30183</v>
      </c>
      <c r="E127" s="120" t="s">
        <v>2496</v>
      </c>
      <c r="F127" s="131">
        <v>46</v>
      </c>
      <c r="G127" s="120">
        <v>0</v>
      </c>
      <c r="H127" s="131">
        <v>2</v>
      </c>
      <c r="I127" s="120">
        <v>2</v>
      </c>
      <c r="J127" s="133" t="s">
        <v>2497</v>
      </c>
      <c r="K127" s="133">
        <v>5</v>
      </c>
      <c r="L127" s="117">
        <v>65.599999999999994</v>
      </c>
      <c r="M127" s="133">
        <f t="shared" si="18"/>
        <v>19.599999999999994</v>
      </c>
      <c r="N127" s="157"/>
      <c r="O127" s="158"/>
      <c r="P127" s="158"/>
      <c r="Q127" s="158"/>
      <c r="R127" s="158"/>
      <c r="S127" s="158"/>
      <c r="T127" s="158"/>
      <c r="U127" s="158"/>
      <c r="V127" s="158"/>
      <c r="W127" s="158"/>
      <c r="X127" s="158"/>
      <c r="Y127" s="158"/>
      <c r="Z127" s="158"/>
      <c r="AA127" s="158"/>
    </row>
    <row r="128" spans="1:27" ht="15.75" customHeight="1" x14ac:dyDescent="0.55000000000000004">
      <c r="A128" s="166">
        <v>23</v>
      </c>
      <c r="B128" s="166" t="s">
        <v>1018</v>
      </c>
      <c r="C128" s="166" t="s">
        <v>1019</v>
      </c>
      <c r="D128" s="167">
        <v>30183</v>
      </c>
      <c r="E128" s="120" t="s">
        <v>2498</v>
      </c>
      <c r="F128" s="131">
        <v>53</v>
      </c>
      <c r="G128" s="120">
        <v>0</v>
      </c>
      <c r="H128" s="120"/>
      <c r="I128" s="120">
        <v>2</v>
      </c>
      <c r="J128" s="133" t="s">
        <v>2497</v>
      </c>
      <c r="K128" s="133">
        <v>5</v>
      </c>
      <c r="L128" s="117">
        <v>65.599999999999994</v>
      </c>
      <c r="M128" s="133">
        <f t="shared" si="18"/>
        <v>12.599999999999994</v>
      </c>
      <c r="N128" s="157"/>
      <c r="O128" s="158"/>
      <c r="P128" s="158"/>
      <c r="Q128" s="158"/>
      <c r="R128" s="158"/>
      <c r="S128" s="158"/>
      <c r="T128" s="158"/>
      <c r="U128" s="158"/>
      <c r="V128" s="158"/>
      <c r="W128" s="158"/>
      <c r="X128" s="158"/>
      <c r="Y128" s="158"/>
      <c r="Z128" s="158"/>
      <c r="AA128" s="158"/>
    </row>
    <row r="129" spans="1:27" ht="15.75" customHeight="1" x14ac:dyDescent="0.55000000000000004">
      <c r="A129" s="166">
        <v>23</v>
      </c>
      <c r="B129" s="166" t="s">
        <v>1018</v>
      </c>
      <c r="C129" s="166" t="s">
        <v>1019</v>
      </c>
      <c r="D129" s="167">
        <v>30183</v>
      </c>
      <c r="E129" s="120" t="s">
        <v>2499</v>
      </c>
      <c r="F129" s="131">
        <v>47</v>
      </c>
      <c r="G129" s="120">
        <v>0</v>
      </c>
      <c r="H129" s="120"/>
      <c r="I129" s="120">
        <v>2</v>
      </c>
      <c r="J129" s="133" t="s">
        <v>2497</v>
      </c>
      <c r="K129" s="133">
        <v>5</v>
      </c>
      <c r="L129" s="117">
        <v>65.599999999999994</v>
      </c>
      <c r="M129" s="133">
        <f t="shared" si="18"/>
        <v>18.599999999999994</v>
      </c>
      <c r="N129" s="157"/>
      <c r="O129" s="158"/>
      <c r="P129" s="158"/>
      <c r="Q129" s="158"/>
      <c r="R129" s="158"/>
      <c r="S129" s="158"/>
      <c r="T129" s="158"/>
      <c r="U129" s="158"/>
      <c r="V129" s="158"/>
      <c r="W129" s="158"/>
      <c r="X129" s="158"/>
      <c r="Y129" s="158"/>
      <c r="Z129" s="158"/>
      <c r="AA129" s="158"/>
    </row>
    <row r="130" spans="1:27" ht="15.75" customHeight="1" x14ac:dyDescent="0.55000000000000004">
      <c r="A130" s="166">
        <v>23</v>
      </c>
      <c r="B130" s="166" t="s">
        <v>1018</v>
      </c>
      <c r="C130" s="166" t="s">
        <v>1019</v>
      </c>
      <c r="D130" s="167">
        <v>30183</v>
      </c>
      <c r="E130" s="120" t="s">
        <v>2500</v>
      </c>
      <c r="F130" s="131">
        <v>67</v>
      </c>
      <c r="G130" s="120">
        <v>1</v>
      </c>
      <c r="H130" s="120"/>
      <c r="I130" s="120">
        <v>2</v>
      </c>
      <c r="J130" s="133" t="s">
        <v>2501</v>
      </c>
      <c r="K130" s="133">
        <v>5</v>
      </c>
      <c r="L130" s="117">
        <v>83.3</v>
      </c>
      <c r="M130" s="133">
        <f t="shared" si="18"/>
        <v>16.299999999999997</v>
      </c>
      <c r="N130" s="157"/>
      <c r="O130" s="158"/>
      <c r="P130" s="158"/>
      <c r="Q130" s="158"/>
      <c r="R130" s="158"/>
      <c r="S130" s="158"/>
      <c r="T130" s="158"/>
      <c r="U130" s="158"/>
      <c r="V130" s="158"/>
      <c r="W130" s="158"/>
      <c r="X130" s="158"/>
      <c r="Y130" s="158"/>
      <c r="Z130" s="158"/>
      <c r="AA130" s="158"/>
    </row>
    <row r="131" spans="1:27" ht="15.75" customHeight="1" x14ac:dyDescent="0.55000000000000004">
      <c r="A131" s="166">
        <v>23</v>
      </c>
      <c r="B131" s="166" t="s">
        <v>1018</v>
      </c>
      <c r="C131" s="166" t="s">
        <v>1019</v>
      </c>
      <c r="D131" s="167">
        <v>30183</v>
      </c>
      <c r="E131" s="120" t="s">
        <v>2502</v>
      </c>
      <c r="F131" s="131">
        <v>78</v>
      </c>
      <c r="G131" s="120">
        <v>0</v>
      </c>
      <c r="H131" s="120"/>
      <c r="I131" s="120">
        <v>2</v>
      </c>
      <c r="J131" s="133" t="s">
        <v>2497</v>
      </c>
      <c r="K131" s="133">
        <v>5</v>
      </c>
      <c r="L131" s="117">
        <v>83.8</v>
      </c>
      <c r="M131" s="133">
        <f t="shared" si="18"/>
        <v>5.7999999999999972</v>
      </c>
      <c r="N131" s="157"/>
      <c r="O131" s="158"/>
      <c r="P131" s="158"/>
      <c r="Q131" s="158"/>
      <c r="R131" s="158"/>
      <c r="S131" s="158"/>
      <c r="T131" s="158"/>
      <c r="U131" s="158"/>
      <c r="V131" s="158"/>
      <c r="W131" s="158"/>
      <c r="X131" s="158"/>
      <c r="Y131" s="158"/>
      <c r="Z131" s="158"/>
      <c r="AA131" s="158"/>
    </row>
    <row r="132" spans="1:27" ht="15.75" customHeight="1" x14ac:dyDescent="0.55000000000000004">
      <c r="A132" s="166">
        <v>23</v>
      </c>
      <c r="B132" s="166" t="s">
        <v>1018</v>
      </c>
      <c r="C132" s="166" t="s">
        <v>1019</v>
      </c>
      <c r="D132" s="167">
        <v>30183</v>
      </c>
      <c r="E132" s="120" t="s">
        <v>2503</v>
      </c>
      <c r="F132" s="131">
        <v>29</v>
      </c>
      <c r="G132" s="120">
        <v>1</v>
      </c>
      <c r="H132" s="131">
        <v>0</v>
      </c>
      <c r="I132" s="120">
        <v>2</v>
      </c>
      <c r="J132" s="133" t="s">
        <v>2501</v>
      </c>
      <c r="K132" s="133">
        <v>5</v>
      </c>
      <c r="L132" s="117">
        <v>72.2</v>
      </c>
      <c r="M132" s="133">
        <f t="shared" si="18"/>
        <v>43.2</v>
      </c>
      <c r="N132" s="157"/>
      <c r="O132" s="158"/>
      <c r="P132" s="158"/>
      <c r="Q132" s="158"/>
      <c r="R132" s="158"/>
      <c r="S132" s="158"/>
      <c r="T132" s="158"/>
      <c r="U132" s="158"/>
      <c r="V132" s="158"/>
      <c r="W132" s="158"/>
      <c r="X132" s="158"/>
      <c r="Y132" s="158"/>
      <c r="Z132" s="158"/>
      <c r="AA132" s="158"/>
    </row>
    <row r="133" spans="1:27" ht="15.75" customHeight="1" x14ac:dyDescent="0.55000000000000004">
      <c r="A133" s="166">
        <v>23</v>
      </c>
      <c r="B133" s="166" t="s">
        <v>1018</v>
      </c>
      <c r="C133" s="166" t="s">
        <v>1019</v>
      </c>
      <c r="D133" s="167">
        <v>30183</v>
      </c>
      <c r="E133" s="120" t="s">
        <v>2504</v>
      </c>
      <c r="F133" s="131">
        <v>38</v>
      </c>
      <c r="G133" s="120">
        <v>0</v>
      </c>
      <c r="H133" s="131">
        <v>2</v>
      </c>
      <c r="I133" s="120">
        <v>2</v>
      </c>
      <c r="J133" s="133" t="s">
        <v>2497</v>
      </c>
      <c r="K133" s="133">
        <v>5</v>
      </c>
      <c r="L133" s="117">
        <v>65.599999999999994</v>
      </c>
      <c r="M133" s="133">
        <f t="shared" si="18"/>
        <v>27.599999999999994</v>
      </c>
      <c r="N133" s="157"/>
      <c r="O133" s="158"/>
      <c r="P133" s="158"/>
      <c r="Q133" s="158"/>
      <c r="R133" s="158"/>
      <c r="S133" s="158"/>
      <c r="T133" s="158"/>
      <c r="U133" s="158"/>
      <c r="V133" s="158"/>
      <c r="W133" s="158"/>
      <c r="X133" s="158"/>
      <c r="Y133" s="158"/>
      <c r="Z133" s="158"/>
      <c r="AA133" s="158"/>
    </row>
    <row r="134" spans="1:27" ht="15.75" customHeight="1" x14ac:dyDescent="0.55000000000000004">
      <c r="A134" s="166">
        <v>23</v>
      </c>
      <c r="B134" s="166" t="s">
        <v>1018</v>
      </c>
      <c r="C134" s="166" t="s">
        <v>1019</v>
      </c>
      <c r="D134" s="167">
        <v>30183</v>
      </c>
      <c r="E134" s="120" t="s">
        <v>2505</v>
      </c>
      <c r="F134" s="131">
        <v>43</v>
      </c>
      <c r="G134" s="120">
        <v>0</v>
      </c>
      <c r="H134" s="131">
        <v>2</v>
      </c>
      <c r="I134" s="120">
        <v>2</v>
      </c>
      <c r="J134" s="133" t="s">
        <v>2497</v>
      </c>
      <c r="K134" s="133">
        <v>5</v>
      </c>
      <c r="L134" s="117">
        <v>65.599999999999994</v>
      </c>
      <c r="M134" s="133">
        <f t="shared" si="18"/>
        <v>22.599999999999994</v>
      </c>
      <c r="N134" s="157"/>
      <c r="O134" s="158"/>
      <c r="P134" s="158"/>
      <c r="Q134" s="158"/>
      <c r="R134" s="158"/>
      <c r="S134" s="158"/>
      <c r="T134" s="158"/>
      <c r="U134" s="158"/>
      <c r="V134" s="158"/>
      <c r="W134" s="158"/>
      <c r="X134" s="158"/>
      <c r="Y134" s="158"/>
      <c r="Z134" s="158"/>
      <c r="AA134" s="158"/>
    </row>
    <row r="135" spans="1:27" ht="15.75" customHeight="1" x14ac:dyDescent="0.55000000000000004">
      <c r="A135" s="177">
        <v>24</v>
      </c>
      <c r="B135" s="177" t="s">
        <v>1026</v>
      </c>
      <c r="C135" s="177" t="s">
        <v>1027</v>
      </c>
      <c r="D135" s="178">
        <v>30350</v>
      </c>
      <c r="E135" s="120" t="s">
        <v>2506</v>
      </c>
      <c r="F135" s="131">
        <v>25</v>
      </c>
      <c r="G135" s="120">
        <v>1</v>
      </c>
      <c r="H135" s="120"/>
      <c r="I135" s="120">
        <v>1</v>
      </c>
      <c r="J135" s="133" t="s">
        <v>2362</v>
      </c>
      <c r="K135" s="133">
        <v>2</v>
      </c>
      <c r="L135" s="117">
        <v>73.099999999999994</v>
      </c>
      <c r="M135" s="133">
        <f t="shared" si="18"/>
        <v>48.099999999999994</v>
      </c>
      <c r="N135" s="157"/>
      <c r="O135" s="158"/>
      <c r="P135" s="158"/>
      <c r="Q135" s="158"/>
      <c r="R135" s="158"/>
      <c r="S135" s="158"/>
      <c r="T135" s="158"/>
      <c r="U135" s="158"/>
      <c r="V135" s="158"/>
      <c r="W135" s="158"/>
      <c r="X135" s="158"/>
      <c r="Y135" s="158"/>
      <c r="Z135" s="158"/>
      <c r="AA135" s="158"/>
    </row>
    <row r="136" spans="1:27" ht="15.75" customHeight="1" x14ac:dyDescent="0.55000000000000004">
      <c r="A136" s="177">
        <v>24</v>
      </c>
      <c r="B136" s="177" t="s">
        <v>1026</v>
      </c>
      <c r="C136" s="177" t="s">
        <v>1027</v>
      </c>
      <c r="D136" s="178">
        <v>30350</v>
      </c>
      <c r="E136" s="120" t="s">
        <v>2507</v>
      </c>
      <c r="F136" s="131">
        <v>61</v>
      </c>
      <c r="G136" s="120">
        <v>0</v>
      </c>
      <c r="H136" s="120"/>
      <c r="I136" s="120">
        <v>1</v>
      </c>
      <c r="J136" s="133" t="s">
        <v>2508</v>
      </c>
      <c r="K136" s="133">
        <v>3</v>
      </c>
      <c r="L136" s="117">
        <v>46.3</v>
      </c>
      <c r="M136" s="133">
        <v>0</v>
      </c>
      <c r="N136" s="157"/>
      <c r="O136" s="158"/>
      <c r="P136" s="158"/>
      <c r="Q136" s="158"/>
      <c r="R136" s="158"/>
      <c r="S136" s="158"/>
      <c r="T136" s="158"/>
      <c r="U136" s="158"/>
      <c r="V136" s="158"/>
      <c r="W136" s="158"/>
      <c r="X136" s="158"/>
      <c r="Y136" s="158"/>
      <c r="Z136" s="158"/>
      <c r="AA136" s="158"/>
    </row>
    <row r="137" spans="1:27" ht="15.75" customHeight="1" x14ac:dyDescent="0.55000000000000004">
      <c r="A137" s="177">
        <v>24</v>
      </c>
      <c r="B137" s="177" t="s">
        <v>1026</v>
      </c>
      <c r="C137" s="177" t="s">
        <v>1027</v>
      </c>
      <c r="D137" s="178">
        <v>30350</v>
      </c>
      <c r="E137" s="120" t="s">
        <v>2509</v>
      </c>
      <c r="F137" s="131">
        <v>20</v>
      </c>
      <c r="G137" s="120">
        <v>0</v>
      </c>
      <c r="H137" s="120"/>
      <c r="I137" s="131">
        <v>2</v>
      </c>
      <c r="J137" s="133" t="s">
        <v>2510</v>
      </c>
      <c r="K137" s="133">
        <v>2</v>
      </c>
      <c r="L137" s="117">
        <v>69.7</v>
      </c>
      <c r="M137" s="133">
        <f t="shared" ref="M137:M140" si="19">L137-F137</f>
        <v>49.7</v>
      </c>
      <c r="N137" s="157"/>
      <c r="O137" s="158"/>
      <c r="P137" s="158"/>
      <c r="Q137" s="158"/>
      <c r="R137" s="158"/>
      <c r="S137" s="158"/>
      <c r="T137" s="158"/>
      <c r="U137" s="158"/>
      <c r="V137" s="158"/>
      <c r="W137" s="158"/>
      <c r="X137" s="158"/>
      <c r="Y137" s="158"/>
      <c r="Z137" s="158"/>
      <c r="AA137" s="158"/>
    </row>
    <row r="138" spans="1:27" ht="15.75" customHeight="1" x14ac:dyDescent="0.55000000000000004">
      <c r="A138" s="177">
        <v>24</v>
      </c>
      <c r="B138" s="177" t="s">
        <v>1026</v>
      </c>
      <c r="C138" s="177" t="s">
        <v>1027</v>
      </c>
      <c r="D138" s="178">
        <v>30350</v>
      </c>
      <c r="E138" s="120" t="s">
        <v>2511</v>
      </c>
      <c r="F138" s="131">
        <v>12</v>
      </c>
      <c r="G138" s="120">
        <v>1</v>
      </c>
      <c r="H138" s="120"/>
      <c r="I138" s="131">
        <v>1</v>
      </c>
      <c r="J138" s="133" t="s">
        <v>2512</v>
      </c>
      <c r="K138" s="133">
        <v>1</v>
      </c>
      <c r="L138" s="117">
        <v>74.7</v>
      </c>
      <c r="M138" s="133">
        <f t="shared" si="19"/>
        <v>62.7</v>
      </c>
      <c r="N138" s="157"/>
      <c r="O138" s="158"/>
      <c r="P138" s="158"/>
      <c r="Q138" s="158"/>
      <c r="R138" s="158"/>
      <c r="S138" s="158"/>
      <c r="T138" s="158"/>
      <c r="U138" s="158"/>
      <c r="V138" s="158"/>
      <c r="W138" s="158"/>
      <c r="X138" s="158"/>
      <c r="Y138" s="158"/>
      <c r="Z138" s="158"/>
      <c r="AA138" s="158"/>
    </row>
    <row r="139" spans="1:27" ht="15.75" customHeight="1" x14ac:dyDescent="0.55000000000000004">
      <c r="A139" s="169">
        <v>25</v>
      </c>
      <c r="B139" s="169" t="s">
        <v>1030</v>
      </c>
      <c r="C139" s="169" t="s">
        <v>1031</v>
      </c>
      <c r="D139" s="170">
        <v>30376</v>
      </c>
      <c r="E139" s="120" t="s">
        <v>2513</v>
      </c>
      <c r="F139" s="120">
        <v>52</v>
      </c>
      <c r="G139" s="120">
        <v>1</v>
      </c>
      <c r="H139" s="161" t="str">
        <f>HYPERLINK("https://www.findagrave.com/memorial/168829495/maxine-beverly-edwards","0")</f>
        <v>0</v>
      </c>
      <c r="I139" s="120">
        <v>1</v>
      </c>
      <c r="J139" s="131" t="s">
        <v>2394</v>
      </c>
      <c r="K139" s="133">
        <v>5</v>
      </c>
      <c r="L139" s="117">
        <v>72.2</v>
      </c>
      <c r="M139" s="133">
        <f t="shared" si="19"/>
        <v>20.200000000000003</v>
      </c>
      <c r="N139" s="157"/>
      <c r="O139" s="158"/>
      <c r="P139" s="158"/>
      <c r="Q139" s="158"/>
      <c r="R139" s="158"/>
      <c r="S139" s="158"/>
      <c r="T139" s="158"/>
      <c r="U139" s="158"/>
      <c r="V139" s="158"/>
      <c r="W139" s="158"/>
      <c r="X139" s="158"/>
      <c r="Y139" s="158"/>
      <c r="Z139" s="158"/>
      <c r="AA139" s="158"/>
    </row>
    <row r="140" spans="1:27" ht="15.75" customHeight="1" x14ac:dyDescent="0.55000000000000004">
      <c r="A140" s="169">
        <v>25</v>
      </c>
      <c r="B140" s="169" t="s">
        <v>1030</v>
      </c>
      <c r="C140" s="169" t="s">
        <v>1031</v>
      </c>
      <c r="D140" s="170">
        <v>30376</v>
      </c>
      <c r="E140" s="120" t="s">
        <v>2514</v>
      </c>
      <c r="F140" s="120">
        <v>58</v>
      </c>
      <c r="G140" s="120">
        <v>1</v>
      </c>
      <c r="H140" s="161" t="str">
        <f>HYPERLINK("https://www.findagrave.com/memorial/114371338/florence-evelyn-hegland","0")</f>
        <v>0</v>
      </c>
      <c r="I140" s="120">
        <v>1</v>
      </c>
      <c r="J140" s="131" t="s">
        <v>2394</v>
      </c>
      <c r="K140" s="133">
        <v>5</v>
      </c>
      <c r="L140" s="117">
        <v>72.2</v>
      </c>
      <c r="M140" s="133">
        <f t="shared" si="19"/>
        <v>14.200000000000003</v>
      </c>
      <c r="N140" s="157"/>
      <c r="O140" s="158"/>
      <c r="P140" s="158"/>
      <c r="Q140" s="158"/>
      <c r="R140" s="158"/>
      <c r="S140" s="158"/>
      <c r="T140" s="158"/>
      <c r="U140" s="158"/>
      <c r="V140" s="158"/>
      <c r="W140" s="158"/>
      <c r="X140" s="158"/>
      <c r="Y140" s="158"/>
      <c r="Z140" s="158"/>
      <c r="AA140" s="158"/>
    </row>
    <row r="141" spans="1:27" ht="15.75" customHeight="1" x14ac:dyDescent="0.55000000000000004">
      <c r="A141" s="169">
        <v>25</v>
      </c>
      <c r="B141" s="169" t="s">
        <v>1030</v>
      </c>
      <c r="C141" s="169" t="s">
        <v>1031</v>
      </c>
      <c r="D141" s="170">
        <v>30376</v>
      </c>
      <c r="E141" s="120" t="s">
        <v>2515</v>
      </c>
      <c r="F141" s="120">
        <v>64</v>
      </c>
      <c r="G141" s="120">
        <v>0</v>
      </c>
      <c r="H141" s="161" t="str">
        <f>HYPERLINK("https://www.findagrave.com/memorial/114371418/lester-e_-hegland","0")</f>
        <v>0</v>
      </c>
      <c r="I141" s="120">
        <v>1</v>
      </c>
      <c r="J141" s="131" t="s">
        <v>2394</v>
      </c>
      <c r="K141" s="133">
        <v>5</v>
      </c>
      <c r="L141" s="117">
        <v>46.6</v>
      </c>
      <c r="M141" s="133">
        <v>0</v>
      </c>
      <c r="N141" s="157"/>
      <c r="O141" s="158"/>
      <c r="P141" s="158"/>
      <c r="Q141" s="158"/>
      <c r="R141" s="158"/>
      <c r="S141" s="158"/>
      <c r="T141" s="158"/>
      <c r="U141" s="158"/>
      <c r="V141" s="158"/>
      <c r="W141" s="158"/>
      <c r="X141" s="158"/>
      <c r="Y141" s="158"/>
      <c r="Z141" s="158"/>
      <c r="AA141" s="158"/>
    </row>
    <row r="142" spans="1:27" ht="15.75" customHeight="1" x14ac:dyDescent="0.55000000000000004">
      <c r="A142" s="169">
        <v>25</v>
      </c>
      <c r="B142" s="169" t="s">
        <v>1030</v>
      </c>
      <c r="C142" s="169" t="s">
        <v>1031</v>
      </c>
      <c r="D142" s="170">
        <v>30376</v>
      </c>
      <c r="E142" s="120" t="s">
        <v>2516</v>
      </c>
      <c r="F142" s="161" t="str">
        <f>HYPERLINK("https://www.findagrave.com/memorial/114371924/harley-king","61")</f>
        <v>61</v>
      </c>
      <c r="G142" s="120">
        <v>0</v>
      </c>
      <c r="H142" s="120"/>
      <c r="I142" s="120">
        <v>1</v>
      </c>
      <c r="J142" s="131" t="s">
        <v>2394</v>
      </c>
      <c r="K142" s="133">
        <v>5</v>
      </c>
      <c r="L142" s="117">
        <v>46.3</v>
      </c>
      <c r="M142" s="133">
        <v>0</v>
      </c>
      <c r="N142" s="157"/>
      <c r="O142" s="158"/>
      <c r="P142" s="158"/>
      <c r="Q142" s="158"/>
      <c r="R142" s="158"/>
      <c r="S142" s="158"/>
      <c r="T142" s="158"/>
      <c r="U142" s="158"/>
      <c r="V142" s="158"/>
      <c r="W142" s="158"/>
      <c r="X142" s="158"/>
      <c r="Y142" s="158"/>
      <c r="Z142" s="158"/>
      <c r="AA142" s="158"/>
    </row>
    <row r="143" spans="1:27" ht="15.75" customHeight="1" x14ac:dyDescent="0.55000000000000004">
      <c r="A143" s="169">
        <v>25</v>
      </c>
      <c r="B143" s="169" t="s">
        <v>1030</v>
      </c>
      <c r="C143" s="169" t="s">
        <v>1031</v>
      </c>
      <c r="D143" s="170">
        <v>30376</v>
      </c>
      <c r="E143" s="120" t="s">
        <v>2517</v>
      </c>
      <c r="F143" s="131">
        <v>25</v>
      </c>
      <c r="G143" s="120">
        <v>1</v>
      </c>
      <c r="H143" s="120"/>
      <c r="I143" s="120">
        <v>1</v>
      </c>
      <c r="J143" s="131" t="s">
        <v>2394</v>
      </c>
      <c r="K143" s="133">
        <v>5</v>
      </c>
      <c r="L143" s="117">
        <v>73.099999999999994</v>
      </c>
      <c r="M143" s="133">
        <f t="shared" ref="M143:M145" si="20">L143-F143</f>
        <v>48.099999999999994</v>
      </c>
      <c r="N143" s="157"/>
      <c r="O143" s="158"/>
      <c r="P143" s="158"/>
      <c r="Q143" s="158"/>
      <c r="R143" s="158"/>
      <c r="S143" s="158"/>
      <c r="T143" s="158"/>
      <c r="U143" s="158"/>
      <c r="V143" s="158"/>
      <c r="W143" s="158"/>
      <c r="X143" s="158"/>
      <c r="Y143" s="158"/>
      <c r="Z143" s="158"/>
      <c r="AA143" s="158"/>
    </row>
    <row r="144" spans="1:27" ht="15.75" customHeight="1" x14ac:dyDescent="0.55000000000000004">
      <c r="A144" s="169">
        <v>25</v>
      </c>
      <c r="B144" s="169" t="s">
        <v>1030</v>
      </c>
      <c r="C144" s="169" t="s">
        <v>1031</v>
      </c>
      <c r="D144" s="170">
        <v>30376</v>
      </c>
      <c r="E144" s="120" t="s">
        <v>2518</v>
      </c>
      <c r="F144" s="131">
        <v>37</v>
      </c>
      <c r="G144" s="120">
        <v>0</v>
      </c>
      <c r="H144" s="120"/>
      <c r="I144" s="120">
        <v>1</v>
      </c>
      <c r="J144" s="131" t="s">
        <v>2394</v>
      </c>
      <c r="K144" s="133">
        <v>5</v>
      </c>
      <c r="L144" s="117">
        <v>65.599999999999994</v>
      </c>
      <c r="M144" s="133">
        <f t="shared" si="20"/>
        <v>28.599999999999994</v>
      </c>
      <c r="N144" s="157"/>
      <c r="O144" s="158"/>
      <c r="P144" s="158"/>
      <c r="Q144" s="158"/>
      <c r="R144" s="158"/>
      <c r="S144" s="158"/>
      <c r="T144" s="158"/>
      <c r="U144" s="158"/>
      <c r="V144" s="158"/>
      <c r="W144" s="158"/>
      <c r="X144" s="158"/>
      <c r="Y144" s="158"/>
      <c r="Z144" s="158"/>
      <c r="AA144" s="158"/>
    </row>
    <row r="145" spans="1:27" ht="15.75" customHeight="1" x14ac:dyDescent="0.55000000000000004">
      <c r="A145" s="159">
        <v>26</v>
      </c>
      <c r="B145" s="159" t="s">
        <v>1039</v>
      </c>
      <c r="C145" s="159" t="s">
        <v>1040</v>
      </c>
      <c r="D145" s="160">
        <v>30600</v>
      </c>
      <c r="E145" s="120" t="s">
        <v>2519</v>
      </c>
      <c r="F145" s="161" t="str">
        <f>HYPERLINK("https://www.findagrave.com/memorial/31711088/anne-m_-bennatt","70")</f>
        <v>70</v>
      </c>
      <c r="G145" s="120">
        <v>1</v>
      </c>
      <c r="H145" s="120"/>
      <c r="I145" s="131">
        <v>0</v>
      </c>
      <c r="J145" s="133" t="s">
        <v>853</v>
      </c>
      <c r="K145" s="133">
        <v>0</v>
      </c>
      <c r="L145" s="117">
        <v>83.3</v>
      </c>
      <c r="M145" s="133">
        <f t="shared" si="20"/>
        <v>13.299999999999997</v>
      </c>
      <c r="N145" s="157"/>
      <c r="O145" s="158"/>
      <c r="P145" s="158"/>
      <c r="Q145" s="158"/>
      <c r="R145" s="158"/>
      <c r="S145" s="158"/>
      <c r="T145" s="158"/>
      <c r="U145" s="158"/>
      <c r="V145" s="158"/>
      <c r="W145" s="158"/>
      <c r="X145" s="158"/>
      <c r="Y145" s="158"/>
      <c r="Z145" s="158"/>
      <c r="AA145" s="158"/>
    </row>
    <row r="146" spans="1:27" ht="15.75" customHeight="1" x14ac:dyDescent="0.55000000000000004">
      <c r="A146" s="159">
        <v>26</v>
      </c>
      <c r="B146" s="159" t="s">
        <v>1039</v>
      </c>
      <c r="C146" s="159" t="s">
        <v>1040</v>
      </c>
      <c r="D146" s="160">
        <v>30600</v>
      </c>
      <c r="E146" s="120" t="s">
        <v>2520</v>
      </c>
      <c r="F146" s="161" t="str">
        <f>HYPERLINK("https://www.findagrave.com/memorial/31711096/james-aubry-bennatt","62")</f>
        <v>62</v>
      </c>
      <c r="G146" s="120">
        <v>0</v>
      </c>
      <c r="H146" s="120"/>
      <c r="I146" s="131">
        <v>0</v>
      </c>
      <c r="J146" s="133" t="s">
        <v>853</v>
      </c>
      <c r="K146" s="133">
        <v>0</v>
      </c>
      <c r="L146" s="117">
        <v>46.3</v>
      </c>
      <c r="M146" s="133">
        <v>0</v>
      </c>
      <c r="N146" s="157"/>
      <c r="O146" s="158"/>
      <c r="P146" s="158"/>
      <c r="Q146" s="158"/>
      <c r="R146" s="158"/>
      <c r="S146" s="158"/>
      <c r="T146" s="158"/>
      <c r="U146" s="158"/>
      <c r="V146" s="158"/>
      <c r="W146" s="158"/>
      <c r="X146" s="158"/>
      <c r="Y146" s="158"/>
      <c r="Z146" s="158"/>
      <c r="AA146" s="158"/>
    </row>
    <row r="147" spans="1:27" ht="15.75" customHeight="1" x14ac:dyDescent="0.55000000000000004">
      <c r="A147" s="159">
        <v>26</v>
      </c>
      <c r="B147" s="159" t="s">
        <v>1039</v>
      </c>
      <c r="C147" s="159" t="s">
        <v>1040</v>
      </c>
      <c r="D147" s="160">
        <v>30600</v>
      </c>
      <c r="E147" s="120" t="s">
        <v>2521</v>
      </c>
      <c r="F147" s="131">
        <v>25</v>
      </c>
      <c r="G147" s="120">
        <v>0</v>
      </c>
      <c r="H147" s="161" t="str">
        <f>HYPERLINK("https://www.findagrave.com/memorial/6447483/russell-lynn-boyd","0")</f>
        <v>0</v>
      </c>
      <c r="I147" s="120">
        <v>0</v>
      </c>
      <c r="J147" s="133" t="s">
        <v>853</v>
      </c>
      <c r="K147" s="133">
        <v>0</v>
      </c>
      <c r="L147" s="117">
        <v>67.400000000000006</v>
      </c>
      <c r="M147" s="133">
        <f t="shared" ref="M147:M184" si="21">L147-F147</f>
        <v>42.400000000000006</v>
      </c>
      <c r="N147" s="157"/>
      <c r="O147" s="158"/>
      <c r="P147" s="158"/>
      <c r="Q147" s="158"/>
      <c r="R147" s="158"/>
      <c r="S147" s="158"/>
      <c r="T147" s="158"/>
      <c r="U147" s="158"/>
      <c r="V147" s="158"/>
      <c r="W147" s="158"/>
      <c r="X147" s="158"/>
      <c r="Y147" s="158"/>
      <c r="Z147" s="158"/>
      <c r="AA147" s="158"/>
    </row>
    <row r="148" spans="1:27" ht="15.75" customHeight="1" x14ac:dyDescent="0.55000000000000004">
      <c r="A148" s="159">
        <v>26</v>
      </c>
      <c r="B148" s="159" t="s">
        <v>1039</v>
      </c>
      <c r="C148" s="159" t="s">
        <v>1040</v>
      </c>
      <c r="D148" s="160">
        <v>30600</v>
      </c>
      <c r="E148" s="120" t="s">
        <v>2522</v>
      </c>
      <c r="F148" s="131">
        <v>31</v>
      </c>
      <c r="G148" s="120">
        <v>1</v>
      </c>
      <c r="H148" s="120">
        <v>2</v>
      </c>
      <c r="I148" s="131">
        <v>1</v>
      </c>
      <c r="J148" s="133" t="s">
        <v>2523</v>
      </c>
      <c r="K148" s="133">
        <v>1</v>
      </c>
      <c r="L148" s="117">
        <v>71.099999999999994</v>
      </c>
      <c r="M148" s="133">
        <f t="shared" si="21"/>
        <v>40.099999999999994</v>
      </c>
      <c r="N148" s="157"/>
      <c r="O148" s="158"/>
      <c r="P148" s="158"/>
      <c r="Q148" s="158"/>
      <c r="R148" s="158"/>
      <c r="S148" s="158"/>
      <c r="T148" s="158"/>
      <c r="U148" s="158"/>
      <c r="V148" s="158"/>
      <c r="W148" s="158"/>
      <c r="X148" s="158"/>
      <c r="Y148" s="158"/>
      <c r="Z148" s="158"/>
      <c r="AA148" s="158"/>
    </row>
    <row r="149" spans="1:27" ht="15.75" customHeight="1" x14ac:dyDescent="0.55000000000000004">
      <c r="A149" s="159">
        <v>26</v>
      </c>
      <c r="B149" s="159" t="s">
        <v>1039</v>
      </c>
      <c r="C149" s="159" t="s">
        <v>1040</v>
      </c>
      <c r="D149" s="160">
        <v>30600</v>
      </c>
      <c r="E149" s="120" t="s">
        <v>2524</v>
      </c>
      <c r="F149" s="131">
        <v>30</v>
      </c>
      <c r="G149" s="120">
        <v>0</v>
      </c>
      <c r="H149" s="120">
        <v>2</v>
      </c>
      <c r="I149" s="131">
        <v>1</v>
      </c>
      <c r="J149" s="133" t="s">
        <v>2525</v>
      </c>
      <c r="K149" s="133">
        <v>1</v>
      </c>
      <c r="L149" s="117">
        <v>65.599999999999994</v>
      </c>
      <c r="M149" s="133">
        <f t="shared" si="21"/>
        <v>35.599999999999994</v>
      </c>
      <c r="N149" s="157"/>
      <c r="O149" s="158"/>
      <c r="P149" s="158"/>
      <c r="Q149" s="158"/>
      <c r="R149" s="158"/>
      <c r="S149" s="158"/>
      <c r="T149" s="158"/>
      <c r="U149" s="158"/>
      <c r="V149" s="158"/>
      <c r="W149" s="158"/>
      <c r="X149" s="158"/>
      <c r="Y149" s="158"/>
      <c r="Z149" s="158"/>
      <c r="AA149" s="158"/>
    </row>
    <row r="150" spans="1:27" ht="15.75" customHeight="1" x14ac:dyDescent="0.55000000000000004">
      <c r="A150" s="159">
        <v>26</v>
      </c>
      <c r="B150" s="159" t="s">
        <v>1039</v>
      </c>
      <c r="C150" s="159" t="s">
        <v>1040</v>
      </c>
      <c r="D150" s="160">
        <v>30600</v>
      </c>
      <c r="E150" s="120" t="s">
        <v>2526</v>
      </c>
      <c r="F150" s="131">
        <v>79</v>
      </c>
      <c r="G150" s="120">
        <v>1</v>
      </c>
      <c r="H150" s="120"/>
      <c r="I150" s="120">
        <v>0</v>
      </c>
      <c r="J150" s="133" t="s">
        <v>853</v>
      </c>
      <c r="K150" s="133">
        <v>0</v>
      </c>
      <c r="L150" s="117">
        <v>86.5</v>
      </c>
      <c r="M150" s="133">
        <f t="shared" si="21"/>
        <v>7.5</v>
      </c>
      <c r="N150" s="157"/>
      <c r="O150" s="158"/>
      <c r="P150" s="158"/>
      <c r="Q150" s="158"/>
      <c r="R150" s="158"/>
      <c r="S150" s="158"/>
      <c r="T150" s="158"/>
      <c r="U150" s="158"/>
      <c r="V150" s="158"/>
      <c r="W150" s="158"/>
      <c r="X150" s="158"/>
      <c r="Y150" s="158"/>
      <c r="Z150" s="158"/>
      <c r="AA150" s="158"/>
    </row>
    <row r="151" spans="1:27" ht="15.75" customHeight="1" x14ac:dyDescent="0.55000000000000004">
      <c r="A151" s="171">
        <v>27</v>
      </c>
      <c r="B151" s="171" t="s">
        <v>1045</v>
      </c>
      <c r="C151" s="171" t="s">
        <v>1046</v>
      </c>
      <c r="D151" s="172">
        <v>30819</v>
      </c>
      <c r="E151" s="120" t="s">
        <v>2527</v>
      </c>
      <c r="F151" s="161" t="str">
        <f>HYPERLINK("https://www.findagrave.com/memorial/103395715/fred-burk","30")</f>
        <v>30</v>
      </c>
      <c r="G151" s="120">
        <v>0</v>
      </c>
      <c r="H151" s="120"/>
      <c r="I151" s="120">
        <v>2</v>
      </c>
      <c r="J151" s="131" t="s">
        <v>2528</v>
      </c>
      <c r="K151" s="133">
        <v>5</v>
      </c>
      <c r="L151" s="117">
        <v>65.599999999999994</v>
      </c>
      <c r="M151" s="133">
        <f t="shared" si="21"/>
        <v>35.599999999999994</v>
      </c>
      <c r="N151" s="157"/>
      <c r="O151" s="158"/>
      <c r="P151" s="158"/>
      <c r="Q151" s="158"/>
      <c r="R151" s="158"/>
      <c r="S151" s="158"/>
      <c r="T151" s="158"/>
      <c r="U151" s="158"/>
      <c r="V151" s="158"/>
      <c r="W151" s="158"/>
      <c r="X151" s="158"/>
      <c r="Y151" s="158"/>
      <c r="Z151" s="158"/>
      <c r="AA151" s="158"/>
    </row>
    <row r="152" spans="1:27" ht="15.75" customHeight="1" x14ac:dyDescent="0.55000000000000004">
      <c r="A152" s="171">
        <v>27</v>
      </c>
      <c r="B152" s="171" t="s">
        <v>1045</v>
      </c>
      <c r="C152" s="171" t="s">
        <v>1046</v>
      </c>
      <c r="D152" s="172">
        <v>30819</v>
      </c>
      <c r="E152" s="120" t="s">
        <v>2529</v>
      </c>
      <c r="F152" s="161" t="str">
        <f>HYPERLINK("https://www.findagrave.com/memorial/114378370/larry-joe-mcvey","38")</f>
        <v>38</v>
      </c>
      <c r="G152" s="120">
        <v>0</v>
      </c>
      <c r="H152" s="120"/>
      <c r="I152" s="120">
        <v>2</v>
      </c>
      <c r="J152" s="131" t="s">
        <v>2528</v>
      </c>
      <c r="K152" s="133">
        <v>5</v>
      </c>
      <c r="L152" s="117">
        <v>65.599999999999994</v>
      </c>
      <c r="M152" s="133">
        <f t="shared" si="21"/>
        <v>27.599999999999994</v>
      </c>
      <c r="N152" s="157"/>
      <c r="O152" s="158"/>
      <c r="P152" s="158"/>
      <c r="Q152" s="158"/>
      <c r="R152" s="158"/>
      <c r="S152" s="158"/>
      <c r="T152" s="158"/>
      <c r="U152" s="158"/>
      <c r="V152" s="158"/>
      <c r="W152" s="158"/>
      <c r="X152" s="158"/>
      <c r="Y152" s="158"/>
      <c r="Z152" s="158"/>
      <c r="AA152" s="158"/>
    </row>
    <row r="153" spans="1:27" ht="15.75" customHeight="1" x14ac:dyDescent="0.55000000000000004">
      <c r="A153" s="171">
        <v>27</v>
      </c>
      <c r="B153" s="171" t="s">
        <v>1045</v>
      </c>
      <c r="C153" s="171" t="s">
        <v>1046</v>
      </c>
      <c r="D153" s="172">
        <v>30819</v>
      </c>
      <c r="E153" s="120" t="s">
        <v>2530</v>
      </c>
      <c r="F153" s="161" t="str">
        <f>HYPERLINK("https://www.findagrave.com/memorial/114378045/dale-kevin-madajski","20")</f>
        <v>20</v>
      </c>
      <c r="G153" s="120">
        <v>0</v>
      </c>
      <c r="H153" s="120"/>
      <c r="I153" s="120">
        <v>2</v>
      </c>
      <c r="J153" s="131" t="s">
        <v>2528</v>
      </c>
      <c r="K153" s="133">
        <v>5</v>
      </c>
      <c r="L153" s="117">
        <v>66.599999999999994</v>
      </c>
      <c r="M153" s="133">
        <f t="shared" si="21"/>
        <v>46.599999999999994</v>
      </c>
      <c r="N153" s="157"/>
      <c r="O153" s="158"/>
      <c r="P153" s="158"/>
      <c r="Q153" s="158"/>
      <c r="R153" s="158"/>
      <c r="S153" s="158"/>
      <c r="T153" s="158"/>
      <c r="U153" s="158"/>
      <c r="V153" s="158"/>
      <c r="W153" s="158"/>
      <c r="X153" s="158"/>
      <c r="Y153" s="158"/>
      <c r="Z153" s="158"/>
      <c r="AA153" s="158"/>
    </row>
    <row r="154" spans="1:27" ht="15.75" customHeight="1" x14ac:dyDescent="0.55000000000000004">
      <c r="A154" s="171">
        <v>27</v>
      </c>
      <c r="B154" s="171" t="s">
        <v>1045</v>
      </c>
      <c r="C154" s="171" t="s">
        <v>1046</v>
      </c>
      <c r="D154" s="172">
        <v>30819</v>
      </c>
      <c r="E154" s="120" t="s">
        <v>2531</v>
      </c>
      <c r="F154" s="131">
        <v>30</v>
      </c>
      <c r="G154" s="120">
        <v>1</v>
      </c>
      <c r="H154" s="120"/>
      <c r="I154" s="120">
        <v>2</v>
      </c>
      <c r="J154" s="131" t="s">
        <v>2528</v>
      </c>
      <c r="K154" s="133">
        <v>5</v>
      </c>
      <c r="L154" s="117">
        <v>71.099999999999994</v>
      </c>
      <c r="M154" s="133">
        <f t="shared" si="21"/>
        <v>41.099999999999994</v>
      </c>
      <c r="N154" s="157"/>
      <c r="O154" s="158"/>
      <c r="P154" s="158"/>
      <c r="Q154" s="158"/>
      <c r="R154" s="158"/>
      <c r="S154" s="158"/>
      <c r="T154" s="158"/>
      <c r="U154" s="158"/>
      <c r="V154" s="158"/>
      <c r="W154" s="158"/>
      <c r="X154" s="158"/>
      <c r="Y154" s="158"/>
      <c r="Z154" s="158"/>
      <c r="AA154" s="158"/>
    </row>
    <row r="155" spans="1:27" ht="15.75" customHeight="1" x14ac:dyDescent="0.55000000000000004">
      <c r="A155" s="171">
        <v>27</v>
      </c>
      <c r="B155" s="171" t="s">
        <v>1045</v>
      </c>
      <c r="C155" s="171" t="s">
        <v>1046</v>
      </c>
      <c r="D155" s="172">
        <v>30819</v>
      </c>
      <c r="E155" s="120" t="s">
        <v>2532</v>
      </c>
      <c r="F155" s="161" t="str">
        <f>HYPERLINK("https://www.findagrave.com/memorial/103395860/lyman-marshall-klein","36")</f>
        <v>36</v>
      </c>
      <c r="G155" s="120">
        <v>0</v>
      </c>
      <c r="H155" s="120"/>
      <c r="I155" s="120">
        <v>2</v>
      </c>
      <c r="J155" s="131" t="s">
        <v>2528</v>
      </c>
      <c r="K155" s="133">
        <v>5</v>
      </c>
      <c r="L155" s="117">
        <v>65.599999999999994</v>
      </c>
      <c r="M155" s="133">
        <f t="shared" si="21"/>
        <v>29.599999999999994</v>
      </c>
      <c r="N155" s="157"/>
      <c r="O155" s="158"/>
      <c r="P155" s="158"/>
      <c r="Q155" s="158"/>
      <c r="R155" s="158"/>
      <c r="S155" s="158"/>
      <c r="T155" s="158"/>
      <c r="U155" s="158"/>
      <c r="V155" s="158"/>
      <c r="W155" s="158"/>
      <c r="X155" s="158"/>
      <c r="Y155" s="158"/>
      <c r="Z155" s="158"/>
      <c r="AA155" s="158"/>
    </row>
    <row r="156" spans="1:27" ht="15.75" customHeight="1" x14ac:dyDescent="0.55000000000000004">
      <c r="A156" s="171">
        <v>27</v>
      </c>
      <c r="B156" s="171" t="s">
        <v>1045</v>
      </c>
      <c r="C156" s="171" t="s">
        <v>1046</v>
      </c>
      <c r="D156" s="172">
        <v>30819</v>
      </c>
      <c r="E156" s="120" t="s">
        <v>2533</v>
      </c>
      <c r="F156" s="131">
        <v>2</v>
      </c>
      <c r="G156" s="120">
        <v>0</v>
      </c>
      <c r="H156" s="120"/>
      <c r="I156" s="120">
        <v>0</v>
      </c>
      <c r="J156" s="133" t="s">
        <v>853</v>
      </c>
      <c r="K156" s="133">
        <v>0</v>
      </c>
      <c r="L156" s="117">
        <v>70.7</v>
      </c>
      <c r="M156" s="133">
        <f t="shared" si="21"/>
        <v>68.7</v>
      </c>
      <c r="N156" s="157"/>
      <c r="O156" s="158"/>
      <c r="P156" s="158"/>
      <c r="Q156" s="158"/>
      <c r="R156" s="158"/>
      <c r="S156" s="158"/>
      <c r="T156" s="158"/>
      <c r="U156" s="158"/>
      <c r="V156" s="158"/>
      <c r="W156" s="158"/>
      <c r="X156" s="158"/>
      <c r="Y156" s="158"/>
      <c r="Z156" s="158"/>
      <c r="AA156" s="158"/>
    </row>
    <row r="157" spans="1:27" ht="15.75" customHeight="1" x14ac:dyDescent="0.55000000000000004">
      <c r="A157" s="171">
        <v>27</v>
      </c>
      <c r="B157" s="171" t="s">
        <v>1045</v>
      </c>
      <c r="C157" s="171" t="s">
        <v>1046</v>
      </c>
      <c r="D157" s="172">
        <v>30819</v>
      </c>
      <c r="E157" s="120" t="s">
        <v>2534</v>
      </c>
      <c r="F157" s="161" t="str">
        <f>HYPERLINK("https://www.findagrave.com/memorial/67301771/albert-moulton-hagen","27")</f>
        <v>27</v>
      </c>
      <c r="G157" s="120">
        <v>0</v>
      </c>
      <c r="H157" s="120"/>
      <c r="I157" s="120">
        <v>2</v>
      </c>
      <c r="J157" s="131" t="s">
        <v>2528</v>
      </c>
      <c r="K157" s="133">
        <v>5</v>
      </c>
      <c r="L157" s="117">
        <v>66.599999999999994</v>
      </c>
      <c r="M157" s="133">
        <f t="shared" si="21"/>
        <v>39.599999999999994</v>
      </c>
      <c r="N157" s="157"/>
      <c r="O157" s="158"/>
      <c r="P157" s="158"/>
      <c r="Q157" s="158"/>
      <c r="R157" s="158"/>
      <c r="S157" s="158"/>
      <c r="T157" s="158"/>
      <c r="U157" s="158"/>
      <c r="V157" s="158"/>
      <c r="W157" s="158"/>
      <c r="X157" s="158"/>
      <c r="Y157" s="158"/>
      <c r="Z157" s="158"/>
      <c r="AA157" s="158"/>
    </row>
    <row r="158" spans="1:27" ht="15.75" customHeight="1" x14ac:dyDescent="0.55000000000000004">
      <c r="A158" s="171">
        <v>27</v>
      </c>
      <c r="B158" s="171" t="s">
        <v>1045</v>
      </c>
      <c r="C158" s="171" t="s">
        <v>1046</v>
      </c>
      <c r="D158" s="179">
        <v>30821</v>
      </c>
      <c r="E158" s="120" t="s">
        <v>2535</v>
      </c>
      <c r="F158" s="131">
        <v>34</v>
      </c>
      <c r="G158" s="120">
        <v>0</v>
      </c>
      <c r="H158" s="161" t="str">
        <f>HYPERLINK("https://www.findagrave.com/memorial/64494097/troy-_lynn_-duncan","0")</f>
        <v>0</v>
      </c>
      <c r="I158" s="120">
        <v>0</v>
      </c>
      <c r="J158" s="133" t="s">
        <v>853</v>
      </c>
      <c r="K158" s="133">
        <v>0</v>
      </c>
      <c r="L158" s="117">
        <v>66.5</v>
      </c>
      <c r="M158" s="133">
        <f t="shared" si="21"/>
        <v>32.5</v>
      </c>
      <c r="N158" s="157"/>
      <c r="O158" s="158"/>
      <c r="P158" s="158"/>
      <c r="Q158" s="158"/>
      <c r="R158" s="158"/>
      <c r="S158" s="158"/>
      <c r="T158" s="158"/>
      <c r="U158" s="158"/>
      <c r="V158" s="158"/>
      <c r="W158" s="158"/>
      <c r="X158" s="158"/>
      <c r="Y158" s="158"/>
      <c r="Z158" s="158"/>
      <c r="AA158" s="158"/>
    </row>
    <row r="159" spans="1:27" ht="15.75" customHeight="1" x14ac:dyDescent="0.55000000000000004">
      <c r="A159" s="166">
        <v>28</v>
      </c>
      <c r="B159" s="166" t="s">
        <v>1051</v>
      </c>
      <c r="C159" s="166" t="s">
        <v>1052</v>
      </c>
      <c r="D159" s="167">
        <v>30862</v>
      </c>
      <c r="E159" s="120" t="s">
        <v>2536</v>
      </c>
      <c r="F159" s="131">
        <v>34</v>
      </c>
      <c r="G159" s="131">
        <v>1</v>
      </c>
      <c r="H159" s="120"/>
      <c r="I159" s="131">
        <v>1</v>
      </c>
      <c r="J159" s="133" t="s">
        <v>2537</v>
      </c>
      <c r="K159" s="133">
        <v>2</v>
      </c>
      <c r="L159" s="117">
        <v>71.099999999999994</v>
      </c>
      <c r="M159" s="133">
        <f t="shared" si="21"/>
        <v>37.099999999999994</v>
      </c>
      <c r="N159" s="157"/>
      <c r="O159" s="158"/>
      <c r="P159" s="158"/>
      <c r="Q159" s="158"/>
      <c r="R159" s="158"/>
      <c r="S159" s="158"/>
      <c r="T159" s="158"/>
      <c r="U159" s="158"/>
      <c r="V159" s="158"/>
      <c r="W159" s="158"/>
      <c r="X159" s="158"/>
      <c r="Y159" s="158"/>
      <c r="Z159" s="158"/>
      <c r="AA159" s="158"/>
    </row>
    <row r="160" spans="1:27" ht="15.75" customHeight="1" x14ac:dyDescent="0.55000000000000004">
      <c r="A160" s="166">
        <v>28</v>
      </c>
      <c r="B160" s="166" t="s">
        <v>1051</v>
      </c>
      <c r="C160" s="166" t="s">
        <v>1052</v>
      </c>
      <c r="D160" s="167">
        <v>30862</v>
      </c>
      <c r="E160" s="120" t="s">
        <v>2538</v>
      </c>
      <c r="F160" s="131">
        <v>45</v>
      </c>
      <c r="G160" s="120">
        <v>1</v>
      </c>
      <c r="H160" s="120"/>
      <c r="I160" s="120">
        <v>0</v>
      </c>
      <c r="J160" s="133" t="s">
        <v>853</v>
      </c>
      <c r="K160" s="133">
        <v>0</v>
      </c>
      <c r="L160" s="117">
        <v>71.099999999999994</v>
      </c>
      <c r="M160" s="133">
        <f t="shared" si="21"/>
        <v>26.099999999999994</v>
      </c>
      <c r="N160" s="157"/>
      <c r="O160" s="158"/>
      <c r="P160" s="158"/>
      <c r="Q160" s="158"/>
      <c r="R160" s="158"/>
      <c r="S160" s="158"/>
      <c r="T160" s="158"/>
      <c r="U160" s="158"/>
      <c r="V160" s="158"/>
      <c r="W160" s="158"/>
      <c r="X160" s="158"/>
      <c r="Y160" s="158"/>
      <c r="Z160" s="158"/>
      <c r="AA160" s="158"/>
    </row>
    <row r="161" spans="1:27" ht="15.75" customHeight="1" x14ac:dyDescent="0.55000000000000004">
      <c r="A161" s="166">
        <v>28</v>
      </c>
      <c r="B161" s="166" t="s">
        <v>1051</v>
      </c>
      <c r="C161" s="166" t="s">
        <v>1052</v>
      </c>
      <c r="D161" s="167">
        <v>30862</v>
      </c>
      <c r="E161" s="120" t="s">
        <v>2539</v>
      </c>
      <c r="F161" s="131">
        <v>43</v>
      </c>
      <c r="G161" s="120">
        <v>1</v>
      </c>
      <c r="H161" s="120"/>
      <c r="I161" s="120">
        <v>0</v>
      </c>
      <c r="J161" s="133" t="s">
        <v>853</v>
      </c>
      <c r="K161" s="133">
        <v>0</v>
      </c>
      <c r="L161" s="117">
        <v>71.099999999999994</v>
      </c>
      <c r="M161" s="133">
        <f t="shared" si="21"/>
        <v>28.099999999999994</v>
      </c>
      <c r="N161" s="157"/>
      <c r="O161" s="158"/>
      <c r="P161" s="158"/>
      <c r="Q161" s="158"/>
      <c r="R161" s="158"/>
      <c r="S161" s="158"/>
      <c r="T161" s="158"/>
      <c r="U161" s="158"/>
      <c r="V161" s="158"/>
      <c r="W161" s="158"/>
      <c r="X161" s="158"/>
      <c r="Y161" s="158"/>
      <c r="Z161" s="158"/>
      <c r="AA161" s="158"/>
    </row>
    <row r="162" spans="1:27" ht="15.75" customHeight="1" x14ac:dyDescent="0.55000000000000004">
      <c r="A162" s="166">
        <v>28</v>
      </c>
      <c r="B162" s="166" t="s">
        <v>1051</v>
      </c>
      <c r="C162" s="166" t="s">
        <v>1052</v>
      </c>
      <c r="D162" s="167">
        <v>30862</v>
      </c>
      <c r="E162" s="120" t="s">
        <v>2540</v>
      </c>
      <c r="F162" s="131">
        <v>36</v>
      </c>
      <c r="G162" s="120">
        <v>0</v>
      </c>
      <c r="H162" s="120"/>
      <c r="I162" s="120">
        <v>0</v>
      </c>
      <c r="J162" s="133" t="s">
        <v>853</v>
      </c>
      <c r="K162" s="133">
        <v>0</v>
      </c>
      <c r="L162" s="117">
        <v>65.599999999999994</v>
      </c>
      <c r="M162" s="133">
        <f t="shared" si="21"/>
        <v>29.599999999999994</v>
      </c>
      <c r="N162" s="157"/>
      <c r="O162" s="158"/>
      <c r="P162" s="158"/>
      <c r="Q162" s="158"/>
      <c r="R162" s="158"/>
      <c r="S162" s="158"/>
      <c r="T162" s="158"/>
      <c r="U162" s="158"/>
      <c r="V162" s="158"/>
      <c r="W162" s="158"/>
      <c r="X162" s="158"/>
      <c r="Y162" s="158"/>
      <c r="Z162" s="158"/>
      <c r="AA162" s="158"/>
    </row>
    <row r="163" spans="1:27" ht="15.75" customHeight="1" x14ac:dyDescent="0.55000000000000004">
      <c r="A163" s="166">
        <v>28</v>
      </c>
      <c r="B163" s="166" t="s">
        <v>1051</v>
      </c>
      <c r="C163" s="166" t="s">
        <v>1052</v>
      </c>
      <c r="D163" s="167">
        <v>30862</v>
      </c>
      <c r="E163" s="120" t="s">
        <v>2541</v>
      </c>
      <c r="F163" s="131">
        <v>49</v>
      </c>
      <c r="G163" s="120">
        <v>0</v>
      </c>
      <c r="H163" s="120"/>
      <c r="I163" s="120">
        <v>0</v>
      </c>
      <c r="J163" s="133" t="s">
        <v>853</v>
      </c>
      <c r="K163" s="133">
        <v>0</v>
      </c>
      <c r="L163" s="117">
        <v>65.599999999999994</v>
      </c>
      <c r="M163" s="133">
        <f t="shared" si="21"/>
        <v>16.599999999999994</v>
      </c>
      <c r="N163" s="157"/>
      <c r="O163" s="158"/>
      <c r="P163" s="158"/>
      <c r="Q163" s="158"/>
      <c r="R163" s="158"/>
      <c r="S163" s="158"/>
      <c r="T163" s="158"/>
      <c r="U163" s="158"/>
      <c r="V163" s="158"/>
      <c r="W163" s="158"/>
      <c r="X163" s="158"/>
      <c r="Y163" s="158"/>
      <c r="Z163" s="158"/>
      <c r="AA163" s="158"/>
    </row>
    <row r="164" spans="1:27" ht="15.75" customHeight="1" x14ac:dyDescent="0.55000000000000004">
      <c r="A164" s="166">
        <v>28</v>
      </c>
      <c r="B164" s="166" t="s">
        <v>1051</v>
      </c>
      <c r="C164" s="166" t="s">
        <v>1052</v>
      </c>
      <c r="D164" s="167">
        <v>30862</v>
      </c>
      <c r="E164" s="120" t="s">
        <v>2542</v>
      </c>
      <c r="F164" s="131">
        <v>46</v>
      </c>
      <c r="G164" s="120">
        <v>1</v>
      </c>
      <c r="H164" s="120"/>
      <c r="I164" s="120">
        <v>0</v>
      </c>
      <c r="J164" s="133" t="s">
        <v>853</v>
      </c>
      <c r="K164" s="133">
        <v>0</v>
      </c>
      <c r="L164" s="117">
        <v>71.099999999999994</v>
      </c>
      <c r="M164" s="133">
        <f t="shared" si="21"/>
        <v>25.099999999999994</v>
      </c>
      <c r="N164" s="157"/>
      <c r="O164" s="158"/>
      <c r="P164" s="158"/>
      <c r="Q164" s="158"/>
      <c r="R164" s="158"/>
      <c r="S164" s="158"/>
      <c r="T164" s="158"/>
      <c r="U164" s="158"/>
      <c r="V164" s="158"/>
      <c r="W164" s="158"/>
      <c r="X164" s="158"/>
      <c r="Y164" s="158"/>
      <c r="Z164" s="158"/>
      <c r="AA164" s="158"/>
    </row>
    <row r="165" spans="1:27" ht="15.75" customHeight="1" x14ac:dyDescent="0.55000000000000004">
      <c r="A165" s="162">
        <v>29</v>
      </c>
      <c r="B165" s="162" t="s">
        <v>1060</v>
      </c>
      <c r="C165" s="162" t="s">
        <v>1061</v>
      </c>
      <c r="D165" s="163">
        <v>30881</v>
      </c>
      <c r="E165" s="120" t="s">
        <v>2543</v>
      </c>
      <c r="F165" s="131">
        <v>19</v>
      </c>
      <c r="G165" s="120">
        <v>1</v>
      </c>
      <c r="H165" s="120">
        <v>2</v>
      </c>
      <c r="I165" s="120">
        <v>0</v>
      </c>
      <c r="J165" s="133" t="s">
        <v>853</v>
      </c>
      <c r="K165" s="133">
        <v>0</v>
      </c>
      <c r="L165" s="117">
        <v>74.7</v>
      </c>
      <c r="M165" s="133">
        <f t="shared" si="21"/>
        <v>55.7</v>
      </c>
      <c r="N165" s="157"/>
      <c r="O165" s="158"/>
      <c r="P165" s="158"/>
      <c r="Q165" s="158"/>
      <c r="R165" s="158"/>
      <c r="S165" s="158"/>
      <c r="T165" s="158"/>
      <c r="U165" s="158"/>
      <c r="V165" s="158"/>
      <c r="W165" s="158"/>
      <c r="X165" s="158"/>
      <c r="Y165" s="158"/>
      <c r="Z165" s="158"/>
      <c r="AA165" s="158"/>
    </row>
    <row r="166" spans="1:27" ht="15.75" customHeight="1" x14ac:dyDescent="0.55000000000000004">
      <c r="A166" s="162">
        <v>29</v>
      </c>
      <c r="B166" s="162" t="s">
        <v>1060</v>
      </c>
      <c r="C166" s="162" t="s">
        <v>1061</v>
      </c>
      <c r="D166" s="163">
        <v>30881</v>
      </c>
      <c r="E166" s="120" t="s">
        <v>2544</v>
      </c>
      <c r="F166" s="131">
        <v>22</v>
      </c>
      <c r="G166" s="120">
        <v>1</v>
      </c>
      <c r="H166" s="120">
        <v>0</v>
      </c>
      <c r="I166" s="120">
        <v>0</v>
      </c>
      <c r="J166" s="133" t="s">
        <v>853</v>
      </c>
      <c r="K166" s="133">
        <v>0</v>
      </c>
      <c r="L166" s="117">
        <v>75.599999999999994</v>
      </c>
      <c r="M166" s="133">
        <f t="shared" si="21"/>
        <v>53.599999999999994</v>
      </c>
      <c r="N166" s="157"/>
      <c r="O166" s="158"/>
      <c r="P166" s="158"/>
      <c r="Q166" s="158"/>
      <c r="R166" s="158"/>
      <c r="S166" s="158"/>
      <c r="T166" s="158"/>
      <c r="U166" s="158"/>
      <c r="V166" s="158"/>
      <c r="W166" s="158"/>
      <c r="X166" s="158"/>
      <c r="Y166" s="158"/>
      <c r="Z166" s="158"/>
      <c r="AA166" s="158"/>
    </row>
    <row r="167" spans="1:27" ht="15.75" customHeight="1" x14ac:dyDescent="0.55000000000000004">
      <c r="A167" s="162">
        <v>29</v>
      </c>
      <c r="B167" s="162" t="s">
        <v>1060</v>
      </c>
      <c r="C167" s="162" t="s">
        <v>1061</v>
      </c>
      <c r="D167" s="163">
        <v>30881</v>
      </c>
      <c r="E167" s="120" t="s">
        <v>2545</v>
      </c>
      <c r="F167" s="131">
        <v>18</v>
      </c>
      <c r="G167" s="120">
        <v>1</v>
      </c>
      <c r="H167" s="120"/>
      <c r="I167" s="120">
        <v>0</v>
      </c>
      <c r="J167" s="133" t="s">
        <v>853</v>
      </c>
      <c r="K167" s="133">
        <v>0</v>
      </c>
      <c r="L167" s="117">
        <v>74.7</v>
      </c>
      <c r="M167" s="133">
        <f t="shared" si="21"/>
        <v>56.7</v>
      </c>
      <c r="N167" s="157"/>
      <c r="O167" s="158"/>
      <c r="P167" s="158"/>
      <c r="Q167" s="158"/>
      <c r="R167" s="158"/>
      <c r="S167" s="158"/>
      <c r="T167" s="158"/>
      <c r="U167" s="158"/>
      <c r="V167" s="158"/>
      <c r="W167" s="158"/>
      <c r="X167" s="158"/>
      <c r="Y167" s="158"/>
      <c r="Z167" s="158"/>
      <c r="AA167" s="158"/>
    </row>
    <row r="168" spans="1:27" ht="15.75" customHeight="1" x14ac:dyDescent="0.55000000000000004">
      <c r="A168" s="162">
        <v>29</v>
      </c>
      <c r="B168" s="162" t="s">
        <v>1060</v>
      </c>
      <c r="C168" s="162" t="s">
        <v>1061</v>
      </c>
      <c r="D168" s="163">
        <v>30881</v>
      </c>
      <c r="E168" s="120" t="s">
        <v>2546</v>
      </c>
      <c r="F168" s="131">
        <v>19</v>
      </c>
      <c r="G168" s="120">
        <v>1</v>
      </c>
      <c r="H168" s="120">
        <v>2</v>
      </c>
      <c r="I168" s="120">
        <v>0</v>
      </c>
      <c r="J168" s="133" t="s">
        <v>853</v>
      </c>
      <c r="K168" s="133">
        <v>0</v>
      </c>
      <c r="L168" s="117">
        <v>74.7</v>
      </c>
      <c r="M168" s="133">
        <f t="shared" si="21"/>
        <v>55.7</v>
      </c>
      <c r="N168" s="157"/>
      <c r="O168" s="158"/>
      <c r="P168" s="158"/>
      <c r="Q168" s="158"/>
      <c r="R168" s="158"/>
      <c r="S168" s="158"/>
      <c r="T168" s="158"/>
      <c r="U168" s="158"/>
      <c r="V168" s="158"/>
      <c r="W168" s="158"/>
      <c r="X168" s="158"/>
      <c r="Y168" s="158"/>
      <c r="Z168" s="158"/>
      <c r="AA168" s="158"/>
    </row>
    <row r="169" spans="1:27" ht="15.75" customHeight="1" x14ac:dyDescent="0.55000000000000004">
      <c r="A169" s="162">
        <v>29</v>
      </c>
      <c r="B169" s="162" t="s">
        <v>1060</v>
      </c>
      <c r="C169" s="162" t="s">
        <v>1061</v>
      </c>
      <c r="D169" s="163">
        <v>30881</v>
      </c>
      <c r="E169" s="120" t="s">
        <v>2547</v>
      </c>
      <c r="F169" s="131">
        <v>11</v>
      </c>
      <c r="G169" s="120">
        <v>0</v>
      </c>
      <c r="H169" s="120">
        <v>2</v>
      </c>
      <c r="I169" s="120">
        <v>0</v>
      </c>
      <c r="J169" s="133" t="s">
        <v>853</v>
      </c>
      <c r="K169" s="133">
        <v>0</v>
      </c>
      <c r="L169" s="117">
        <v>67.099999999999994</v>
      </c>
      <c r="M169" s="133">
        <f t="shared" si="21"/>
        <v>56.099999999999994</v>
      </c>
      <c r="N169" s="157"/>
      <c r="O169" s="158"/>
      <c r="P169" s="158"/>
      <c r="Q169" s="158"/>
      <c r="R169" s="158"/>
      <c r="S169" s="158"/>
      <c r="T169" s="158"/>
      <c r="U169" s="158"/>
      <c r="V169" s="158"/>
      <c r="W169" s="158"/>
      <c r="X169" s="158"/>
      <c r="Y169" s="158"/>
      <c r="Z169" s="158"/>
      <c r="AA169" s="158"/>
    </row>
    <row r="170" spans="1:27" ht="15.75" customHeight="1" x14ac:dyDescent="0.55000000000000004">
      <c r="A170" s="162">
        <v>29</v>
      </c>
      <c r="B170" s="162" t="s">
        <v>1060</v>
      </c>
      <c r="C170" s="162" t="s">
        <v>1061</v>
      </c>
      <c r="D170" s="163">
        <v>30881</v>
      </c>
      <c r="E170" s="120" t="s">
        <v>2548</v>
      </c>
      <c r="F170" s="131">
        <v>22</v>
      </c>
      <c r="G170" s="120">
        <v>1</v>
      </c>
      <c r="H170" s="120">
        <v>2</v>
      </c>
      <c r="I170" s="120">
        <v>0</v>
      </c>
      <c r="J170" s="133" t="s">
        <v>853</v>
      </c>
      <c r="K170" s="133">
        <v>0</v>
      </c>
      <c r="L170" s="117">
        <v>73.099999999999994</v>
      </c>
      <c r="M170" s="133">
        <f t="shared" si="21"/>
        <v>51.099999999999994</v>
      </c>
      <c r="N170" s="157"/>
      <c r="O170" s="158"/>
      <c r="P170" s="158"/>
      <c r="Q170" s="158"/>
      <c r="R170" s="158"/>
      <c r="S170" s="158"/>
      <c r="T170" s="158"/>
      <c r="U170" s="158"/>
      <c r="V170" s="158"/>
      <c r="W170" s="158"/>
      <c r="X170" s="158"/>
      <c r="Y170" s="158"/>
      <c r="Z170" s="158"/>
      <c r="AA170" s="158"/>
    </row>
    <row r="171" spans="1:27" ht="15.75" customHeight="1" x14ac:dyDescent="0.55000000000000004">
      <c r="A171" s="162">
        <v>29</v>
      </c>
      <c r="B171" s="162" t="s">
        <v>1060</v>
      </c>
      <c r="C171" s="162" t="s">
        <v>1061</v>
      </c>
      <c r="D171" s="163">
        <v>30881</v>
      </c>
      <c r="E171" s="120" t="s">
        <v>2549</v>
      </c>
      <c r="F171" s="131">
        <v>11</v>
      </c>
      <c r="G171" s="120">
        <v>0</v>
      </c>
      <c r="H171" s="120">
        <v>2</v>
      </c>
      <c r="I171" s="120">
        <v>0</v>
      </c>
      <c r="J171" s="133" t="s">
        <v>853</v>
      </c>
      <c r="K171" s="133">
        <v>0</v>
      </c>
      <c r="L171" s="117">
        <v>67.099999999999994</v>
      </c>
      <c r="M171" s="133">
        <f t="shared" si="21"/>
        <v>56.099999999999994</v>
      </c>
      <c r="N171" s="157"/>
      <c r="O171" s="158"/>
      <c r="P171" s="158"/>
      <c r="Q171" s="158"/>
      <c r="R171" s="158"/>
      <c r="S171" s="158"/>
      <c r="T171" s="158"/>
      <c r="U171" s="158"/>
      <c r="V171" s="158"/>
      <c r="W171" s="158"/>
      <c r="X171" s="158"/>
      <c r="Y171" s="158"/>
      <c r="Z171" s="158"/>
      <c r="AA171" s="158"/>
    </row>
    <row r="172" spans="1:27" ht="15.75" customHeight="1" x14ac:dyDescent="0.55000000000000004">
      <c r="A172" s="162">
        <v>29</v>
      </c>
      <c r="B172" s="162" t="s">
        <v>1060</v>
      </c>
      <c r="C172" s="162" t="s">
        <v>1061</v>
      </c>
      <c r="D172" s="163">
        <v>30881</v>
      </c>
      <c r="E172" s="120" t="s">
        <v>2550</v>
      </c>
      <c r="F172" s="131">
        <v>31</v>
      </c>
      <c r="G172" s="120">
        <v>1</v>
      </c>
      <c r="H172" s="131">
        <v>2</v>
      </c>
      <c r="I172" s="120">
        <v>0</v>
      </c>
      <c r="J172" s="133" t="s">
        <v>853</v>
      </c>
      <c r="K172" s="133">
        <v>0</v>
      </c>
      <c r="L172" s="117">
        <v>71.099999999999994</v>
      </c>
      <c r="M172" s="133">
        <f t="shared" si="21"/>
        <v>40.099999999999994</v>
      </c>
      <c r="N172" s="157"/>
      <c r="O172" s="158"/>
      <c r="P172" s="158"/>
      <c r="Q172" s="158"/>
      <c r="R172" s="158"/>
      <c r="S172" s="158"/>
      <c r="T172" s="158"/>
      <c r="U172" s="158"/>
      <c r="V172" s="158"/>
      <c r="W172" s="158"/>
      <c r="X172" s="158"/>
      <c r="Y172" s="158"/>
      <c r="Z172" s="158"/>
      <c r="AA172" s="158"/>
    </row>
    <row r="173" spans="1:27" ht="15.75" customHeight="1" x14ac:dyDescent="0.55000000000000004">
      <c r="A173" s="162">
        <v>29</v>
      </c>
      <c r="B173" s="162" t="s">
        <v>1060</v>
      </c>
      <c r="C173" s="162" t="s">
        <v>1061</v>
      </c>
      <c r="D173" s="163">
        <v>30881</v>
      </c>
      <c r="E173" s="120" t="s">
        <v>2551</v>
      </c>
      <c r="F173" s="131">
        <v>11</v>
      </c>
      <c r="G173" s="120">
        <v>0</v>
      </c>
      <c r="H173" s="131">
        <v>2</v>
      </c>
      <c r="I173" s="120">
        <v>0</v>
      </c>
      <c r="J173" s="133" t="s">
        <v>853</v>
      </c>
      <c r="K173" s="133">
        <v>0</v>
      </c>
      <c r="L173" s="117">
        <v>67.099999999999994</v>
      </c>
      <c r="M173" s="133">
        <f t="shared" si="21"/>
        <v>56.099999999999994</v>
      </c>
      <c r="N173" s="157"/>
      <c r="O173" s="158"/>
      <c r="P173" s="158"/>
      <c r="Q173" s="158"/>
      <c r="R173" s="158"/>
      <c r="S173" s="158"/>
      <c r="T173" s="158"/>
      <c r="U173" s="158"/>
      <c r="V173" s="158"/>
      <c r="W173" s="158"/>
      <c r="X173" s="158"/>
      <c r="Y173" s="158"/>
      <c r="Z173" s="158"/>
      <c r="AA173" s="158"/>
    </row>
    <row r="174" spans="1:27" ht="15.75" customHeight="1" x14ac:dyDescent="0.55000000000000004">
      <c r="A174" s="162">
        <v>29</v>
      </c>
      <c r="B174" s="162" t="s">
        <v>1060</v>
      </c>
      <c r="C174" s="162" t="s">
        <v>1061</v>
      </c>
      <c r="D174" s="163">
        <v>30881</v>
      </c>
      <c r="E174" s="120" t="s">
        <v>2552</v>
      </c>
      <c r="F174" s="131">
        <v>21</v>
      </c>
      <c r="G174" s="120">
        <v>1</v>
      </c>
      <c r="H174" s="120">
        <v>2</v>
      </c>
      <c r="I174" s="120">
        <v>0</v>
      </c>
      <c r="J174" s="133" t="s">
        <v>853</v>
      </c>
      <c r="K174" s="133">
        <v>0</v>
      </c>
      <c r="L174" s="117">
        <v>73.099999999999994</v>
      </c>
      <c r="M174" s="133">
        <f t="shared" si="21"/>
        <v>52.099999999999994</v>
      </c>
      <c r="N174" s="157"/>
      <c r="O174" s="158"/>
      <c r="P174" s="158"/>
      <c r="Q174" s="158"/>
      <c r="R174" s="158"/>
      <c r="S174" s="158"/>
      <c r="T174" s="158"/>
      <c r="U174" s="158"/>
      <c r="V174" s="158"/>
      <c r="W174" s="158"/>
      <c r="X174" s="158"/>
      <c r="Y174" s="158"/>
      <c r="Z174" s="158"/>
      <c r="AA174" s="158"/>
    </row>
    <row r="175" spans="1:27" ht="15.75" customHeight="1" x14ac:dyDescent="0.55000000000000004">
      <c r="A175" s="162">
        <v>29</v>
      </c>
      <c r="B175" s="162" t="s">
        <v>1060</v>
      </c>
      <c r="C175" s="162" t="s">
        <v>1061</v>
      </c>
      <c r="D175" s="163">
        <v>30881</v>
      </c>
      <c r="E175" s="120" t="s">
        <v>2553</v>
      </c>
      <c r="F175" s="131">
        <v>18</v>
      </c>
      <c r="G175" s="120">
        <v>1</v>
      </c>
      <c r="H175" s="131">
        <v>2</v>
      </c>
      <c r="I175" s="120">
        <v>0</v>
      </c>
      <c r="J175" s="133" t="s">
        <v>853</v>
      </c>
      <c r="K175" s="133">
        <v>0</v>
      </c>
      <c r="L175" s="117">
        <v>74.7</v>
      </c>
      <c r="M175" s="133">
        <f t="shared" si="21"/>
        <v>56.7</v>
      </c>
      <c r="N175" s="157"/>
      <c r="O175" s="158"/>
      <c r="P175" s="158"/>
      <c r="Q175" s="158"/>
      <c r="R175" s="158"/>
      <c r="S175" s="158"/>
      <c r="T175" s="158"/>
      <c r="U175" s="158"/>
      <c r="V175" s="158"/>
      <c r="W175" s="158"/>
      <c r="X175" s="158"/>
      <c r="Y175" s="158"/>
      <c r="Z175" s="158"/>
      <c r="AA175" s="158"/>
    </row>
    <row r="176" spans="1:27" ht="15.75" customHeight="1" x14ac:dyDescent="0.55000000000000004">
      <c r="A176" s="162">
        <v>29</v>
      </c>
      <c r="B176" s="162" t="s">
        <v>1060</v>
      </c>
      <c r="C176" s="162" t="s">
        <v>1061</v>
      </c>
      <c r="D176" s="163">
        <v>30881</v>
      </c>
      <c r="E176" s="120" t="s">
        <v>2554</v>
      </c>
      <c r="F176" s="131">
        <v>9</v>
      </c>
      <c r="G176" s="120">
        <v>1</v>
      </c>
      <c r="H176" s="120">
        <v>2</v>
      </c>
      <c r="I176" s="120">
        <v>0</v>
      </c>
      <c r="J176" s="133" t="s">
        <v>853</v>
      </c>
      <c r="K176" s="133">
        <v>0</v>
      </c>
      <c r="L176" s="117">
        <v>76.599999999999994</v>
      </c>
      <c r="M176" s="133">
        <f t="shared" si="21"/>
        <v>67.599999999999994</v>
      </c>
      <c r="N176" s="157"/>
      <c r="O176" s="158"/>
      <c r="P176" s="158"/>
      <c r="Q176" s="158"/>
      <c r="R176" s="158"/>
      <c r="S176" s="158"/>
      <c r="T176" s="158"/>
      <c r="U176" s="158"/>
      <c r="V176" s="158"/>
      <c r="W176" s="158"/>
      <c r="X176" s="158"/>
      <c r="Y176" s="158"/>
      <c r="Z176" s="158"/>
      <c r="AA176" s="158"/>
    </row>
    <row r="177" spans="1:27" ht="15.75" customHeight="1" x14ac:dyDescent="0.55000000000000004">
      <c r="A177" s="162">
        <v>29</v>
      </c>
      <c r="B177" s="162" t="s">
        <v>1060</v>
      </c>
      <c r="C177" s="162" t="s">
        <v>1061</v>
      </c>
      <c r="D177" s="163">
        <v>30881</v>
      </c>
      <c r="E177" s="120" t="s">
        <v>2555</v>
      </c>
      <c r="F177" s="131">
        <v>19</v>
      </c>
      <c r="G177" s="120">
        <v>0</v>
      </c>
      <c r="H177" s="120">
        <v>2</v>
      </c>
      <c r="I177" s="120">
        <v>0</v>
      </c>
      <c r="J177" s="133" t="s">
        <v>853</v>
      </c>
      <c r="K177" s="133">
        <v>0</v>
      </c>
      <c r="L177" s="117">
        <v>67.099999999999994</v>
      </c>
      <c r="M177" s="133">
        <f t="shared" si="21"/>
        <v>48.099999999999994</v>
      </c>
      <c r="N177" s="157"/>
      <c r="O177" s="158"/>
      <c r="P177" s="158"/>
      <c r="Q177" s="158"/>
      <c r="R177" s="158"/>
      <c r="S177" s="158"/>
      <c r="T177" s="158"/>
      <c r="U177" s="158"/>
      <c r="V177" s="158"/>
      <c r="W177" s="158"/>
      <c r="X177" s="158"/>
      <c r="Y177" s="158"/>
      <c r="Z177" s="158"/>
      <c r="AA177" s="158"/>
    </row>
    <row r="178" spans="1:27" ht="15.75" customHeight="1" x14ac:dyDescent="0.55000000000000004">
      <c r="A178" s="162">
        <v>29</v>
      </c>
      <c r="B178" s="162" t="s">
        <v>1060</v>
      </c>
      <c r="C178" s="162" t="s">
        <v>1061</v>
      </c>
      <c r="D178" s="163">
        <v>30881</v>
      </c>
      <c r="E178" s="120" t="s">
        <v>2556</v>
      </c>
      <c r="F178" s="161" t="str">
        <f>HYPERLINK("https://www.findagrave.com/memorial/39821941/carlos-reyes","1")</f>
        <v>1</v>
      </c>
      <c r="G178" s="120">
        <v>0</v>
      </c>
      <c r="H178" s="120">
        <v>2</v>
      </c>
      <c r="I178" s="120">
        <v>0</v>
      </c>
      <c r="J178" s="133" t="s">
        <v>853</v>
      </c>
      <c r="K178" s="133">
        <v>0</v>
      </c>
      <c r="L178" s="117">
        <v>70</v>
      </c>
      <c r="M178" s="133">
        <f t="shared" si="21"/>
        <v>69</v>
      </c>
      <c r="N178" s="157"/>
      <c r="O178" s="158"/>
      <c r="P178" s="158"/>
      <c r="Q178" s="158"/>
      <c r="R178" s="158"/>
      <c r="S178" s="158"/>
      <c r="T178" s="158"/>
      <c r="U178" s="158"/>
      <c r="V178" s="158"/>
      <c r="W178" s="158"/>
      <c r="X178" s="158"/>
      <c r="Y178" s="158"/>
      <c r="Z178" s="158"/>
      <c r="AA178" s="158"/>
    </row>
    <row r="179" spans="1:27" ht="15.75" customHeight="1" x14ac:dyDescent="0.55000000000000004">
      <c r="A179" s="162">
        <v>29</v>
      </c>
      <c r="B179" s="162" t="s">
        <v>1060</v>
      </c>
      <c r="C179" s="162" t="s">
        <v>1061</v>
      </c>
      <c r="D179" s="163">
        <v>30881</v>
      </c>
      <c r="E179" s="120" t="s">
        <v>2557</v>
      </c>
      <c r="F179" s="131">
        <v>18</v>
      </c>
      <c r="G179" s="120">
        <v>1</v>
      </c>
      <c r="H179" s="131">
        <v>2</v>
      </c>
      <c r="I179" s="120">
        <v>0</v>
      </c>
      <c r="J179" s="133" t="s">
        <v>853</v>
      </c>
      <c r="K179" s="133">
        <v>0</v>
      </c>
      <c r="L179" s="117">
        <v>74.7</v>
      </c>
      <c r="M179" s="133">
        <f t="shared" si="21"/>
        <v>56.7</v>
      </c>
      <c r="N179" s="157"/>
      <c r="O179" s="158"/>
      <c r="P179" s="158"/>
      <c r="Q179" s="158"/>
      <c r="R179" s="158"/>
      <c r="S179" s="158"/>
      <c r="T179" s="158"/>
      <c r="U179" s="158"/>
      <c r="V179" s="158"/>
      <c r="W179" s="158"/>
      <c r="X179" s="158"/>
      <c r="Y179" s="158"/>
      <c r="Z179" s="158"/>
      <c r="AA179" s="158"/>
    </row>
    <row r="180" spans="1:27" ht="15.75" customHeight="1" x14ac:dyDescent="0.55000000000000004">
      <c r="A180" s="162">
        <v>29</v>
      </c>
      <c r="B180" s="162" t="s">
        <v>1060</v>
      </c>
      <c r="C180" s="162" t="s">
        <v>1061</v>
      </c>
      <c r="D180" s="163">
        <v>30881</v>
      </c>
      <c r="E180" s="120" t="s">
        <v>2558</v>
      </c>
      <c r="F180" s="131">
        <v>25</v>
      </c>
      <c r="G180" s="120">
        <v>0</v>
      </c>
      <c r="H180" s="120">
        <v>2</v>
      </c>
      <c r="I180" s="120">
        <v>0</v>
      </c>
      <c r="J180" s="133" t="s">
        <v>853</v>
      </c>
      <c r="K180" s="133">
        <v>0</v>
      </c>
      <c r="L180" s="117">
        <v>66.599999999999994</v>
      </c>
      <c r="M180" s="133">
        <f t="shared" si="21"/>
        <v>41.599999999999994</v>
      </c>
      <c r="N180" s="157"/>
      <c r="O180" s="158"/>
      <c r="P180" s="158"/>
      <c r="Q180" s="158"/>
      <c r="R180" s="158"/>
      <c r="S180" s="158"/>
      <c r="T180" s="158"/>
      <c r="U180" s="158"/>
      <c r="V180" s="158"/>
      <c r="W180" s="158"/>
      <c r="X180" s="158"/>
      <c r="Y180" s="158"/>
      <c r="Z180" s="158"/>
      <c r="AA180" s="158"/>
    </row>
    <row r="181" spans="1:27" ht="15.75" customHeight="1" x14ac:dyDescent="0.55000000000000004">
      <c r="A181" s="162">
        <v>29</v>
      </c>
      <c r="B181" s="162" t="s">
        <v>1060</v>
      </c>
      <c r="C181" s="162" t="s">
        <v>1061</v>
      </c>
      <c r="D181" s="163">
        <v>30881</v>
      </c>
      <c r="E181" s="120" t="s">
        <v>2559</v>
      </c>
      <c r="F181" s="131">
        <v>74</v>
      </c>
      <c r="G181" s="120">
        <v>0</v>
      </c>
      <c r="H181" s="120">
        <v>2</v>
      </c>
      <c r="I181" s="120">
        <v>0</v>
      </c>
      <c r="J181" s="133" t="s">
        <v>853</v>
      </c>
      <c r="K181" s="133">
        <v>0</v>
      </c>
      <c r="L181" s="117">
        <v>78.8</v>
      </c>
      <c r="M181" s="133">
        <f t="shared" si="21"/>
        <v>4.7999999999999972</v>
      </c>
      <c r="N181" s="157"/>
      <c r="O181" s="158"/>
      <c r="P181" s="158"/>
      <c r="Q181" s="158"/>
      <c r="R181" s="158"/>
      <c r="S181" s="158"/>
      <c r="T181" s="158"/>
      <c r="U181" s="158"/>
      <c r="V181" s="158"/>
      <c r="W181" s="158"/>
      <c r="X181" s="158"/>
      <c r="Y181" s="158"/>
      <c r="Z181" s="158"/>
      <c r="AA181" s="158"/>
    </row>
    <row r="182" spans="1:27" ht="15.75" customHeight="1" x14ac:dyDescent="0.55000000000000004">
      <c r="A182" s="162">
        <v>29</v>
      </c>
      <c r="B182" s="162" t="s">
        <v>1060</v>
      </c>
      <c r="C182" s="162" t="s">
        <v>1061</v>
      </c>
      <c r="D182" s="163">
        <v>30881</v>
      </c>
      <c r="E182" s="120" t="s">
        <v>2560</v>
      </c>
      <c r="F182" s="131">
        <v>31</v>
      </c>
      <c r="G182" s="120">
        <v>1</v>
      </c>
      <c r="H182" s="120">
        <v>2</v>
      </c>
      <c r="I182" s="120">
        <v>0</v>
      </c>
      <c r="J182" s="133" t="s">
        <v>853</v>
      </c>
      <c r="K182" s="133">
        <v>0</v>
      </c>
      <c r="L182" s="117">
        <v>71.099999999999994</v>
      </c>
      <c r="M182" s="133">
        <f t="shared" si="21"/>
        <v>40.099999999999994</v>
      </c>
      <c r="N182" s="157"/>
      <c r="O182" s="158"/>
      <c r="P182" s="158"/>
      <c r="Q182" s="158"/>
      <c r="R182" s="158"/>
      <c r="S182" s="158"/>
      <c r="T182" s="158"/>
      <c r="U182" s="158"/>
      <c r="V182" s="158"/>
      <c r="W182" s="158"/>
      <c r="X182" s="158"/>
      <c r="Y182" s="158"/>
      <c r="Z182" s="158"/>
      <c r="AA182" s="158"/>
    </row>
    <row r="183" spans="1:27" ht="15.75" customHeight="1" x14ac:dyDescent="0.55000000000000004">
      <c r="A183" s="162">
        <v>29</v>
      </c>
      <c r="B183" s="162" t="s">
        <v>1060</v>
      </c>
      <c r="C183" s="162" t="s">
        <v>1061</v>
      </c>
      <c r="D183" s="163">
        <v>30881</v>
      </c>
      <c r="E183" s="120" t="s">
        <v>2561</v>
      </c>
      <c r="F183" s="131">
        <v>45</v>
      </c>
      <c r="G183" s="120">
        <v>0</v>
      </c>
      <c r="H183" s="120">
        <v>2</v>
      </c>
      <c r="I183" s="120">
        <v>0</v>
      </c>
      <c r="J183" s="133" t="s">
        <v>853</v>
      </c>
      <c r="K183" s="133">
        <v>0</v>
      </c>
      <c r="L183" s="117">
        <v>65.599999999999994</v>
      </c>
      <c r="M183" s="133">
        <f t="shared" si="21"/>
        <v>20.599999999999994</v>
      </c>
      <c r="N183" s="157"/>
      <c r="O183" s="158"/>
      <c r="P183" s="158"/>
      <c r="Q183" s="158"/>
      <c r="R183" s="158"/>
      <c r="S183" s="158"/>
      <c r="T183" s="158"/>
      <c r="U183" s="158"/>
      <c r="V183" s="158"/>
      <c r="W183" s="158"/>
      <c r="X183" s="158"/>
      <c r="Y183" s="158"/>
      <c r="Z183" s="158"/>
      <c r="AA183" s="158"/>
    </row>
    <row r="184" spans="1:27" ht="15.75" customHeight="1" x14ac:dyDescent="0.55000000000000004">
      <c r="A184" s="162">
        <v>29</v>
      </c>
      <c r="B184" s="162" t="s">
        <v>1060</v>
      </c>
      <c r="C184" s="162" t="s">
        <v>1061</v>
      </c>
      <c r="D184" s="163">
        <v>30881</v>
      </c>
      <c r="E184" s="120" t="s">
        <v>2562</v>
      </c>
      <c r="F184" s="131">
        <v>70</v>
      </c>
      <c r="G184" s="120">
        <v>1</v>
      </c>
      <c r="H184" s="120">
        <v>2</v>
      </c>
      <c r="I184" s="120">
        <v>0</v>
      </c>
      <c r="J184" s="133" t="s">
        <v>853</v>
      </c>
      <c r="K184" s="133">
        <v>0</v>
      </c>
      <c r="L184" s="117">
        <v>83.3</v>
      </c>
      <c r="M184" s="133">
        <f t="shared" si="21"/>
        <v>13.299999999999997</v>
      </c>
      <c r="N184" s="157"/>
      <c r="O184" s="158"/>
      <c r="P184" s="158"/>
      <c r="Q184" s="158"/>
      <c r="R184" s="158"/>
      <c r="S184" s="158"/>
      <c r="T184" s="158"/>
      <c r="U184" s="158"/>
      <c r="V184" s="158"/>
      <c r="W184" s="158"/>
      <c r="X184" s="158"/>
      <c r="Y184" s="158"/>
      <c r="Z184" s="158"/>
      <c r="AA184" s="158"/>
    </row>
    <row r="185" spans="1:27" ht="15.75" customHeight="1" x14ac:dyDescent="0.55000000000000004">
      <c r="A185" s="162">
        <v>29</v>
      </c>
      <c r="B185" s="162" t="s">
        <v>1060</v>
      </c>
      <c r="C185" s="162" t="s">
        <v>1061</v>
      </c>
      <c r="D185" s="163">
        <v>30881</v>
      </c>
      <c r="E185" s="120" t="s">
        <v>2563</v>
      </c>
      <c r="F185" s="131">
        <v>62</v>
      </c>
      <c r="G185" s="120">
        <v>0</v>
      </c>
      <c r="H185" s="131">
        <v>0</v>
      </c>
      <c r="I185" s="120">
        <v>0</v>
      </c>
      <c r="J185" s="133" t="s">
        <v>853</v>
      </c>
      <c r="K185" s="133">
        <v>0</v>
      </c>
      <c r="L185" s="117">
        <v>46.6</v>
      </c>
      <c r="M185" s="133">
        <v>0</v>
      </c>
      <c r="N185" s="157"/>
      <c r="O185" s="158"/>
      <c r="P185" s="158"/>
      <c r="Q185" s="158"/>
      <c r="R185" s="158"/>
      <c r="S185" s="158"/>
      <c r="T185" s="158"/>
      <c r="U185" s="158"/>
      <c r="V185" s="158"/>
      <c r="W185" s="158"/>
      <c r="X185" s="158"/>
      <c r="Y185" s="158"/>
      <c r="Z185" s="158"/>
      <c r="AA185" s="158"/>
    </row>
    <row r="186" spans="1:27" ht="15.75" customHeight="1" x14ac:dyDescent="0.55000000000000004">
      <c r="A186" s="159">
        <v>30</v>
      </c>
      <c r="B186" s="159" t="s">
        <v>1068</v>
      </c>
      <c r="C186" s="159" t="s">
        <v>1069</v>
      </c>
      <c r="D186" s="160">
        <v>30887</v>
      </c>
      <c r="E186" s="120" t="s">
        <v>2564</v>
      </c>
      <c r="F186" s="161" t="str">
        <f>HYPERLINK("https://www.findagrave.com/memorial/47174198/juanita-allen","45")</f>
        <v>45</v>
      </c>
      <c r="G186" s="120">
        <v>1</v>
      </c>
      <c r="H186" s="120"/>
      <c r="I186" s="131">
        <v>0</v>
      </c>
      <c r="J186" s="133" t="s">
        <v>853</v>
      </c>
      <c r="K186" s="133">
        <v>0</v>
      </c>
      <c r="L186" s="117">
        <v>71.099999999999994</v>
      </c>
      <c r="M186" s="133">
        <f t="shared" ref="M186:M188" si="22">L186-F186</f>
        <v>26.099999999999994</v>
      </c>
      <c r="N186" s="157"/>
      <c r="O186" s="158"/>
      <c r="P186" s="158"/>
      <c r="Q186" s="158"/>
      <c r="R186" s="158"/>
      <c r="S186" s="158"/>
      <c r="T186" s="158"/>
      <c r="U186" s="158"/>
      <c r="V186" s="158"/>
      <c r="W186" s="158"/>
      <c r="X186" s="158"/>
      <c r="Y186" s="158"/>
      <c r="Z186" s="158"/>
      <c r="AA186" s="158"/>
    </row>
    <row r="187" spans="1:27" ht="15.75" customHeight="1" x14ac:dyDescent="0.55000000000000004">
      <c r="A187" s="159">
        <v>30</v>
      </c>
      <c r="B187" s="159" t="s">
        <v>1068</v>
      </c>
      <c r="C187" s="159" t="s">
        <v>1069</v>
      </c>
      <c r="D187" s="160">
        <v>30887</v>
      </c>
      <c r="E187" s="120" t="s">
        <v>2565</v>
      </c>
      <c r="F187" s="131">
        <v>34</v>
      </c>
      <c r="G187" s="120">
        <v>0</v>
      </c>
      <c r="H187" s="120"/>
      <c r="I187" s="131">
        <v>0</v>
      </c>
      <c r="J187" s="133" t="s">
        <v>853</v>
      </c>
      <c r="K187" s="133">
        <v>0</v>
      </c>
      <c r="L187" s="117">
        <v>65.599999999999994</v>
      </c>
      <c r="M187" s="133">
        <f t="shared" si="22"/>
        <v>31.599999999999994</v>
      </c>
      <c r="N187" s="157"/>
      <c r="O187" s="158"/>
      <c r="P187" s="158"/>
      <c r="Q187" s="158"/>
      <c r="R187" s="158"/>
      <c r="S187" s="158"/>
      <c r="T187" s="158"/>
      <c r="U187" s="158"/>
      <c r="V187" s="158"/>
      <c r="W187" s="158"/>
      <c r="X187" s="158"/>
      <c r="Y187" s="158"/>
      <c r="Z187" s="158"/>
      <c r="AA187" s="158"/>
    </row>
    <row r="188" spans="1:27" ht="15.75" customHeight="1" x14ac:dyDescent="0.55000000000000004">
      <c r="A188" s="159">
        <v>30</v>
      </c>
      <c r="B188" s="159" t="s">
        <v>1068</v>
      </c>
      <c r="C188" s="159" t="s">
        <v>1069</v>
      </c>
      <c r="D188" s="160">
        <v>30887</v>
      </c>
      <c r="E188" s="120" t="s">
        <v>2566</v>
      </c>
      <c r="F188" s="161" t="str">
        <f>HYPERLINK("https://www.findagrave.com/memorial/7558892/helen-c_-frazee","58")</f>
        <v>58</v>
      </c>
      <c r="G188" s="120">
        <v>1</v>
      </c>
      <c r="H188" s="120"/>
      <c r="I188" s="131">
        <v>1</v>
      </c>
      <c r="J188" s="133" t="s">
        <v>2567</v>
      </c>
      <c r="K188" s="133">
        <v>5</v>
      </c>
      <c r="L188" s="117">
        <v>71.099999999999994</v>
      </c>
      <c r="M188" s="133">
        <f t="shared" si="22"/>
        <v>13.099999999999994</v>
      </c>
      <c r="N188" s="157"/>
      <c r="O188" s="158"/>
      <c r="P188" s="158"/>
      <c r="Q188" s="158"/>
      <c r="R188" s="158"/>
      <c r="S188" s="158"/>
      <c r="T188" s="158"/>
      <c r="U188" s="158"/>
      <c r="V188" s="158"/>
      <c r="W188" s="158"/>
      <c r="X188" s="158"/>
      <c r="Y188" s="158"/>
      <c r="Z188" s="158"/>
      <c r="AA188" s="158"/>
    </row>
    <row r="189" spans="1:27" ht="15.75" customHeight="1" x14ac:dyDescent="0.55000000000000004">
      <c r="A189" s="159">
        <v>30</v>
      </c>
      <c r="B189" s="159" t="s">
        <v>1068</v>
      </c>
      <c r="C189" s="159" t="s">
        <v>1069</v>
      </c>
      <c r="D189" s="160">
        <v>30887</v>
      </c>
      <c r="E189" s="131" t="s">
        <v>2568</v>
      </c>
      <c r="F189" s="120"/>
      <c r="G189" s="120">
        <v>0</v>
      </c>
      <c r="H189" s="120"/>
      <c r="I189" s="131">
        <v>0</v>
      </c>
      <c r="J189" s="133" t="s">
        <v>853</v>
      </c>
      <c r="K189" s="133">
        <v>0</v>
      </c>
      <c r="L189" s="117"/>
      <c r="M189" s="133"/>
      <c r="N189" s="157"/>
      <c r="O189" s="158"/>
      <c r="P189" s="158"/>
      <c r="Q189" s="158"/>
      <c r="R189" s="158"/>
      <c r="S189" s="158"/>
      <c r="T189" s="158"/>
      <c r="U189" s="158"/>
      <c r="V189" s="158"/>
      <c r="W189" s="158"/>
      <c r="X189" s="158"/>
      <c r="Y189" s="158"/>
      <c r="Z189" s="158"/>
      <c r="AA189" s="158"/>
    </row>
    <row r="190" spans="1:27" ht="15.75" customHeight="1" x14ac:dyDescent="0.55000000000000004">
      <c r="A190" s="169">
        <v>31</v>
      </c>
      <c r="B190" s="169" t="s">
        <v>1075</v>
      </c>
      <c r="C190" s="169" t="s">
        <v>1076</v>
      </c>
      <c r="D190" s="170">
        <v>31122</v>
      </c>
      <c r="E190" s="120" t="s">
        <v>2569</v>
      </c>
      <c r="F190" s="131">
        <v>48</v>
      </c>
      <c r="G190" s="120">
        <v>0</v>
      </c>
      <c r="H190" s="120"/>
      <c r="I190" s="120">
        <v>1</v>
      </c>
      <c r="J190" s="133" t="s">
        <v>2391</v>
      </c>
      <c r="K190" s="133">
        <v>3</v>
      </c>
      <c r="L190" s="117">
        <v>65.599999999999994</v>
      </c>
      <c r="M190" s="133">
        <f t="shared" ref="M190:M241" si="23">L190-F190</f>
        <v>17.599999999999994</v>
      </c>
      <c r="N190" s="157"/>
      <c r="O190" s="158"/>
      <c r="P190" s="158"/>
      <c r="Q190" s="158"/>
      <c r="R190" s="158"/>
      <c r="S190" s="158"/>
      <c r="T190" s="158"/>
      <c r="U190" s="158"/>
      <c r="V190" s="158"/>
      <c r="W190" s="158"/>
      <c r="X190" s="158"/>
      <c r="Y190" s="158"/>
      <c r="Z190" s="158"/>
      <c r="AA190" s="158"/>
    </row>
    <row r="191" spans="1:27" ht="15.75" customHeight="1" x14ac:dyDescent="0.55000000000000004">
      <c r="A191" s="169">
        <v>31</v>
      </c>
      <c r="B191" s="169" t="s">
        <v>1075</v>
      </c>
      <c r="C191" s="169" t="s">
        <v>1076</v>
      </c>
      <c r="D191" s="170">
        <v>31122</v>
      </c>
      <c r="E191" s="120" t="s">
        <v>2570</v>
      </c>
      <c r="F191" s="131">
        <v>31</v>
      </c>
      <c r="G191" s="120">
        <v>0</v>
      </c>
      <c r="H191" s="120"/>
      <c r="I191" s="120">
        <v>1</v>
      </c>
      <c r="J191" s="133" t="s">
        <v>2391</v>
      </c>
      <c r="K191" s="133">
        <v>3</v>
      </c>
      <c r="L191" s="117">
        <v>65.599999999999994</v>
      </c>
      <c r="M191" s="133">
        <f t="shared" si="23"/>
        <v>34.599999999999994</v>
      </c>
      <c r="N191" s="157"/>
      <c r="O191" s="158"/>
      <c r="P191" s="158"/>
      <c r="Q191" s="158"/>
      <c r="R191" s="158"/>
      <c r="S191" s="158"/>
      <c r="T191" s="158"/>
      <c r="U191" s="158"/>
      <c r="V191" s="158"/>
      <c r="W191" s="158"/>
      <c r="X191" s="158"/>
      <c r="Y191" s="158"/>
      <c r="Z191" s="158"/>
      <c r="AA191" s="158"/>
    </row>
    <row r="192" spans="1:27" ht="15.75" customHeight="1" x14ac:dyDescent="0.55000000000000004">
      <c r="A192" s="169">
        <v>31</v>
      </c>
      <c r="B192" s="169" t="s">
        <v>1075</v>
      </c>
      <c r="C192" s="169" t="s">
        <v>1076</v>
      </c>
      <c r="D192" s="170">
        <v>31122</v>
      </c>
      <c r="E192" s="131" t="s">
        <v>2571</v>
      </c>
      <c r="F192" s="131">
        <v>52</v>
      </c>
      <c r="G192" s="120">
        <v>0</v>
      </c>
      <c r="H192" s="120"/>
      <c r="I192" s="120">
        <v>1</v>
      </c>
      <c r="J192" s="133" t="s">
        <v>2391</v>
      </c>
      <c r="K192" s="133">
        <v>3</v>
      </c>
      <c r="L192" s="117">
        <v>65.599999999999994</v>
      </c>
      <c r="M192" s="133">
        <f t="shared" si="23"/>
        <v>13.599999999999994</v>
      </c>
      <c r="N192" s="157"/>
      <c r="O192" s="158"/>
      <c r="P192" s="158"/>
      <c r="Q192" s="158"/>
      <c r="R192" s="158"/>
      <c r="S192" s="158"/>
      <c r="T192" s="158"/>
      <c r="U192" s="158"/>
      <c r="V192" s="158"/>
      <c r="W192" s="158"/>
      <c r="X192" s="158"/>
      <c r="Y192" s="158"/>
      <c r="Z192" s="158"/>
      <c r="AA192" s="158"/>
    </row>
    <row r="193" spans="1:27" ht="15.75" customHeight="1" x14ac:dyDescent="0.55000000000000004">
      <c r="A193" s="169">
        <v>31</v>
      </c>
      <c r="B193" s="169" t="s">
        <v>1075</v>
      </c>
      <c r="C193" s="169" t="s">
        <v>1076</v>
      </c>
      <c r="D193" s="170">
        <v>31122</v>
      </c>
      <c r="E193" s="120" t="s">
        <v>2572</v>
      </c>
      <c r="F193" s="131">
        <v>52</v>
      </c>
      <c r="G193" s="120">
        <v>0</v>
      </c>
      <c r="H193" s="120"/>
      <c r="I193" s="120">
        <v>1</v>
      </c>
      <c r="J193" s="133" t="s">
        <v>2391</v>
      </c>
      <c r="K193" s="133">
        <v>3</v>
      </c>
      <c r="L193" s="117">
        <v>65.599999999999994</v>
      </c>
      <c r="M193" s="133">
        <f t="shared" si="23"/>
        <v>13.599999999999994</v>
      </c>
      <c r="N193" s="157"/>
      <c r="O193" s="158"/>
      <c r="P193" s="158"/>
      <c r="Q193" s="158"/>
      <c r="R193" s="158"/>
      <c r="S193" s="158"/>
      <c r="T193" s="158"/>
      <c r="U193" s="158"/>
      <c r="V193" s="158"/>
      <c r="W193" s="158"/>
      <c r="X193" s="158"/>
      <c r="Y193" s="158"/>
      <c r="Z193" s="158"/>
      <c r="AA193" s="158"/>
    </row>
    <row r="194" spans="1:27" ht="15.75" customHeight="1" x14ac:dyDescent="0.55000000000000004">
      <c r="A194" s="180">
        <v>32</v>
      </c>
      <c r="B194" s="180" t="s">
        <v>1081</v>
      </c>
      <c r="C194" s="180" t="s">
        <v>1082</v>
      </c>
      <c r="D194" s="179">
        <v>31644</v>
      </c>
      <c r="E194" s="131" t="s">
        <v>2573</v>
      </c>
      <c r="F194" s="131">
        <v>41</v>
      </c>
      <c r="G194" s="120">
        <v>1</v>
      </c>
      <c r="H194" s="120"/>
      <c r="I194" s="131">
        <v>1</v>
      </c>
      <c r="J194" s="133" t="s">
        <v>2387</v>
      </c>
      <c r="K194" s="133">
        <v>3</v>
      </c>
      <c r="L194" s="117">
        <v>71.099999999999994</v>
      </c>
      <c r="M194" s="133">
        <f t="shared" si="23"/>
        <v>30.099999999999994</v>
      </c>
      <c r="N194" s="157"/>
      <c r="O194" s="158"/>
      <c r="P194" s="158"/>
      <c r="Q194" s="158"/>
      <c r="R194" s="158"/>
      <c r="S194" s="158"/>
      <c r="T194" s="158"/>
      <c r="U194" s="158"/>
      <c r="V194" s="158"/>
      <c r="W194" s="158"/>
      <c r="X194" s="158"/>
      <c r="Y194" s="158"/>
      <c r="Z194" s="158"/>
      <c r="AA194" s="158"/>
    </row>
    <row r="195" spans="1:27" ht="15.75" customHeight="1" x14ac:dyDescent="0.55000000000000004">
      <c r="A195" s="180">
        <v>32</v>
      </c>
      <c r="B195" s="180" t="s">
        <v>1081</v>
      </c>
      <c r="C195" s="180" t="s">
        <v>1082</v>
      </c>
      <c r="D195" s="179">
        <v>31644</v>
      </c>
      <c r="E195" s="131" t="s">
        <v>2574</v>
      </c>
      <c r="F195" s="131">
        <v>39</v>
      </c>
      <c r="G195" s="120">
        <v>1</v>
      </c>
      <c r="H195" s="120"/>
      <c r="I195" s="131">
        <v>1</v>
      </c>
      <c r="J195" s="133" t="s">
        <v>2387</v>
      </c>
      <c r="K195" s="133">
        <v>3</v>
      </c>
      <c r="L195" s="117">
        <v>71.099999999999994</v>
      </c>
      <c r="M195" s="133">
        <f t="shared" si="23"/>
        <v>32.099999999999994</v>
      </c>
      <c r="N195" s="157"/>
      <c r="O195" s="158"/>
      <c r="P195" s="158"/>
      <c r="Q195" s="158"/>
      <c r="R195" s="158"/>
      <c r="S195" s="158"/>
      <c r="T195" s="158"/>
      <c r="U195" s="158"/>
      <c r="V195" s="158"/>
      <c r="W195" s="158"/>
      <c r="X195" s="158"/>
      <c r="Y195" s="158"/>
      <c r="Z195" s="158"/>
      <c r="AA195" s="158"/>
    </row>
    <row r="196" spans="1:27" ht="15.75" customHeight="1" x14ac:dyDescent="0.55000000000000004">
      <c r="A196" s="180">
        <v>32</v>
      </c>
      <c r="B196" s="180" t="s">
        <v>1081</v>
      </c>
      <c r="C196" s="180" t="s">
        <v>1082</v>
      </c>
      <c r="D196" s="179">
        <v>31644</v>
      </c>
      <c r="E196" s="131" t="s">
        <v>2575</v>
      </c>
      <c r="F196" s="131">
        <v>38</v>
      </c>
      <c r="G196" s="120">
        <v>0</v>
      </c>
      <c r="H196" s="120"/>
      <c r="I196" s="131">
        <v>1</v>
      </c>
      <c r="J196" s="133" t="s">
        <v>2391</v>
      </c>
      <c r="K196" s="133">
        <v>3</v>
      </c>
      <c r="L196" s="117">
        <v>65.599999999999994</v>
      </c>
      <c r="M196" s="133">
        <f t="shared" si="23"/>
        <v>27.599999999999994</v>
      </c>
      <c r="N196" s="157"/>
      <c r="O196" s="158"/>
      <c r="P196" s="158"/>
      <c r="Q196" s="158"/>
      <c r="R196" s="158"/>
      <c r="S196" s="158"/>
      <c r="T196" s="158"/>
      <c r="U196" s="158"/>
      <c r="V196" s="158"/>
      <c r="W196" s="158"/>
      <c r="X196" s="158"/>
      <c r="Y196" s="158"/>
      <c r="Z196" s="158"/>
      <c r="AA196" s="158"/>
    </row>
    <row r="197" spans="1:27" ht="15.75" customHeight="1" x14ac:dyDescent="0.55000000000000004">
      <c r="A197" s="180">
        <v>32</v>
      </c>
      <c r="B197" s="180" t="s">
        <v>1081</v>
      </c>
      <c r="C197" s="180" t="s">
        <v>1082</v>
      </c>
      <c r="D197" s="179">
        <v>31644</v>
      </c>
      <c r="E197" s="120" t="s">
        <v>2576</v>
      </c>
      <c r="F197" s="131">
        <v>47</v>
      </c>
      <c r="G197" s="120">
        <v>1</v>
      </c>
      <c r="H197" s="131">
        <v>0</v>
      </c>
      <c r="I197" s="131">
        <v>1</v>
      </c>
      <c r="J197" s="133" t="s">
        <v>2387</v>
      </c>
      <c r="K197" s="133">
        <v>3</v>
      </c>
      <c r="L197" s="117">
        <v>72.2</v>
      </c>
      <c r="M197" s="133">
        <f t="shared" si="23"/>
        <v>25.200000000000003</v>
      </c>
      <c r="N197" s="157"/>
      <c r="O197" s="158"/>
      <c r="P197" s="158"/>
      <c r="Q197" s="158"/>
      <c r="R197" s="158"/>
      <c r="S197" s="158"/>
      <c r="T197" s="158"/>
      <c r="U197" s="158"/>
      <c r="V197" s="158"/>
      <c r="W197" s="158"/>
      <c r="X197" s="158"/>
      <c r="Y197" s="158"/>
      <c r="Z197" s="158"/>
      <c r="AA197" s="158"/>
    </row>
    <row r="198" spans="1:27" ht="15.75" customHeight="1" x14ac:dyDescent="0.55000000000000004">
      <c r="A198" s="180">
        <v>32</v>
      </c>
      <c r="B198" s="180" t="s">
        <v>1081</v>
      </c>
      <c r="C198" s="180" t="s">
        <v>1082</v>
      </c>
      <c r="D198" s="179">
        <v>31644</v>
      </c>
      <c r="E198" s="120" t="s">
        <v>2577</v>
      </c>
      <c r="F198" s="131">
        <v>30</v>
      </c>
      <c r="G198" s="120">
        <v>1</v>
      </c>
      <c r="H198" s="120"/>
      <c r="I198" s="131">
        <v>1</v>
      </c>
      <c r="J198" s="133" t="s">
        <v>2387</v>
      </c>
      <c r="K198" s="133">
        <v>3</v>
      </c>
      <c r="L198" s="117">
        <v>73.099999999999994</v>
      </c>
      <c r="M198" s="133">
        <f t="shared" si="23"/>
        <v>43.099999999999994</v>
      </c>
      <c r="N198" s="157"/>
      <c r="O198" s="158"/>
      <c r="P198" s="158"/>
      <c r="Q198" s="158"/>
      <c r="R198" s="158"/>
      <c r="S198" s="158"/>
      <c r="T198" s="158"/>
      <c r="U198" s="158"/>
      <c r="V198" s="158"/>
      <c r="W198" s="158"/>
      <c r="X198" s="158"/>
      <c r="Y198" s="158"/>
      <c r="Z198" s="158"/>
      <c r="AA198" s="158"/>
    </row>
    <row r="199" spans="1:27" ht="15.75" customHeight="1" x14ac:dyDescent="0.55000000000000004">
      <c r="A199" s="180">
        <v>32</v>
      </c>
      <c r="B199" s="180" t="s">
        <v>1081</v>
      </c>
      <c r="C199" s="180" t="s">
        <v>1082</v>
      </c>
      <c r="D199" s="179">
        <v>31644</v>
      </c>
      <c r="E199" s="131" t="s">
        <v>2578</v>
      </c>
      <c r="F199" s="131">
        <v>49</v>
      </c>
      <c r="G199" s="120">
        <v>1</v>
      </c>
      <c r="H199" s="131">
        <v>0</v>
      </c>
      <c r="I199" s="131">
        <v>1</v>
      </c>
      <c r="J199" s="133" t="s">
        <v>2391</v>
      </c>
      <c r="K199" s="133">
        <v>3</v>
      </c>
      <c r="L199" s="117">
        <v>72.2</v>
      </c>
      <c r="M199" s="133">
        <f t="shared" si="23"/>
        <v>23.200000000000003</v>
      </c>
      <c r="N199" s="157"/>
      <c r="O199" s="158"/>
      <c r="P199" s="158"/>
      <c r="Q199" s="158"/>
      <c r="R199" s="158"/>
      <c r="S199" s="158"/>
      <c r="T199" s="158"/>
      <c r="U199" s="158"/>
      <c r="V199" s="158"/>
      <c r="W199" s="158"/>
      <c r="X199" s="158"/>
      <c r="Y199" s="158"/>
      <c r="Z199" s="158"/>
      <c r="AA199" s="158"/>
    </row>
    <row r="200" spans="1:27" ht="15.75" customHeight="1" x14ac:dyDescent="0.55000000000000004">
      <c r="A200" s="180">
        <v>32</v>
      </c>
      <c r="B200" s="180" t="s">
        <v>1081</v>
      </c>
      <c r="C200" s="180" t="s">
        <v>1082</v>
      </c>
      <c r="D200" s="179">
        <v>31644</v>
      </c>
      <c r="E200" s="131" t="s">
        <v>2579</v>
      </c>
      <c r="F200" s="131">
        <v>30</v>
      </c>
      <c r="G200" s="120">
        <v>0</v>
      </c>
      <c r="H200" s="120"/>
      <c r="I200" s="131">
        <v>1</v>
      </c>
      <c r="J200" s="133" t="s">
        <v>2387</v>
      </c>
      <c r="K200" s="133">
        <v>3</v>
      </c>
      <c r="L200" s="117">
        <v>66.599999999999994</v>
      </c>
      <c r="M200" s="133">
        <f t="shared" si="23"/>
        <v>36.599999999999994</v>
      </c>
      <c r="N200" s="157"/>
      <c r="O200" s="158"/>
      <c r="P200" s="158"/>
      <c r="Q200" s="158"/>
      <c r="R200" s="158"/>
      <c r="S200" s="158"/>
      <c r="T200" s="158"/>
      <c r="U200" s="158"/>
      <c r="V200" s="158"/>
      <c r="W200" s="158"/>
      <c r="X200" s="158"/>
      <c r="Y200" s="158"/>
      <c r="Z200" s="158"/>
      <c r="AA200" s="158"/>
    </row>
    <row r="201" spans="1:27" ht="15.75" customHeight="1" x14ac:dyDescent="0.55000000000000004">
      <c r="A201" s="180">
        <v>32</v>
      </c>
      <c r="B201" s="180" t="s">
        <v>1081</v>
      </c>
      <c r="C201" s="180" t="s">
        <v>1082</v>
      </c>
      <c r="D201" s="179">
        <v>31644</v>
      </c>
      <c r="E201" s="131" t="s">
        <v>2580</v>
      </c>
      <c r="F201" s="131">
        <v>49</v>
      </c>
      <c r="G201" s="120">
        <v>0</v>
      </c>
      <c r="H201" s="120"/>
      <c r="I201" s="131">
        <v>1</v>
      </c>
      <c r="J201" s="133" t="s">
        <v>2387</v>
      </c>
      <c r="K201" s="133">
        <v>3</v>
      </c>
      <c r="L201" s="117">
        <v>65.599999999999994</v>
      </c>
      <c r="M201" s="133">
        <f t="shared" si="23"/>
        <v>16.599999999999994</v>
      </c>
      <c r="N201" s="157"/>
      <c r="O201" s="158"/>
      <c r="P201" s="158"/>
      <c r="Q201" s="158"/>
      <c r="R201" s="158"/>
      <c r="S201" s="158"/>
      <c r="T201" s="158"/>
      <c r="U201" s="158"/>
      <c r="V201" s="158"/>
      <c r="W201" s="158"/>
      <c r="X201" s="158"/>
      <c r="Y201" s="158"/>
      <c r="Z201" s="158"/>
      <c r="AA201" s="158"/>
    </row>
    <row r="202" spans="1:27" ht="15.75" customHeight="1" x14ac:dyDescent="0.55000000000000004">
      <c r="A202" s="180">
        <v>32</v>
      </c>
      <c r="B202" s="180" t="s">
        <v>1081</v>
      </c>
      <c r="C202" s="180" t="s">
        <v>1082</v>
      </c>
      <c r="D202" s="179">
        <v>31644</v>
      </c>
      <c r="E202" s="131" t="s">
        <v>2581</v>
      </c>
      <c r="F202" s="131">
        <v>34</v>
      </c>
      <c r="G202" s="120">
        <v>1</v>
      </c>
      <c r="H202" s="120"/>
      <c r="I202" s="131">
        <v>1</v>
      </c>
      <c r="J202" s="133" t="s">
        <v>2387</v>
      </c>
      <c r="K202" s="133">
        <v>3</v>
      </c>
      <c r="L202" s="117">
        <v>71.099999999999994</v>
      </c>
      <c r="M202" s="133">
        <f t="shared" si="23"/>
        <v>37.099999999999994</v>
      </c>
      <c r="N202" s="157"/>
      <c r="O202" s="158"/>
      <c r="P202" s="158"/>
      <c r="Q202" s="158"/>
      <c r="R202" s="158"/>
      <c r="S202" s="158"/>
      <c r="T202" s="158"/>
      <c r="U202" s="158"/>
      <c r="V202" s="158"/>
      <c r="W202" s="158"/>
      <c r="X202" s="158"/>
      <c r="Y202" s="158"/>
      <c r="Z202" s="158"/>
      <c r="AA202" s="158"/>
    </row>
    <row r="203" spans="1:27" ht="15.75" customHeight="1" x14ac:dyDescent="0.55000000000000004">
      <c r="A203" s="180">
        <v>32</v>
      </c>
      <c r="B203" s="180" t="s">
        <v>1081</v>
      </c>
      <c r="C203" s="180" t="s">
        <v>1082</v>
      </c>
      <c r="D203" s="179">
        <v>31644</v>
      </c>
      <c r="E203" s="131" t="s">
        <v>2582</v>
      </c>
      <c r="F203" s="131">
        <v>42</v>
      </c>
      <c r="G203" s="120">
        <v>0</v>
      </c>
      <c r="H203" s="120"/>
      <c r="I203" s="131">
        <v>1</v>
      </c>
      <c r="J203" s="133" t="s">
        <v>2387</v>
      </c>
      <c r="K203" s="133">
        <v>3</v>
      </c>
      <c r="L203" s="117">
        <v>65.599999999999994</v>
      </c>
      <c r="M203" s="133">
        <f t="shared" si="23"/>
        <v>23.599999999999994</v>
      </c>
      <c r="N203" s="157"/>
      <c r="O203" s="158"/>
      <c r="P203" s="158"/>
      <c r="Q203" s="158"/>
      <c r="R203" s="158"/>
      <c r="S203" s="158"/>
      <c r="T203" s="158"/>
      <c r="U203" s="158"/>
      <c r="V203" s="158"/>
      <c r="W203" s="158"/>
      <c r="X203" s="158"/>
      <c r="Y203" s="158"/>
      <c r="Z203" s="158"/>
      <c r="AA203" s="158"/>
    </row>
    <row r="204" spans="1:27" ht="15.75" customHeight="1" x14ac:dyDescent="0.55000000000000004">
      <c r="A204" s="180">
        <v>32</v>
      </c>
      <c r="B204" s="180" t="s">
        <v>1081</v>
      </c>
      <c r="C204" s="180" t="s">
        <v>1082</v>
      </c>
      <c r="D204" s="179">
        <v>31644</v>
      </c>
      <c r="E204" s="131" t="s">
        <v>2583</v>
      </c>
      <c r="F204" s="131">
        <v>51</v>
      </c>
      <c r="G204" s="120">
        <v>0</v>
      </c>
      <c r="H204" s="120"/>
      <c r="I204" s="131">
        <v>1</v>
      </c>
      <c r="J204" s="133" t="s">
        <v>2387</v>
      </c>
      <c r="K204" s="133">
        <v>3</v>
      </c>
      <c r="L204" s="117">
        <v>65.599999999999994</v>
      </c>
      <c r="M204" s="133">
        <f t="shared" si="23"/>
        <v>14.599999999999994</v>
      </c>
      <c r="N204" s="157"/>
      <c r="O204" s="158"/>
      <c r="P204" s="158"/>
      <c r="Q204" s="158"/>
      <c r="R204" s="158"/>
      <c r="S204" s="158"/>
      <c r="T204" s="158"/>
      <c r="U204" s="158"/>
      <c r="V204" s="158"/>
      <c r="W204" s="158"/>
      <c r="X204" s="158"/>
      <c r="Y204" s="158"/>
      <c r="Z204" s="158"/>
      <c r="AA204" s="158"/>
    </row>
    <row r="205" spans="1:27" ht="15.75" customHeight="1" x14ac:dyDescent="0.55000000000000004">
      <c r="A205" s="180">
        <v>32</v>
      </c>
      <c r="B205" s="180" t="s">
        <v>1081</v>
      </c>
      <c r="C205" s="180" t="s">
        <v>1082</v>
      </c>
      <c r="D205" s="179">
        <v>31644</v>
      </c>
      <c r="E205" s="131" t="s">
        <v>2584</v>
      </c>
      <c r="F205" s="131">
        <v>33</v>
      </c>
      <c r="G205" s="120">
        <v>0</v>
      </c>
      <c r="H205" s="120"/>
      <c r="I205" s="131">
        <v>1</v>
      </c>
      <c r="J205" s="133" t="s">
        <v>2387</v>
      </c>
      <c r="K205" s="133">
        <v>3</v>
      </c>
      <c r="L205" s="117">
        <v>65.599999999999994</v>
      </c>
      <c r="M205" s="133">
        <f t="shared" si="23"/>
        <v>32.599999999999994</v>
      </c>
      <c r="N205" s="157"/>
      <c r="O205" s="158"/>
      <c r="P205" s="158"/>
      <c r="Q205" s="158"/>
      <c r="R205" s="158"/>
      <c r="S205" s="158"/>
      <c r="T205" s="158"/>
      <c r="U205" s="158"/>
      <c r="V205" s="158"/>
      <c r="W205" s="158"/>
      <c r="X205" s="158"/>
      <c r="Y205" s="158"/>
      <c r="Z205" s="158"/>
      <c r="AA205" s="158"/>
    </row>
    <row r="206" spans="1:27" ht="15.75" customHeight="1" x14ac:dyDescent="0.55000000000000004">
      <c r="A206" s="180">
        <v>32</v>
      </c>
      <c r="B206" s="180" t="s">
        <v>1081</v>
      </c>
      <c r="C206" s="180" t="s">
        <v>1082</v>
      </c>
      <c r="D206" s="179">
        <v>31644</v>
      </c>
      <c r="E206" s="131" t="s">
        <v>2585</v>
      </c>
      <c r="F206" s="131">
        <v>31</v>
      </c>
      <c r="G206" s="120">
        <v>0</v>
      </c>
      <c r="H206" s="120"/>
      <c r="I206" s="131">
        <v>1</v>
      </c>
      <c r="J206" s="133" t="s">
        <v>2387</v>
      </c>
      <c r="K206" s="133">
        <v>3</v>
      </c>
      <c r="L206" s="117">
        <v>66.599999999999994</v>
      </c>
      <c r="M206" s="133">
        <f t="shared" si="23"/>
        <v>35.599999999999994</v>
      </c>
      <c r="N206" s="157"/>
      <c r="O206" s="158"/>
      <c r="P206" s="158"/>
      <c r="Q206" s="158"/>
      <c r="R206" s="158"/>
      <c r="S206" s="158"/>
      <c r="T206" s="158"/>
      <c r="U206" s="158"/>
      <c r="V206" s="158"/>
      <c r="W206" s="158"/>
      <c r="X206" s="158"/>
      <c r="Y206" s="158"/>
      <c r="Z206" s="158"/>
      <c r="AA206" s="158"/>
    </row>
    <row r="207" spans="1:27" ht="15.75" customHeight="1" x14ac:dyDescent="0.55000000000000004">
      <c r="A207" s="180">
        <v>32</v>
      </c>
      <c r="B207" s="180" t="s">
        <v>1081</v>
      </c>
      <c r="C207" s="180" t="s">
        <v>1082</v>
      </c>
      <c r="D207" s="179">
        <v>31644</v>
      </c>
      <c r="E207" s="131" t="s">
        <v>2586</v>
      </c>
      <c r="F207" s="131">
        <v>27</v>
      </c>
      <c r="G207" s="120">
        <v>1</v>
      </c>
      <c r="H207" s="120"/>
      <c r="I207" s="131">
        <v>1</v>
      </c>
      <c r="J207" s="133" t="s">
        <v>2387</v>
      </c>
      <c r="K207" s="133">
        <v>3</v>
      </c>
      <c r="L207" s="117">
        <v>73.099999999999994</v>
      </c>
      <c r="M207" s="133">
        <f t="shared" si="23"/>
        <v>46.099999999999994</v>
      </c>
      <c r="N207" s="157"/>
      <c r="O207" s="158"/>
      <c r="P207" s="158"/>
      <c r="Q207" s="158"/>
      <c r="R207" s="158"/>
      <c r="S207" s="158"/>
      <c r="T207" s="158"/>
      <c r="U207" s="158"/>
      <c r="V207" s="158"/>
      <c r="W207" s="158"/>
      <c r="X207" s="158"/>
      <c r="Y207" s="158"/>
      <c r="Z207" s="158"/>
      <c r="AA207" s="158"/>
    </row>
    <row r="208" spans="1:27" ht="15.75" customHeight="1" x14ac:dyDescent="0.55000000000000004">
      <c r="A208" s="162">
        <v>33</v>
      </c>
      <c r="B208" s="162" t="s">
        <v>1088</v>
      </c>
      <c r="C208" s="162" t="s">
        <v>999</v>
      </c>
      <c r="D208" s="163">
        <v>31890</v>
      </c>
      <c r="E208" s="120" t="s">
        <v>2587</v>
      </c>
      <c r="F208" s="161" t="str">
        <f>HYPERLINK("https://www.nytimes.com/1987/04/25/us/florida-gunman-charged-with-killing-6.html","18")</f>
        <v>18</v>
      </c>
      <c r="G208" s="120">
        <v>0</v>
      </c>
      <c r="H208" s="120">
        <v>4</v>
      </c>
      <c r="I208" s="120">
        <v>0</v>
      </c>
      <c r="J208" s="133" t="s">
        <v>853</v>
      </c>
      <c r="K208" s="133">
        <v>0</v>
      </c>
      <c r="L208" s="117">
        <v>67.099999999999994</v>
      </c>
      <c r="M208" s="133">
        <f t="shared" si="23"/>
        <v>49.099999999999994</v>
      </c>
      <c r="N208" s="157"/>
      <c r="O208" s="158"/>
      <c r="P208" s="158"/>
      <c r="Q208" s="158"/>
      <c r="R208" s="158"/>
      <c r="S208" s="158"/>
      <c r="T208" s="158"/>
      <c r="U208" s="158"/>
      <c r="V208" s="158"/>
      <c r="W208" s="158"/>
      <c r="X208" s="158"/>
      <c r="Y208" s="158"/>
      <c r="Z208" s="158"/>
      <c r="AA208" s="158"/>
    </row>
    <row r="209" spans="1:27" ht="15.75" customHeight="1" x14ac:dyDescent="0.55000000000000004">
      <c r="A209" s="162">
        <v>33</v>
      </c>
      <c r="B209" s="162" t="s">
        <v>1088</v>
      </c>
      <c r="C209" s="162" t="s">
        <v>999</v>
      </c>
      <c r="D209" s="163">
        <v>31890</v>
      </c>
      <c r="E209" s="120" t="s">
        <v>2588</v>
      </c>
      <c r="F209" s="161" t="str">
        <f>HYPERLINK("https://www.nytimes.com/1987/04/25/us/florida-gunman-charged-with-killing-6.html","25")</f>
        <v>25</v>
      </c>
      <c r="G209" s="120">
        <v>0</v>
      </c>
      <c r="H209" s="120">
        <v>4</v>
      </c>
      <c r="I209" s="120">
        <v>0</v>
      </c>
      <c r="J209" s="133" t="s">
        <v>853</v>
      </c>
      <c r="K209" s="133">
        <v>0</v>
      </c>
      <c r="L209" s="117">
        <v>66.599999999999994</v>
      </c>
      <c r="M209" s="133">
        <f t="shared" si="23"/>
        <v>41.599999999999994</v>
      </c>
      <c r="N209" s="157"/>
      <c r="O209" s="158"/>
      <c r="P209" s="158"/>
      <c r="Q209" s="158"/>
      <c r="R209" s="158"/>
      <c r="S209" s="158"/>
      <c r="T209" s="158"/>
      <c r="U209" s="158"/>
      <c r="V209" s="158"/>
      <c r="W209" s="158"/>
      <c r="X209" s="158"/>
      <c r="Y209" s="158"/>
      <c r="Z209" s="158"/>
      <c r="AA209" s="158"/>
    </row>
    <row r="210" spans="1:27" ht="15.75" customHeight="1" x14ac:dyDescent="0.55000000000000004">
      <c r="A210" s="162">
        <v>33</v>
      </c>
      <c r="B210" s="162" t="s">
        <v>1088</v>
      </c>
      <c r="C210" s="162" t="s">
        <v>999</v>
      </c>
      <c r="D210" s="163">
        <v>31890</v>
      </c>
      <c r="E210" s="120" t="s">
        <v>2589</v>
      </c>
      <c r="F210" s="131">
        <v>28</v>
      </c>
      <c r="G210" s="120">
        <v>0</v>
      </c>
      <c r="H210" s="131">
        <v>0</v>
      </c>
      <c r="I210" s="120">
        <v>0</v>
      </c>
      <c r="J210" s="133" t="s">
        <v>853</v>
      </c>
      <c r="K210" s="133">
        <v>0</v>
      </c>
      <c r="L210" s="117">
        <v>67.400000000000006</v>
      </c>
      <c r="M210" s="133">
        <f t="shared" si="23"/>
        <v>39.400000000000006</v>
      </c>
      <c r="N210" s="157"/>
      <c r="O210" s="158"/>
      <c r="P210" s="158"/>
      <c r="Q210" s="158"/>
      <c r="R210" s="158"/>
      <c r="S210" s="158"/>
      <c r="T210" s="158"/>
      <c r="U210" s="158"/>
      <c r="V210" s="158"/>
      <c r="W210" s="158"/>
      <c r="X210" s="158"/>
      <c r="Y210" s="158"/>
      <c r="Z210" s="158"/>
      <c r="AA210" s="158"/>
    </row>
    <row r="211" spans="1:27" ht="15.75" customHeight="1" x14ac:dyDescent="0.55000000000000004">
      <c r="A211" s="162">
        <v>33</v>
      </c>
      <c r="B211" s="162" t="s">
        <v>1088</v>
      </c>
      <c r="C211" s="162" t="s">
        <v>999</v>
      </c>
      <c r="D211" s="163">
        <v>31890</v>
      </c>
      <c r="E211" s="120" t="s">
        <v>2590</v>
      </c>
      <c r="F211" s="131">
        <v>27</v>
      </c>
      <c r="G211" s="120">
        <v>0</v>
      </c>
      <c r="H211" s="131">
        <v>0</v>
      </c>
      <c r="I211" s="120">
        <v>0</v>
      </c>
      <c r="J211" s="133" t="s">
        <v>853</v>
      </c>
      <c r="K211" s="133">
        <v>0</v>
      </c>
      <c r="L211" s="117">
        <v>67.400000000000006</v>
      </c>
      <c r="M211" s="133">
        <f t="shared" si="23"/>
        <v>40.400000000000006</v>
      </c>
      <c r="N211" s="157"/>
      <c r="O211" s="158"/>
      <c r="P211" s="158"/>
      <c r="Q211" s="158"/>
      <c r="R211" s="158"/>
      <c r="S211" s="158"/>
      <c r="T211" s="158"/>
      <c r="U211" s="158"/>
      <c r="V211" s="158"/>
      <c r="W211" s="158"/>
      <c r="X211" s="158"/>
      <c r="Y211" s="158"/>
      <c r="Z211" s="158"/>
      <c r="AA211" s="158"/>
    </row>
    <row r="212" spans="1:27" ht="15.75" customHeight="1" x14ac:dyDescent="0.55000000000000004">
      <c r="A212" s="162">
        <v>33</v>
      </c>
      <c r="B212" s="162" t="s">
        <v>1088</v>
      </c>
      <c r="C212" s="162" t="s">
        <v>999</v>
      </c>
      <c r="D212" s="163">
        <v>31890</v>
      </c>
      <c r="E212" s="120" t="s">
        <v>2591</v>
      </c>
      <c r="F212" s="131">
        <v>67</v>
      </c>
      <c r="G212" s="120">
        <v>1</v>
      </c>
      <c r="H212" s="120"/>
      <c r="I212" s="120">
        <v>0</v>
      </c>
      <c r="J212" s="133" t="s">
        <v>853</v>
      </c>
      <c r="K212" s="133">
        <v>0</v>
      </c>
      <c r="L212" s="117">
        <v>83.9</v>
      </c>
      <c r="M212" s="133">
        <f t="shared" si="23"/>
        <v>16.900000000000006</v>
      </c>
      <c r="N212" s="157"/>
      <c r="O212" s="158"/>
      <c r="P212" s="158"/>
      <c r="Q212" s="158"/>
      <c r="R212" s="158"/>
      <c r="S212" s="158"/>
      <c r="T212" s="158"/>
      <c r="U212" s="158"/>
      <c r="V212" s="158"/>
      <c r="W212" s="158"/>
      <c r="X212" s="158"/>
      <c r="Y212" s="158"/>
      <c r="Z212" s="158"/>
      <c r="AA212" s="158"/>
    </row>
    <row r="213" spans="1:27" ht="15.75" customHeight="1" x14ac:dyDescent="0.55000000000000004">
      <c r="A213" s="162">
        <v>33</v>
      </c>
      <c r="B213" s="162" t="s">
        <v>1088</v>
      </c>
      <c r="C213" s="162" t="s">
        <v>999</v>
      </c>
      <c r="D213" s="163">
        <v>31890</v>
      </c>
      <c r="E213" s="120" t="s">
        <v>2592</v>
      </c>
      <c r="F213" s="131">
        <v>52</v>
      </c>
      <c r="G213" s="120">
        <v>0</v>
      </c>
      <c r="H213" s="120"/>
      <c r="I213" s="120">
        <v>0</v>
      </c>
      <c r="J213" s="133" t="s">
        <v>853</v>
      </c>
      <c r="K213" s="133">
        <v>0</v>
      </c>
      <c r="L213" s="117">
        <v>65.599999999999994</v>
      </c>
      <c r="M213" s="133">
        <f t="shared" si="23"/>
        <v>13.599999999999994</v>
      </c>
      <c r="N213" s="157"/>
      <c r="O213" s="158"/>
      <c r="P213" s="158"/>
      <c r="Q213" s="158"/>
      <c r="R213" s="158"/>
      <c r="S213" s="158"/>
      <c r="T213" s="158"/>
      <c r="U213" s="158"/>
      <c r="V213" s="158"/>
      <c r="W213" s="158"/>
      <c r="X213" s="158"/>
      <c r="Y213" s="158"/>
      <c r="Z213" s="158"/>
      <c r="AA213" s="158"/>
    </row>
    <row r="214" spans="1:27" ht="15.75" customHeight="1" x14ac:dyDescent="0.55000000000000004">
      <c r="A214" s="159">
        <v>34</v>
      </c>
      <c r="B214" s="159" t="s">
        <v>1094</v>
      </c>
      <c r="C214" s="159" t="s">
        <v>1095</v>
      </c>
      <c r="D214" s="160">
        <v>32189</v>
      </c>
      <c r="E214" s="120" t="s">
        <v>2593</v>
      </c>
      <c r="F214" s="131">
        <v>36</v>
      </c>
      <c r="G214" s="120">
        <v>0</v>
      </c>
      <c r="H214" s="120"/>
      <c r="I214" s="131">
        <v>0</v>
      </c>
      <c r="J214" s="133" t="s">
        <v>853</v>
      </c>
      <c r="K214" s="133">
        <v>0</v>
      </c>
      <c r="L214" s="117">
        <v>65.599999999999994</v>
      </c>
      <c r="M214" s="133">
        <f t="shared" si="23"/>
        <v>29.599999999999994</v>
      </c>
      <c r="N214" s="157"/>
      <c r="O214" s="158"/>
      <c r="P214" s="158"/>
      <c r="Q214" s="158"/>
      <c r="R214" s="158"/>
      <c r="S214" s="158"/>
      <c r="T214" s="158"/>
      <c r="U214" s="158"/>
      <c r="V214" s="158"/>
      <c r="W214" s="158"/>
      <c r="X214" s="158"/>
      <c r="Y214" s="158"/>
      <c r="Z214" s="158"/>
      <c r="AA214" s="158"/>
    </row>
    <row r="215" spans="1:27" ht="15.75" customHeight="1" x14ac:dyDescent="0.55000000000000004">
      <c r="A215" s="159">
        <v>34</v>
      </c>
      <c r="B215" s="159" t="s">
        <v>1094</v>
      </c>
      <c r="C215" s="159" t="s">
        <v>1095</v>
      </c>
      <c r="D215" s="160">
        <v>32189</v>
      </c>
      <c r="E215" s="131" t="s">
        <v>2594</v>
      </c>
      <c r="F215" s="131">
        <v>46</v>
      </c>
      <c r="G215" s="120">
        <v>0</v>
      </c>
      <c r="H215" s="120"/>
      <c r="I215" s="131">
        <v>1</v>
      </c>
      <c r="J215" s="133" t="s">
        <v>2595</v>
      </c>
      <c r="K215" s="133">
        <v>3</v>
      </c>
      <c r="L215" s="117">
        <v>65.599999999999994</v>
      </c>
      <c r="M215" s="133">
        <f t="shared" si="23"/>
        <v>19.599999999999994</v>
      </c>
      <c r="N215" s="157"/>
      <c r="O215" s="158"/>
      <c r="P215" s="158"/>
      <c r="Q215" s="158"/>
      <c r="R215" s="158"/>
      <c r="S215" s="158"/>
      <c r="T215" s="158"/>
      <c r="U215" s="158"/>
      <c r="V215" s="158"/>
      <c r="W215" s="158"/>
      <c r="X215" s="158"/>
      <c r="Y215" s="158"/>
      <c r="Z215" s="158"/>
      <c r="AA215" s="158"/>
    </row>
    <row r="216" spans="1:27" ht="15.75" customHeight="1" x14ac:dyDescent="0.55000000000000004">
      <c r="A216" s="159">
        <v>34</v>
      </c>
      <c r="B216" s="159" t="s">
        <v>1094</v>
      </c>
      <c r="C216" s="159" t="s">
        <v>1095</v>
      </c>
      <c r="D216" s="160">
        <v>32189</v>
      </c>
      <c r="E216" s="120" t="s">
        <v>2596</v>
      </c>
      <c r="F216" s="131">
        <v>49</v>
      </c>
      <c r="G216" s="120">
        <v>1</v>
      </c>
      <c r="H216" s="120"/>
      <c r="I216" s="131">
        <v>0</v>
      </c>
      <c r="J216" s="133" t="s">
        <v>853</v>
      </c>
      <c r="K216" s="133">
        <v>0</v>
      </c>
      <c r="L216" s="117">
        <v>71.099999999999994</v>
      </c>
      <c r="M216" s="133">
        <f t="shared" si="23"/>
        <v>22.099999999999994</v>
      </c>
      <c r="N216" s="157"/>
      <c r="O216" s="158"/>
      <c r="P216" s="158"/>
      <c r="Q216" s="158"/>
      <c r="R216" s="158"/>
      <c r="S216" s="158"/>
      <c r="T216" s="158"/>
      <c r="U216" s="158"/>
      <c r="V216" s="158"/>
      <c r="W216" s="158"/>
      <c r="X216" s="158"/>
      <c r="Y216" s="158"/>
      <c r="Z216" s="158"/>
      <c r="AA216" s="158"/>
    </row>
    <row r="217" spans="1:27" ht="15.75" customHeight="1" x14ac:dyDescent="0.55000000000000004">
      <c r="A217" s="159">
        <v>34</v>
      </c>
      <c r="B217" s="159" t="s">
        <v>1094</v>
      </c>
      <c r="C217" s="159" t="s">
        <v>1095</v>
      </c>
      <c r="D217" s="160">
        <v>32189</v>
      </c>
      <c r="E217" s="120" t="s">
        <v>2597</v>
      </c>
      <c r="F217" s="131">
        <v>27</v>
      </c>
      <c r="G217" s="120">
        <v>1</v>
      </c>
      <c r="H217" s="120"/>
      <c r="I217" s="131">
        <v>0</v>
      </c>
      <c r="J217" s="133" t="s">
        <v>853</v>
      </c>
      <c r="K217" s="133">
        <v>0</v>
      </c>
      <c r="L217" s="117">
        <v>73.099999999999994</v>
      </c>
      <c r="M217" s="133">
        <f t="shared" si="23"/>
        <v>46.099999999999994</v>
      </c>
      <c r="N217" s="157"/>
      <c r="O217" s="158"/>
      <c r="P217" s="158"/>
      <c r="Q217" s="158"/>
      <c r="R217" s="158"/>
      <c r="S217" s="158"/>
      <c r="T217" s="158"/>
      <c r="U217" s="158"/>
      <c r="V217" s="158"/>
      <c r="W217" s="158"/>
      <c r="X217" s="158"/>
      <c r="Y217" s="158"/>
      <c r="Z217" s="158"/>
      <c r="AA217" s="158"/>
    </row>
    <row r="218" spans="1:27" ht="15.75" customHeight="1" x14ac:dyDescent="0.55000000000000004">
      <c r="A218" s="159">
        <v>34</v>
      </c>
      <c r="B218" s="159" t="s">
        <v>1094</v>
      </c>
      <c r="C218" s="159" t="s">
        <v>1095</v>
      </c>
      <c r="D218" s="160">
        <v>32189</v>
      </c>
      <c r="E218" s="120" t="s">
        <v>2598</v>
      </c>
      <c r="F218" s="131">
        <v>26</v>
      </c>
      <c r="G218" s="120">
        <v>0</v>
      </c>
      <c r="H218" s="131">
        <v>0</v>
      </c>
      <c r="I218" s="131">
        <v>0</v>
      </c>
      <c r="J218" s="133" t="s">
        <v>853</v>
      </c>
      <c r="K218" s="133">
        <v>0</v>
      </c>
      <c r="L218" s="117">
        <v>67.400000000000006</v>
      </c>
      <c r="M218" s="133">
        <f t="shared" si="23"/>
        <v>41.400000000000006</v>
      </c>
      <c r="N218" s="157"/>
      <c r="O218" s="158"/>
      <c r="P218" s="158"/>
      <c r="Q218" s="158"/>
      <c r="R218" s="158"/>
      <c r="S218" s="158"/>
      <c r="T218" s="158"/>
      <c r="U218" s="158"/>
      <c r="V218" s="158"/>
      <c r="W218" s="158"/>
      <c r="X218" s="158"/>
      <c r="Y218" s="158"/>
      <c r="Z218" s="158"/>
      <c r="AA218" s="158"/>
    </row>
    <row r="219" spans="1:27" ht="15.75" customHeight="1" x14ac:dyDescent="0.55000000000000004">
      <c r="A219" s="159">
        <v>34</v>
      </c>
      <c r="B219" s="159" t="s">
        <v>1094</v>
      </c>
      <c r="C219" s="159" t="s">
        <v>1095</v>
      </c>
      <c r="D219" s="160">
        <v>32189</v>
      </c>
      <c r="E219" s="131" t="s">
        <v>2599</v>
      </c>
      <c r="F219" s="131">
        <v>43</v>
      </c>
      <c r="G219" s="120">
        <v>0</v>
      </c>
      <c r="H219" s="120"/>
      <c r="I219" s="131">
        <v>0</v>
      </c>
      <c r="J219" s="133" t="s">
        <v>853</v>
      </c>
      <c r="K219" s="133">
        <v>0</v>
      </c>
      <c r="L219" s="117">
        <v>65.599999999999994</v>
      </c>
      <c r="M219" s="133">
        <f t="shared" si="23"/>
        <v>22.599999999999994</v>
      </c>
      <c r="N219" s="157"/>
      <c r="O219" s="158"/>
      <c r="P219" s="158"/>
      <c r="Q219" s="158"/>
      <c r="R219" s="158"/>
      <c r="S219" s="158"/>
      <c r="T219" s="158"/>
      <c r="U219" s="158"/>
      <c r="V219" s="158"/>
      <c r="W219" s="158"/>
      <c r="X219" s="158"/>
      <c r="Y219" s="158"/>
      <c r="Z219" s="158"/>
      <c r="AA219" s="158"/>
    </row>
    <row r="220" spans="1:27" ht="15.75" customHeight="1" x14ac:dyDescent="0.55000000000000004">
      <c r="A220" s="159">
        <v>34</v>
      </c>
      <c r="B220" s="159" t="s">
        <v>1094</v>
      </c>
      <c r="C220" s="159" t="s">
        <v>1095</v>
      </c>
      <c r="D220" s="160">
        <v>32189</v>
      </c>
      <c r="E220" s="131" t="s">
        <v>2600</v>
      </c>
      <c r="F220" s="131">
        <v>23</v>
      </c>
      <c r="G220" s="120">
        <v>0</v>
      </c>
      <c r="H220" s="120"/>
      <c r="I220" s="131">
        <v>0</v>
      </c>
      <c r="J220" s="133" t="s">
        <v>853</v>
      </c>
      <c r="K220" s="133">
        <v>0</v>
      </c>
      <c r="L220" s="117">
        <v>67.099999999999994</v>
      </c>
      <c r="M220" s="133">
        <f t="shared" si="23"/>
        <v>44.099999999999994</v>
      </c>
      <c r="N220" s="157"/>
      <c r="O220" s="158"/>
      <c r="P220" s="158"/>
      <c r="Q220" s="158"/>
      <c r="R220" s="158"/>
      <c r="S220" s="158"/>
      <c r="T220" s="158"/>
      <c r="U220" s="158"/>
      <c r="V220" s="158"/>
      <c r="W220" s="158"/>
      <c r="X220" s="158"/>
      <c r="Y220" s="158"/>
      <c r="Z220" s="158"/>
      <c r="AA220" s="158"/>
    </row>
    <row r="221" spans="1:27" ht="15.75" customHeight="1" x14ac:dyDescent="0.55000000000000004">
      <c r="A221" s="181">
        <v>35</v>
      </c>
      <c r="B221" s="181" t="s">
        <v>1102</v>
      </c>
      <c r="C221" s="181" t="s">
        <v>1046</v>
      </c>
      <c r="D221" s="182">
        <v>32341</v>
      </c>
      <c r="E221" s="120" t="s">
        <v>2601</v>
      </c>
      <c r="F221" s="131">
        <v>16</v>
      </c>
      <c r="G221" s="120">
        <v>1</v>
      </c>
      <c r="H221" s="131">
        <v>0</v>
      </c>
      <c r="I221" s="120">
        <v>0</v>
      </c>
      <c r="J221" s="133" t="s">
        <v>853</v>
      </c>
      <c r="K221" s="133">
        <v>0</v>
      </c>
      <c r="L221" s="117">
        <v>75.599999999999994</v>
      </c>
      <c r="M221" s="133">
        <f t="shared" si="23"/>
        <v>59.599999999999994</v>
      </c>
      <c r="N221" s="157"/>
      <c r="O221" s="158"/>
      <c r="P221" s="158"/>
      <c r="Q221" s="158"/>
      <c r="R221" s="158"/>
      <c r="S221" s="158"/>
      <c r="T221" s="158"/>
      <c r="U221" s="158"/>
      <c r="V221" s="158"/>
      <c r="W221" s="158"/>
      <c r="X221" s="158"/>
      <c r="Y221" s="158"/>
      <c r="Z221" s="158"/>
      <c r="AA221" s="158"/>
    </row>
    <row r="222" spans="1:27" ht="15.75" customHeight="1" x14ac:dyDescent="0.55000000000000004">
      <c r="A222" s="181">
        <v>35</v>
      </c>
      <c r="B222" s="181" t="s">
        <v>1102</v>
      </c>
      <c r="C222" s="181" t="s">
        <v>1046</v>
      </c>
      <c r="D222" s="182">
        <v>32341</v>
      </c>
      <c r="E222" s="120" t="s">
        <v>2602</v>
      </c>
      <c r="F222" s="131">
        <v>21</v>
      </c>
      <c r="G222" s="120">
        <v>1</v>
      </c>
      <c r="H222" s="120"/>
      <c r="I222" s="120">
        <v>0</v>
      </c>
      <c r="J222" s="133" t="s">
        <v>853</v>
      </c>
      <c r="K222" s="133">
        <v>0</v>
      </c>
      <c r="L222" s="117">
        <v>74.7</v>
      </c>
      <c r="M222" s="133">
        <f t="shared" si="23"/>
        <v>53.7</v>
      </c>
      <c r="N222" s="157"/>
      <c r="O222" s="158"/>
      <c r="P222" s="158"/>
      <c r="Q222" s="158"/>
      <c r="R222" s="158"/>
      <c r="S222" s="158"/>
      <c r="T222" s="158"/>
      <c r="U222" s="158"/>
      <c r="V222" s="158"/>
      <c r="W222" s="158"/>
      <c r="X222" s="158"/>
      <c r="Y222" s="158"/>
      <c r="Z222" s="158"/>
      <c r="AA222" s="158"/>
    </row>
    <row r="223" spans="1:27" ht="15.75" customHeight="1" x14ac:dyDescent="0.55000000000000004">
      <c r="A223" s="181">
        <v>35</v>
      </c>
      <c r="B223" s="181" t="s">
        <v>1102</v>
      </c>
      <c r="C223" s="181" t="s">
        <v>1046</v>
      </c>
      <c r="D223" s="182">
        <v>32341</v>
      </c>
      <c r="E223" s="120" t="s">
        <v>2603</v>
      </c>
      <c r="F223" s="131">
        <v>32</v>
      </c>
      <c r="G223" s="120">
        <v>0</v>
      </c>
      <c r="H223" s="120"/>
      <c r="I223" s="120">
        <v>0</v>
      </c>
      <c r="J223" s="133" t="s">
        <v>853</v>
      </c>
      <c r="K223" s="133">
        <v>0</v>
      </c>
      <c r="L223" s="117">
        <v>66.599999999999994</v>
      </c>
      <c r="M223" s="133">
        <f t="shared" si="23"/>
        <v>34.599999999999994</v>
      </c>
      <c r="N223" s="157"/>
      <c r="O223" s="158"/>
      <c r="P223" s="158"/>
      <c r="Q223" s="158"/>
      <c r="R223" s="158"/>
      <c r="S223" s="158"/>
      <c r="T223" s="158"/>
      <c r="U223" s="158"/>
      <c r="V223" s="158"/>
      <c r="W223" s="158"/>
      <c r="X223" s="158"/>
      <c r="Y223" s="158"/>
      <c r="Z223" s="158"/>
      <c r="AA223" s="158"/>
    </row>
    <row r="224" spans="1:27" ht="15.75" customHeight="1" x14ac:dyDescent="0.55000000000000004">
      <c r="A224" s="181">
        <v>35</v>
      </c>
      <c r="B224" s="181" t="s">
        <v>1102</v>
      </c>
      <c r="C224" s="181" t="s">
        <v>1046</v>
      </c>
      <c r="D224" s="182">
        <v>32341</v>
      </c>
      <c r="E224" s="120" t="s">
        <v>2604</v>
      </c>
      <c r="F224" s="131">
        <v>24</v>
      </c>
      <c r="G224" s="120">
        <v>0</v>
      </c>
      <c r="H224" s="131">
        <v>0</v>
      </c>
      <c r="I224" s="120">
        <v>0</v>
      </c>
      <c r="J224" s="133" t="s">
        <v>853</v>
      </c>
      <c r="K224" s="133">
        <v>0</v>
      </c>
      <c r="L224" s="117">
        <v>67.400000000000006</v>
      </c>
      <c r="M224" s="133">
        <f t="shared" si="23"/>
        <v>43.400000000000006</v>
      </c>
      <c r="N224" s="157"/>
      <c r="O224" s="158"/>
      <c r="P224" s="158"/>
      <c r="Q224" s="158"/>
      <c r="R224" s="158"/>
      <c r="S224" s="158"/>
      <c r="T224" s="158"/>
      <c r="U224" s="158"/>
      <c r="V224" s="158"/>
      <c r="W224" s="158"/>
      <c r="X224" s="158"/>
      <c r="Y224" s="158"/>
      <c r="Z224" s="158"/>
      <c r="AA224" s="158"/>
    </row>
    <row r="225" spans="1:27" ht="15.75" customHeight="1" x14ac:dyDescent="0.55000000000000004">
      <c r="A225" s="164">
        <v>36</v>
      </c>
      <c r="B225" s="164" t="s">
        <v>1107</v>
      </c>
      <c r="C225" s="164" t="s">
        <v>1108</v>
      </c>
      <c r="D225" s="165">
        <v>32408</v>
      </c>
      <c r="E225" s="120" t="s">
        <v>2605</v>
      </c>
      <c r="F225" s="131">
        <v>34</v>
      </c>
      <c r="G225" s="120">
        <v>0</v>
      </c>
      <c r="H225" s="120"/>
      <c r="I225" s="120">
        <v>0</v>
      </c>
      <c r="J225" s="133" t="s">
        <v>853</v>
      </c>
      <c r="K225" s="133">
        <v>0</v>
      </c>
      <c r="L225" s="117">
        <v>65.599999999999994</v>
      </c>
      <c r="M225" s="133">
        <f t="shared" si="23"/>
        <v>31.599999999999994</v>
      </c>
      <c r="N225" s="157"/>
      <c r="O225" s="158"/>
      <c r="P225" s="158"/>
      <c r="Q225" s="158"/>
      <c r="R225" s="158"/>
      <c r="S225" s="158"/>
      <c r="T225" s="158"/>
      <c r="U225" s="158"/>
      <c r="V225" s="158"/>
      <c r="W225" s="158"/>
      <c r="X225" s="158"/>
      <c r="Y225" s="158"/>
      <c r="Z225" s="158"/>
      <c r="AA225" s="158"/>
    </row>
    <row r="226" spans="1:27" ht="15.75" customHeight="1" x14ac:dyDescent="0.55000000000000004">
      <c r="A226" s="164">
        <v>36</v>
      </c>
      <c r="B226" s="164" t="s">
        <v>1107</v>
      </c>
      <c r="C226" s="164" t="s">
        <v>1108</v>
      </c>
      <c r="D226" s="165">
        <v>32408</v>
      </c>
      <c r="E226" s="120" t="s">
        <v>2606</v>
      </c>
      <c r="F226" s="131">
        <v>41</v>
      </c>
      <c r="G226" s="120">
        <v>0</v>
      </c>
      <c r="H226" s="120"/>
      <c r="I226" s="120">
        <v>1</v>
      </c>
      <c r="J226" s="133" t="s">
        <v>2607</v>
      </c>
      <c r="K226" s="133">
        <v>5</v>
      </c>
      <c r="L226" s="117">
        <v>65.599999999999994</v>
      </c>
      <c r="M226" s="133">
        <f t="shared" si="23"/>
        <v>24.599999999999994</v>
      </c>
      <c r="N226" s="157"/>
      <c r="O226" s="158"/>
      <c r="P226" s="158"/>
      <c r="Q226" s="158"/>
      <c r="R226" s="158"/>
      <c r="S226" s="158"/>
      <c r="T226" s="158"/>
      <c r="U226" s="158"/>
      <c r="V226" s="158"/>
      <c r="W226" s="158"/>
      <c r="X226" s="158"/>
      <c r="Y226" s="158"/>
      <c r="Z226" s="158"/>
      <c r="AA226" s="158"/>
    </row>
    <row r="227" spans="1:27" ht="15.75" customHeight="1" x14ac:dyDescent="0.55000000000000004">
      <c r="A227" s="164">
        <v>36</v>
      </c>
      <c r="B227" s="164" t="s">
        <v>1107</v>
      </c>
      <c r="C227" s="164" t="s">
        <v>1108</v>
      </c>
      <c r="D227" s="165">
        <v>32408</v>
      </c>
      <c r="E227" s="120" t="s">
        <v>2608</v>
      </c>
      <c r="F227" s="131">
        <v>26</v>
      </c>
      <c r="G227" s="120">
        <v>0</v>
      </c>
      <c r="H227" s="120"/>
      <c r="I227" s="120">
        <v>1</v>
      </c>
      <c r="J227" s="133" t="s">
        <v>2607</v>
      </c>
      <c r="K227" s="133">
        <v>5</v>
      </c>
      <c r="L227" s="117">
        <v>66.599999999999994</v>
      </c>
      <c r="M227" s="133">
        <f t="shared" si="23"/>
        <v>40.599999999999994</v>
      </c>
      <c r="N227" s="157"/>
      <c r="O227" s="158"/>
      <c r="P227" s="158"/>
      <c r="Q227" s="158"/>
      <c r="R227" s="158"/>
      <c r="S227" s="158"/>
      <c r="T227" s="158"/>
      <c r="U227" s="158"/>
      <c r="V227" s="158"/>
      <c r="W227" s="158"/>
      <c r="X227" s="158"/>
      <c r="Y227" s="158"/>
      <c r="Z227" s="158"/>
      <c r="AA227" s="158"/>
    </row>
    <row r="228" spans="1:27" ht="15.75" customHeight="1" x14ac:dyDescent="0.55000000000000004">
      <c r="A228" s="164">
        <v>36</v>
      </c>
      <c r="B228" s="164" t="s">
        <v>1107</v>
      </c>
      <c r="C228" s="164" t="s">
        <v>1108</v>
      </c>
      <c r="D228" s="165">
        <v>32408</v>
      </c>
      <c r="E228" s="131" t="s">
        <v>2609</v>
      </c>
      <c r="F228" s="131">
        <v>40</v>
      </c>
      <c r="G228" s="120">
        <v>1</v>
      </c>
      <c r="H228" s="131">
        <v>2</v>
      </c>
      <c r="I228" s="120">
        <v>0</v>
      </c>
      <c r="J228" s="133" t="s">
        <v>853</v>
      </c>
      <c r="K228" s="133">
        <v>0</v>
      </c>
      <c r="L228" s="117">
        <v>71.099999999999994</v>
      </c>
      <c r="M228" s="133">
        <f t="shared" si="23"/>
        <v>31.099999999999994</v>
      </c>
      <c r="N228" s="157"/>
      <c r="O228" s="158"/>
      <c r="P228" s="158"/>
      <c r="Q228" s="158"/>
      <c r="R228" s="158"/>
      <c r="S228" s="158"/>
      <c r="T228" s="158"/>
      <c r="U228" s="158"/>
      <c r="V228" s="158"/>
      <c r="W228" s="158"/>
      <c r="X228" s="158"/>
      <c r="Y228" s="158"/>
      <c r="Z228" s="158"/>
      <c r="AA228" s="158"/>
    </row>
    <row r="229" spans="1:27" ht="15.75" customHeight="1" x14ac:dyDescent="0.55000000000000004">
      <c r="A229" s="166">
        <v>37</v>
      </c>
      <c r="B229" s="166" t="s">
        <v>1116</v>
      </c>
      <c r="C229" s="166" t="s">
        <v>1082</v>
      </c>
      <c r="D229" s="167">
        <v>32525</v>
      </c>
      <c r="E229" s="131" t="s">
        <v>2610</v>
      </c>
      <c r="F229" s="131">
        <v>6</v>
      </c>
      <c r="G229" s="131">
        <v>1</v>
      </c>
      <c r="H229" s="120">
        <v>3</v>
      </c>
      <c r="I229" s="120">
        <v>0</v>
      </c>
      <c r="J229" s="133" t="s">
        <v>853</v>
      </c>
      <c r="K229" s="133">
        <v>0</v>
      </c>
      <c r="L229" s="117">
        <v>77.400000000000006</v>
      </c>
      <c r="M229" s="133">
        <f t="shared" si="23"/>
        <v>71.400000000000006</v>
      </c>
      <c r="N229" s="157"/>
      <c r="O229" s="158"/>
      <c r="P229" s="158"/>
      <c r="Q229" s="158"/>
      <c r="R229" s="158"/>
      <c r="S229" s="158"/>
      <c r="T229" s="158"/>
      <c r="U229" s="158"/>
      <c r="V229" s="158"/>
      <c r="W229" s="158"/>
      <c r="X229" s="158"/>
      <c r="Y229" s="158"/>
      <c r="Z229" s="158"/>
      <c r="AA229" s="158"/>
    </row>
    <row r="230" spans="1:27" ht="15.75" customHeight="1" x14ac:dyDescent="0.55000000000000004">
      <c r="A230" s="166">
        <v>37</v>
      </c>
      <c r="B230" s="166" t="s">
        <v>1116</v>
      </c>
      <c r="C230" s="166" t="s">
        <v>1082</v>
      </c>
      <c r="D230" s="167">
        <v>32525</v>
      </c>
      <c r="E230" s="120" t="s">
        <v>2611</v>
      </c>
      <c r="F230" s="131">
        <v>8</v>
      </c>
      <c r="G230" s="131">
        <v>1</v>
      </c>
      <c r="H230" s="120">
        <v>3</v>
      </c>
      <c r="I230" s="120">
        <v>0</v>
      </c>
      <c r="J230" s="133" t="s">
        <v>853</v>
      </c>
      <c r="K230" s="133">
        <v>0</v>
      </c>
      <c r="L230" s="117">
        <v>77.400000000000006</v>
      </c>
      <c r="M230" s="133">
        <f t="shared" si="23"/>
        <v>69.400000000000006</v>
      </c>
      <c r="N230" s="157"/>
      <c r="O230" s="158"/>
      <c r="P230" s="158"/>
      <c r="Q230" s="158"/>
      <c r="R230" s="158"/>
      <c r="S230" s="158"/>
      <c r="T230" s="158"/>
      <c r="U230" s="158"/>
      <c r="V230" s="158"/>
      <c r="W230" s="158"/>
      <c r="X230" s="158"/>
      <c r="Y230" s="158"/>
      <c r="Z230" s="158"/>
      <c r="AA230" s="158"/>
    </row>
    <row r="231" spans="1:27" ht="15.75" customHeight="1" x14ac:dyDescent="0.55000000000000004">
      <c r="A231" s="166">
        <v>37</v>
      </c>
      <c r="B231" s="166" t="s">
        <v>1116</v>
      </c>
      <c r="C231" s="166" t="s">
        <v>1082</v>
      </c>
      <c r="D231" s="167">
        <v>32525</v>
      </c>
      <c r="E231" s="120" t="s">
        <v>2612</v>
      </c>
      <c r="F231" s="131">
        <v>8</v>
      </c>
      <c r="G231" s="131">
        <v>1</v>
      </c>
      <c r="H231" s="120">
        <v>3</v>
      </c>
      <c r="I231" s="120">
        <v>0</v>
      </c>
      <c r="J231" s="133" t="s">
        <v>853</v>
      </c>
      <c r="K231" s="133">
        <v>0</v>
      </c>
      <c r="L231" s="117">
        <v>77.400000000000006</v>
      </c>
      <c r="M231" s="133">
        <f t="shared" si="23"/>
        <v>69.400000000000006</v>
      </c>
      <c r="N231" s="157"/>
      <c r="O231" s="158"/>
      <c r="P231" s="158"/>
      <c r="Q231" s="158"/>
      <c r="R231" s="158"/>
      <c r="S231" s="158"/>
      <c r="T231" s="158"/>
      <c r="U231" s="158"/>
      <c r="V231" s="158"/>
      <c r="W231" s="158"/>
      <c r="X231" s="158"/>
      <c r="Y231" s="158"/>
      <c r="Z231" s="158"/>
      <c r="AA231" s="158"/>
    </row>
    <row r="232" spans="1:27" ht="15.75" customHeight="1" x14ac:dyDescent="0.55000000000000004">
      <c r="A232" s="166">
        <v>37</v>
      </c>
      <c r="B232" s="166" t="s">
        <v>1116</v>
      </c>
      <c r="C232" s="166" t="s">
        <v>1082</v>
      </c>
      <c r="D232" s="167">
        <v>32525</v>
      </c>
      <c r="E232" s="120" t="s">
        <v>2613</v>
      </c>
      <c r="F232" s="131">
        <v>9</v>
      </c>
      <c r="G232" s="131">
        <v>0</v>
      </c>
      <c r="H232" s="120">
        <v>3</v>
      </c>
      <c r="I232" s="120">
        <v>0</v>
      </c>
      <c r="J232" s="133" t="s">
        <v>853</v>
      </c>
      <c r="K232" s="133">
        <v>0</v>
      </c>
      <c r="L232" s="117">
        <v>70</v>
      </c>
      <c r="M232" s="133">
        <f t="shared" si="23"/>
        <v>61</v>
      </c>
      <c r="N232" s="157"/>
      <c r="O232" s="158"/>
      <c r="P232" s="158"/>
      <c r="Q232" s="158"/>
      <c r="R232" s="158"/>
      <c r="S232" s="158"/>
      <c r="T232" s="158"/>
      <c r="U232" s="158"/>
      <c r="V232" s="158"/>
      <c r="W232" s="158"/>
      <c r="X232" s="158"/>
      <c r="Y232" s="158"/>
      <c r="Z232" s="158"/>
      <c r="AA232" s="158"/>
    </row>
    <row r="233" spans="1:27" ht="15.75" customHeight="1" x14ac:dyDescent="0.55000000000000004">
      <c r="A233" s="166">
        <v>37</v>
      </c>
      <c r="B233" s="166" t="s">
        <v>1116</v>
      </c>
      <c r="C233" s="166" t="s">
        <v>1082</v>
      </c>
      <c r="D233" s="167">
        <v>32525</v>
      </c>
      <c r="E233" s="120" t="s">
        <v>2614</v>
      </c>
      <c r="F233" s="131">
        <v>6</v>
      </c>
      <c r="G233" s="131">
        <v>1</v>
      </c>
      <c r="H233" s="120">
        <v>3</v>
      </c>
      <c r="I233" s="120">
        <v>0</v>
      </c>
      <c r="J233" s="133" t="s">
        <v>853</v>
      </c>
      <c r="K233" s="133">
        <v>0</v>
      </c>
      <c r="L233" s="117">
        <v>77.400000000000006</v>
      </c>
      <c r="M233" s="133">
        <f t="shared" si="23"/>
        <v>71.400000000000006</v>
      </c>
      <c r="N233" s="157"/>
      <c r="O233" s="158"/>
      <c r="P233" s="158"/>
      <c r="Q233" s="158"/>
      <c r="R233" s="158"/>
      <c r="S233" s="158"/>
      <c r="T233" s="158"/>
      <c r="U233" s="158"/>
      <c r="V233" s="158"/>
      <c r="W233" s="158"/>
      <c r="X233" s="158"/>
      <c r="Y233" s="158"/>
      <c r="Z233" s="158"/>
      <c r="AA233" s="158"/>
    </row>
    <row r="234" spans="1:27" ht="15.75" customHeight="1" x14ac:dyDescent="0.55000000000000004">
      <c r="A234" s="173">
        <v>38</v>
      </c>
      <c r="B234" s="173" t="s">
        <v>1126</v>
      </c>
      <c r="C234" s="173" t="s">
        <v>890</v>
      </c>
      <c r="D234" s="174">
        <v>32765</v>
      </c>
      <c r="E234" s="120" t="s">
        <v>2615</v>
      </c>
      <c r="F234" s="131">
        <v>54</v>
      </c>
      <c r="G234" s="120">
        <v>0</v>
      </c>
      <c r="H234" s="120">
        <v>0</v>
      </c>
      <c r="I234" s="131">
        <v>1</v>
      </c>
      <c r="J234" s="133" t="s">
        <v>2616</v>
      </c>
      <c r="K234" s="133">
        <v>3</v>
      </c>
      <c r="L234" s="117">
        <v>66.5</v>
      </c>
      <c r="M234" s="133">
        <f t="shared" si="23"/>
        <v>12.5</v>
      </c>
      <c r="N234" s="157"/>
      <c r="O234" s="158"/>
      <c r="P234" s="158"/>
      <c r="Q234" s="158"/>
      <c r="R234" s="158"/>
      <c r="S234" s="158"/>
      <c r="T234" s="158"/>
      <c r="U234" s="158"/>
      <c r="V234" s="158"/>
      <c r="W234" s="158"/>
      <c r="X234" s="158"/>
      <c r="Y234" s="158"/>
      <c r="Z234" s="158"/>
      <c r="AA234" s="158"/>
    </row>
    <row r="235" spans="1:27" ht="15.75" customHeight="1" x14ac:dyDescent="0.55000000000000004">
      <c r="A235" s="173">
        <v>38</v>
      </c>
      <c r="B235" s="173" t="s">
        <v>1126</v>
      </c>
      <c r="C235" s="173" t="s">
        <v>890</v>
      </c>
      <c r="D235" s="174">
        <v>32765</v>
      </c>
      <c r="E235" s="120" t="s">
        <v>2617</v>
      </c>
      <c r="F235" s="131">
        <v>45</v>
      </c>
      <c r="G235" s="120">
        <v>0</v>
      </c>
      <c r="H235" s="120">
        <v>0</v>
      </c>
      <c r="I235" s="131">
        <v>1</v>
      </c>
      <c r="J235" s="133" t="s">
        <v>2595</v>
      </c>
      <c r="K235" s="133">
        <v>3</v>
      </c>
      <c r="L235" s="117">
        <v>66.5</v>
      </c>
      <c r="M235" s="133">
        <f t="shared" si="23"/>
        <v>21.5</v>
      </c>
      <c r="N235" s="157"/>
      <c r="O235" s="158"/>
      <c r="P235" s="158"/>
      <c r="Q235" s="158"/>
      <c r="R235" s="158"/>
      <c r="S235" s="158"/>
      <c r="T235" s="158"/>
      <c r="U235" s="158"/>
      <c r="V235" s="158"/>
      <c r="W235" s="158"/>
      <c r="X235" s="158"/>
      <c r="Y235" s="158"/>
      <c r="Z235" s="158"/>
      <c r="AA235" s="158"/>
    </row>
    <row r="236" spans="1:27" ht="15.75" customHeight="1" x14ac:dyDescent="0.55000000000000004">
      <c r="A236" s="173">
        <v>38</v>
      </c>
      <c r="B236" s="173" t="s">
        <v>1126</v>
      </c>
      <c r="C236" s="173" t="s">
        <v>890</v>
      </c>
      <c r="D236" s="174">
        <v>32765</v>
      </c>
      <c r="E236" s="120" t="s">
        <v>2618</v>
      </c>
      <c r="F236" s="131">
        <v>47</v>
      </c>
      <c r="G236" s="120">
        <v>0</v>
      </c>
      <c r="H236" s="120">
        <v>0</v>
      </c>
      <c r="I236" s="131">
        <v>1</v>
      </c>
      <c r="J236" s="133" t="s">
        <v>2595</v>
      </c>
      <c r="K236" s="133">
        <v>3</v>
      </c>
      <c r="L236" s="117">
        <v>66.5</v>
      </c>
      <c r="M236" s="133">
        <f t="shared" si="23"/>
        <v>19.5</v>
      </c>
      <c r="N236" s="157"/>
      <c r="O236" s="158"/>
      <c r="P236" s="158"/>
      <c r="Q236" s="158"/>
      <c r="R236" s="158"/>
      <c r="S236" s="158"/>
      <c r="T236" s="158"/>
      <c r="U236" s="158"/>
      <c r="V236" s="158"/>
      <c r="W236" s="158"/>
      <c r="X236" s="158"/>
      <c r="Y236" s="158"/>
      <c r="Z236" s="158"/>
      <c r="AA236" s="158"/>
    </row>
    <row r="237" spans="1:27" ht="15.75" customHeight="1" x14ac:dyDescent="0.55000000000000004">
      <c r="A237" s="173">
        <v>38</v>
      </c>
      <c r="B237" s="173" t="s">
        <v>1126</v>
      </c>
      <c r="C237" s="173" t="s">
        <v>890</v>
      </c>
      <c r="D237" s="174">
        <v>32765</v>
      </c>
      <c r="E237" s="120" t="s">
        <v>2619</v>
      </c>
      <c r="F237" s="131">
        <v>49</v>
      </c>
      <c r="G237" s="120">
        <v>1</v>
      </c>
      <c r="H237" s="120"/>
      <c r="I237" s="131">
        <v>1</v>
      </c>
      <c r="J237" s="133" t="s">
        <v>2595</v>
      </c>
      <c r="K237" s="133">
        <v>3</v>
      </c>
      <c r="L237" s="117">
        <v>71.099999999999994</v>
      </c>
      <c r="M237" s="133">
        <f t="shared" si="23"/>
        <v>22.099999999999994</v>
      </c>
      <c r="N237" s="157"/>
      <c r="O237" s="158"/>
      <c r="P237" s="158"/>
      <c r="Q237" s="158"/>
      <c r="R237" s="158"/>
      <c r="S237" s="158"/>
      <c r="T237" s="158"/>
      <c r="U237" s="158"/>
      <c r="V237" s="158"/>
      <c r="W237" s="158"/>
      <c r="X237" s="158"/>
      <c r="Y237" s="158"/>
      <c r="Z237" s="158"/>
      <c r="AA237" s="158"/>
    </row>
    <row r="238" spans="1:27" ht="15.75" customHeight="1" x14ac:dyDescent="0.55000000000000004">
      <c r="A238" s="173">
        <v>38</v>
      </c>
      <c r="B238" s="173" t="s">
        <v>1126</v>
      </c>
      <c r="C238" s="173" t="s">
        <v>890</v>
      </c>
      <c r="D238" s="174">
        <v>32765</v>
      </c>
      <c r="E238" s="120" t="s">
        <v>2620</v>
      </c>
      <c r="F238" s="131">
        <v>46</v>
      </c>
      <c r="G238" s="120">
        <v>0</v>
      </c>
      <c r="H238" s="120">
        <v>0</v>
      </c>
      <c r="I238" s="131">
        <v>1</v>
      </c>
      <c r="J238" s="133" t="s">
        <v>2595</v>
      </c>
      <c r="K238" s="133">
        <v>3</v>
      </c>
      <c r="L238" s="117">
        <v>66.5</v>
      </c>
      <c r="M238" s="133">
        <f t="shared" si="23"/>
        <v>20.5</v>
      </c>
      <c r="N238" s="157"/>
      <c r="O238" s="158"/>
      <c r="P238" s="158"/>
      <c r="Q238" s="158"/>
      <c r="R238" s="158"/>
      <c r="S238" s="158"/>
      <c r="T238" s="158"/>
      <c r="U238" s="158"/>
      <c r="V238" s="158"/>
      <c r="W238" s="158"/>
      <c r="X238" s="158"/>
      <c r="Y238" s="158"/>
      <c r="Z238" s="158"/>
      <c r="AA238" s="158"/>
    </row>
    <row r="239" spans="1:27" ht="15.75" customHeight="1" x14ac:dyDescent="0.55000000000000004">
      <c r="A239" s="173">
        <v>38</v>
      </c>
      <c r="B239" s="173" t="s">
        <v>1126</v>
      </c>
      <c r="C239" s="173" t="s">
        <v>890</v>
      </c>
      <c r="D239" s="174">
        <v>32765</v>
      </c>
      <c r="E239" s="120" t="s">
        <v>2621</v>
      </c>
      <c r="F239" s="131">
        <v>60</v>
      </c>
      <c r="G239" s="120">
        <v>0</v>
      </c>
      <c r="H239" s="120">
        <v>0</v>
      </c>
      <c r="I239" s="131">
        <v>1</v>
      </c>
      <c r="J239" s="133" t="s">
        <v>2595</v>
      </c>
      <c r="K239" s="133">
        <v>3</v>
      </c>
      <c r="L239" s="117">
        <v>66.5</v>
      </c>
      <c r="M239" s="133">
        <f t="shared" si="23"/>
        <v>6.5</v>
      </c>
      <c r="N239" s="157"/>
      <c r="O239" s="158"/>
      <c r="P239" s="158"/>
      <c r="Q239" s="158"/>
      <c r="R239" s="158"/>
      <c r="S239" s="158"/>
      <c r="T239" s="158"/>
      <c r="U239" s="158"/>
      <c r="V239" s="158"/>
      <c r="W239" s="158"/>
      <c r="X239" s="158"/>
      <c r="Y239" s="158"/>
      <c r="Z239" s="158"/>
      <c r="AA239" s="158"/>
    </row>
    <row r="240" spans="1:27" ht="15.75" customHeight="1" x14ac:dyDescent="0.55000000000000004">
      <c r="A240" s="173">
        <v>38</v>
      </c>
      <c r="B240" s="173" t="s">
        <v>1126</v>
      </c>
      <c r="C240" s="173" t="s">
        <v>890</v>
      </c>
      <c r="D240" s="174">
        <v>32765</v>
      </c>
      <c r="E240" s="120" t="s">
        <v>2622</v>
      </c>
      <c r="F240" s="131">
        <v>56</v>
      </c>
      <c r="G240" s="120">
        <v>0</v>
      </c>
      <c r="H240" s="120">
        <v>0</v>
      </c>
      <c r="I240" s="131">
        <v>1</v>
      </c>
      <c r="J240" s="133" t="s">
        <v>2595</v>
      </c>
      <c r="K240" s="133">
        <v>3</v>
      </c>
      <c r="L240" s="117">
        <v>66.5</v>
      </c>
      <c r="M240" s="133">
        <f t="shared" si="23"/>
        <v>10.5</v>
      </c>
      <c r="N240" s="157"/>
      <c r="O240" s="158"/>
      <c r="P240" s="158"/>
      <c r="Q240" s="158"/>
      <c r="R240" s="158"/>
      <c r="S240" s="158"/>
      <c r="T240" s="158"/>
      <c r="U240" s="158"/>
      <c r="V240" s="158"/>
      <c r="W240" s="158"/>
      <c r="X240" s="158"/>
      <c r="Y240" s="158"/>
      <c r="Z240" s="158"/>
      <c r="AA240" s="158"/>
    </row>
    <row r="241" spans="1:27" ht="15.75" customHeight="1" x14ac:dyDescent="0.55000000000000004">
      <c r="A241" s="173">
        <v>38</v>
      </c>
      <c r="B241" s="173" t="s">
        <v>1126</v>
      </c>
      <c r="C241" s="173" t="s">
        <v>890</v>
      </c>
      <c r="D241" s="174">
        <v>32765</v>
      </c>
      <c r="E241" s="120" t="s">
        <v>2623</v>
      </c>
      <c r="F241" s="131">
        <v>42</v>
      </c>
      <c r="G241" s="120">
        <v>0</v>
      </c>
      <c r="H241" s="120">
        <v>0</v>
      </c>
      <c r="I241" s="131">
        <v>1</v>
      </c>
      <c r="J241" s="133" t="s">
        <v>2595</v>
      </c>
      <c r="K241" s="133">
        <v>3</v>
      </c>
      <c r="L241" s="117">
        <v>66.5</v>
      </c>
      <c r="M241" s="133">
        <f t="shared" si="23"/>
        <v>24.5</v>
      </c>
      <c r="N241" s="157"/>
      <c r="O241" s="158"/>
      <c r="P241" s="158"/>
      <c r="Q241" s="158"/>
      <c r="R241" s="158"/>
      <c r="S241" s="158"/>
      <c r="T241" s="158"/>
      <c r="U241" s="158"/>
      <c r="V241" s="158"/>
      <c r="W241" s="158"/>
      <c r="X241" s="158"/>
      <c r="Y241" s="158"/>
      <c r="Z241" s="158"/>
      <c r="AA241" s="158"/>
    </row>
    <row r="242" spans="1:27" ht="15.75" customHeight="1" x14ac:dyDescent="0.55000000000000004">
      <c r="A242" s="173">
        <v>38</v>
      </c>
      <c r="B242" s="173" t="s">
        <v>1126</v>
      </c>
      <c r="C242" s="173" t="s">
        <v>890</v>
      </c>
      <c r="D242" s="174">
        <v>32765</v>
      </c>
      <c r="E242" s="120" t="s">
        <v>2624</v>
      </c>
      <c r="F242" s="120"/>
      <c r="G242" s="120"/>
      <c r="H242" s="120"/>
      <c r="I242" s="131">
        <v>1</v>
      </c>
      <c r="J242" s="133" t="s">
        <v>2595</v>
      </c>
      <c r="K242" s="133">
        <v>3</v>
      </c>
      <c r="L242" s="117"/>
      <c r="M242" s="133"/>
      <c r="N242" s="157"/>
      <c r="O242" s="158"/>
      <c r="P242" s="158"/>
      <c r="Q242" s="158"/>
      <c r="R242" s="158"/>
      <c r="S242" s="158"/>
      <c r="T242" s="158"/>
      <c r="U242" s="158"/>
      <c r="V242" s="158"/>
      <c r="W242" s="158"/>
      <c r="X242" s="158"/>
      <c r="Y242" s="158"/>
      <c r="Z242" s="158"/>
      <c r="AA242" s="158"/>
    </row>
    <row r="243" spans="1:27" ht="15.75" customHeight="1" x14ac:dyDescent="0.55000000000000004">
      <c r="A243" s="175">
        <v>39</v>
      </c>
      <c r="B243" s="175" t="s">
        <v>1134</v>
      </c>
      <c r="C243" s="175" t="s">
        <v>1061</v>
      </c>
      <c r="D243" s="176">
        <v>33041</v>
      </c>
      <c r="E243" s="120" t="s">
        <v>2625</v>
      </c>
      <c r="F243" s="131">
        <v>39</v>
      </c>
      <c r="G243" s="120">
        <v>0</v>
      </c>
      <c r="H243" s="120"/>
      <c r="I243" s="120">
        <v>0</v>
      </c>
      <c r="J243" s="133" t="s">
        <v>853</v>
      </c>
      <c r="K243" s="133">
        <v>0</v>
      </c>
      <c r="L243" s="117">
        <v>65.599999999999994</v>
      </c>
      <c r="M243" s="133">
        <f t="shared" ref="M243:M253" si="24">L243-F243</f>
        <v>26.599999999999994</v>
      </c>
      <c r="N243" s="157"/>
      <c r="O243" s="158"/>
      <c r="P243" s="158"/>
      <c r="Q243" s="158"/>
      <c r="R243" s="158"/>
      <c r="S243" s="158"/>
      <c r="T243" s="158"/>
      <c r="U243" s="158"/>
      <c r="V243" s="158"/>
      <c r="W243" s="158"/>
      <c r="X243" s="158"/>
      <c r="Y243" s="158"/>
      <c r="Z243" s="158"/>
      <c r="AA243" s="158"/>
    </row>
    <row r="244" spans="1:27" ht="15.75" customHeight="1" x14ac:dyDescent="0.55000000000000004">
      <c r="A244" s="175">
        <v>39</v>
      </c>
      <c r="B244" s="175" t="s">
        <v>1134</v>
      </c>
      <c r="C244" s="175" t="s">
        <v>1061</v>
      </c>
      <c r="D244" s="176">
        <v>33041</v>
      </c>
      <c r="E244" s="120" t="s">
        <v>2626</v>
      </c>
      <c r="F244" s="131">
        <v>30</v>
      </c>
      <c r="G244" s="120">
        <v>1</v>
      </c>
      <c r="H244" s="120"/>
      <c r="I244" s="120">
        <v>0</v>
      </c>
      <c r="J244" s="133" t="s">
        <v>853</v>
      </c>
      <c r="K244" s="133">
        <v>0</v>
      </c>
      <c r="L244" s="117">
        <v>73.099999999999994</v>
      </c>
      <c r="M244" s="133">
        <f t="shared" si="24"/>
        <v>43.099999999999994</v>
      </c>
      <c r="N244" s="157"/>
      <c r="O244" s="158"/>
      <c r="P244" s="158"/>
      <c r="Q244" s="158"/>
      <c r="R244" s="158"/>
      <c r="S244" s="158"/>
      <c r="T244" s="158"/>
      <c r="U244" s="158"/>
      <c r="V244" s="158"/>
      <c r="W244" s="158"/>
      <c r="X244" s="158"/>
      <c r="Y244" s="158"/>
      <c r="Z244" s="158"/>
      <c r="AA244" s="158"/>
    </row>
    <row r="245" spans="1:27" ht="15.75" customHeight="1" x14ac:dyDescent="0.55000000000000004">
      <c r="A245" s="175">
        <v>39</v>
      </c>
      <c r="B245" s="175" t="s">
        <v>1134</v>
      </c>
      <c r="C245" s="175" t="s">
        <v>1061</v>
      </c>
      <c r="D245" s="176">
        <v>33042</v>
      </c>
      <c r="E245" s="120" t="s">
        <v>2627</v>
      </c>
      <c r="F245" s="131">
        <v>50</v>
      </c>
      <c r="G245" s="120">
        <v>1</v>
      </c>
      <c r="H245" s="120"/>
      <c r="I245" s="120">
        <v>2</v>
      </c>
      <c r="J245" s="133" t="s">
        <v>2628</v>
      </c>
      <c r="K245" s="133">
        <v>5</v>
      </c>
      <c r="L245" s="117">
        <v>71.099999999999994</v>
      </c>
      <c r="M245" s="133">
        <f t="shared" si="24"/>
        <v>21.099999999999994</v>
      </c>
      <c r="N245" s="157"/>
      <c r="O245" s="158"/>
      <c r="P245" s="158"/>
      <c r="Q245" s="158"/>
      <c r="R245" s="158"/>
      <c r="S245" s="158"/>
      <c r="T245" s="158"/>
      <c r="U245" s="158"/>
      <c r="V245" s="158"/>
      <c r="W245" s="158"/>
      <c r="X245" s="158"/>
      <c r="Y245" s="158"/>
      <c r="Z245" s="158"/>
      <c r="AA245" s="158"/>
    </row>
    <row r="246" spans="1:27" ht="15.75" customHeight="1" x14ac:dyDescent="0.55000000000000004">
      <c r="A246" s="175">
        <v>39</v>
      </c>
      <c r="B246" s="175" t="s">
        <v>1134</v>
      </c>
      <c r="C246" s="175" t="s">
        <v>1061</v>
      </c>
      <c r="D246" s="176">
        <v>33042</v>
      </c>
      <c r="E246" s="120" t="s">
        <v>2629</v>
      </c>
      <c r="F246" s="131">
        <v>42</v>
      </c>
      <c r="G246" s="120">
        <v>1</v>
      </c>
      <c r="H246" s="120"/>
      <c r="I246" s="120">
        <v>0</v>
      </c>
      <c r="J246" s="133" t="s">
        <v>853</v>
      </c>
      <c r="K246" s="133">
        <v>0</v>
      </c>
      <c r="L246" s="117">
        <v>71.099999999999994</v>
      </c>
      <c r="M246" s="133">
        <f t="shared" si="24"/>
        <v>29.099999999999994</v>
      </c>
      <c r="N246" s="157"/>
      <c r="O246" s="158"/>
      <c r="P246" s="158"/>
      <c r="Q246" s="158"/>
      <c r="R246" s="158"/>
      <c r="S246" s="158"/>
      <c r="T246" s="158"/>
      <c r="U246" s="158"/>
      <c r="V246" s="158"/>
      <c r="W246" s="158"/>
      <c r="X246" s="158"/>
      <c r="Y246" s="158"/>
      <c r="Z246" s="158"/>
      <c r="AA246" s="158"/>
    </row>
    <row r="247" spans="1:27" ht="15.75" customHeight="1" x14ac:dyDescent="0.55000000000000004">
      <c r="A247" s="175">
        <v>39</v>
      </c>
      <c r="B247" s="175" t="s">
        <v>1134</v>
      </c>
      <c r="C247" s="175" t="s">
        <v>1061</v>
      </c>
      <c r="D247" s="176">
        <v>33042</v>
      </c>
      <c r="E247" s="120" t="s">
        <v>2630</v>
      </c>
      <c r="F247" s="131">
        <v>40</v>
      </c>
      <c r="G247" s="120">
        <v>1</v>
      </c>
      <c r="H247" s="120"/>
      <c r="I247" s="120">
        <v>2</v>
      </c>
      <c r="J247" s="133" t="s">
        <v>2628</v>
      </c>
      <c r="K247" s="133">
        <v>5</v>
      </c>
      <c r="L247" s="117">
        <v>71.099999999999994</v>
      </c>
      <c r="M247" s="133">
        <f t="shared" si="24"/>
        <v>31.099999999999994</v>
      </c>
      <c r="N247" s="157"/>
      <c r="O247" s="158"/>
      <c r="P247" s="158"/>
      <c r="Q247" s="158"/>
      <c r="R247" s="158"/>
      <c r="S247" s="158"/>
      <c r="T247" s="158"/>
      <c r="U247" s="158"/>
      <c r="V247" s="158"/>
      <c r="W247" s="158"/>
      <c r="X247" s="158"/>
      <c r="Y247" s="158"/>
      <c r="Z247" s="158"/>
      <c r="AA247" s="158"/>
    </row>
    <row r="248" spans="1:27" ht="15.75" customHeight="1" x14ac:dyDescent="0.55000000000000004">
      <c r="A248" s="175">
        <v>39</v>
      </c>
      <c r="B248" s="175" t="s">
        <v>1134</v>
      </c>
      <c r="C248" s="175" t="s">
        <v>1061</v>
      </c>
      <c r="D248" s="176">
        <v>33042</v>
      </c>
      <c r="E248" s="120" t="s">
        <v>2631</v>
      </c>
      <c r="F248" s="131">
        <v>45</v>
      </c>
      <c r="G248" s="120">
        <v>1</v>
      </c>
      <c r="H248" s="120"/>
      <c r="I248" s="120">
        <v>2</v>
      </c>
      <c r="J248" s="133" t="s">
        <v>2628</v>
      </c>
      <c r="K248" s="133">
        <v>5</v>
      </c>
      <c r="L248" s="117">
        <v>71.099999999999994</v>
      </c>
      <c r="M248" s="133">
        <f t="shared" si="24"/>
        <v>26.099999999999994</v>
      </c>
      <c r="N248" s="157"/>
      <c r="O248" s="158"/>
      <c r="P248" s="158"/>
      <c r="Q248" s="158"/>
      <c r="R248" s="158"/>
      <c r="S248" s="158"/>
      <c r="T248" s="158"/>
      <c r="U248" s="158"/>
      <c r="V248" s="158"/>
      <c r="W248" s="158"/>
      <c r="X248" s="158"/>
      <c r="Y248" s="158"/>
      <c r="Z248" s="158"/>
      <c r="AA248" s="158"/>
    </row>
    <row r="249" spans="1:27" ht="15.75" customHeight="1" x14ac:dyDescent="0.55000000000000004">
      <c r="A249" s="175">
        <v>39</v>
      </c>
      <c r="B249" s="175" t="s">
        <v>1134</v>
      </c>
      <c r="C249" s="175" t="s">
        <v>1061</v>
      </c>
      <c r="D249" s="176">
        <v>33042</v>
      </c>
      <c r="E249" s="131" t="s">
        <v>2632</v>
      </c>
      <c r="F249" s="131">
        <v>36</v>
      </c>
      <c r="G249" s="120">
        <v>1</v>
      </c>
      <c r="H249" s="120"/>
      <c r="I249" s="120">
        <v>2</v>
      </c>
      <c r="J249" s="133" t="s">
        <v>2628</v>
      </c>
      <c r="K249" s="133">
        <v>5</v>
      </c>
      <c r="L249" s="117">
        <v>71.099999999999994</v>
      </c>
      <c r="M249" s="133">
        <f t="shared" si="24"/>
        <v>35.099999999999994</v>
      </c>
      <c r="N249" s="157"/>
      <c r="O249" s="158"/>
      <c r="P249" s="158"/>
      <c r="Q249" s="158"/>
      <c r="R249" s="158"/>
      <c r="S249" s="158"/>
      <c r="T249" s="158"/>
      <c r="U249" s="158"/>
      <c r="V249" s="158"/>
      <c r="W249" s="158"/>
      <c r="X249" s="158"/>
      <c r="Y249" s="158"/>
      <c r="Z249" s="158"/>
      <c r="AA249" s="158"/>
    </row>
    <row r="250" spans="1:27" ht="15.75" customHeight="1" x14ac:dyDescent="0.55000000000000004">
      <c r="A250" s="175">
        <v>39</v>
      </c>
      <c r="B250" s="175" t="s">
        <v>1134</v>
      </c>
      <c r="C250" s="175" t="s">
        <v>1061</v>
      </c>
      <c r="D250" s="176">
        <v>33042</v>
      </c>
      <c r="E250" s="120" t="s">
        <v>2633</v>
      </c>
      <c r="F250" s="131">
        <v>45</v>
      </c>
      <c r="G250" s="120">
        <v>1</v>
      </c>
      <c r="H250" s="120"/>
      <c r="I250" s="120">
        <v>2</v>
      </c>
      <c r="J250" s="133" t="s">
        <v>2628</v>
      </c>
      <c r="K250" s="133">
        <v>5</v>
      </c>
      <c r="L250" s="117">
        <v>71.099999999999994</v>
      </c>
      <c r="M250" s="133">
        <f t="shared" si="24"/>
        <v>26.099999999999994</v>
      </c>
      <c r="N250" s="157"/>
      <c r="O250" s="158"/>
      <c r="P250" s="158"/>
      <c r="Q250" s="158"/>
      <c r="R250" s="158"/>
      <c r="S250" s="158"/>
      <c r="T250" s="158"/>
      <c r="U250" s="158"/>
      <c r="V250" s="158"/>
      <c r="W250" s="158"/>
      <c r="X250" s="158"/>
      <c r="Y250" s="158"/>
      <c r="Z250" s="158"/>
      <c r="AA250" s="158"/>
    </row>
    <row r="251" spans="1:27" ht="15.75" customHeight="1" x14ac:dyDescent="0.55000000000000004">
      <c r="A251" s="175">
        <v>39</v>
      </c>
      <c r="B251" s="175" t="s">
        <v>1134</v>
      </c>
      <c r="C251" s="175" t="s">
        <v>1061</v>
      </c>
      <c r="D251" s="176">
        <v>33042</v>
      </c>
      <c r="E251" s="120" t="s">
        <v>2634</v>
      </c>
      <c r="F251" s="131">
        <v>30</v>
      </c>
      <c r="G251" s="120">
        <v>1</v>
      </c>
      <c r="H251" s="120"/>
      <c r="I251" s="120">
        <v>2</v>
      </c>
      <c r="J251" s="133" t="s">
        <v>2628</v>
      </c>
      <c r="K251" s="133">
        <v>5</v>
      </c>
      <c r="L251" s="117">
        <v>73.099999999999994</v>
      </c>
      <c r="M251" s="133">
        <f t="shared" si="24"/>
        <v>43.099999999999994</v>
      </c>
      <c r="N251" s="157"/>
      <c r="O251" s="158"/>
      <c r="P251" s="158"/>
      <c r="Q251" s="158"/>
      <c r="R251" s="158"/>
      <c r="S251" s="158"/>
      <c r="T251" s="158"/>
      <c r="U251" s="158"/>
      <c r="V251" s="158"/>
      <c r="W251" s="158"/>
      <c r="X251" s="158"/>
      <c r="Y251" s="158"/>
      <c r="Z251" s="158"/>
      <c r="AA251" s="158"/>
    </row>
    <row r="252" spans="1:27" ht="15.75" customHeight="1" x14ac:dyDescent="0.55000000000000004">
      <c r="A252" s="175">
        <v>39</v>
      </c>
      <c r="B252" s="175" t="s">
        <v>1134</v>
      </c>
      <c r="C252" s="175" t="s">
        <v>1061</v>
      </c>
      <c r="D252" s="176">
        <v>33042</v>
      </c>
      <c r="E252" s="120" t="s">
        <v>2635</v>
      </c>
      <c r="F252" s="131">
        <v>33</v>
      </c>
      <c r="G252" s="120">
        <v>0</v>
      </c>
      <c r="H252" s="120"/>
      <c r="I252" s="120">
        <v>2</v>
      </c>
      <c r="J252" s="133" t="s">
        <v>2628</v>
      </c>
      <c r="K252" s="133">
        <v>5</v>
      </c>
      <c r="L252" s="117">
        <v>66.599999999999994</v>
      </c>
      <c r="M252" s="133">
        <f t="shared" si="24"/>
        <v>33.599999999999994</v>
      </c>
      <c r="N252" s="157"/>
      <c r="O252" s="158"/>
      <c r="P252" s="158"/>
      <c r="Q252" s="158"/>
      <c r="R252" s="158"/>
      <c r="S252" s="158"/>
      <c r="T252" s="158"/>
      <c r="U252" s="158"/>
      <c r="V252" s="158"/>
      <c r="W252" s="158"/>
      <c r="X252" s="158"/>
      <c r="Y252" s="158"/>
      <c r="Z252" s="158"/>
      <c r="AA252" s="158"/>
    </row>
    <row r="253" spans="1:27" ht="15.75" customHeight="1" x14ac:dyDescent="0.55000000000000004">
      <c r="A253" s="175">
        <v>39</v>
      </c>
      <c r="B253" s="175" t="s">
        <v>1134</v>
      </c>
      <c r="C253" s="175" t="s">
        <v>1061</v>
      </c>
      <c r="D253" s="176">
        <v>33042</v>
      </c>
      <c r="E253" s="120" t="s">
        <v>2636</v>
      </c>
      <c r="F253" s="131">
        <v>38</v>
      </c>
      <c r="G253" s="120">
        <v>0</v>
      </c>
      <c r="H253" s="120"/>
      <c r="I253" s="120">
        <v>2</v>
      </c>
      <c r="J253" s="133" t="s">
        <v>2628</v>
      </c>
      <c r="K253" s="133">
        <v>5</v>
      </c>
      <c r="L253" s="117">
        <v>65.599999999999994</v>
      </c>
      <c r="M253" s="133">
        <f t="shared" si="24"/>
        <v>27.599999999999994</v>
      </c>
      <c r="N253" s="157"/>
      <c r="O253" s="158"/>
      <c r="P253" s="158"/>
      <c r="Q253" s="158"/>
      <c r="R253" s="158"/>
      <c r="S253" s="158"/>
      <c r="T253" s="158"/>
      <c r="U253" s="158"/>
      <c r="V253" s="158"/>
      <c r="W253" s="158"/>
      <c r="X253" s="158"/>
      <c r="Y253" s="158"/>
      <c r="Z253" s="158"/>
      <c r="AA253" s="158"/>
    </row>
    <row r="254" spans="1:27" ht="15.75" customHeight="1" x14ac:dyDescent="0.55000000000000004">
      <c r="A254" s="159">
        <v>40</v>
      </c>
      <c r="B254" s="159" t="s">
        <v>1139</v>
      </c>
      <c r="C254" s="159" t="s">
        <v>890</v>
      </c>
      <c r="D254" s="160">
        <v>33521</v>
      </c>
      <c r="E254" s="131" t="s">
        <v>2637</v>
      </c>
      <c r="F254" s="120"/>
      <c r="G254" s="120">
        <v>0</v>
      </c>
      <c r="H254" s="120"/>
      <c r="I254" s="120">
        <v>0</v>
      </c>
      <c r="J254" s="133" t="s">
        <v>853</v>
      </c>
      <c r="K254" s="133">
        <v>0</v>
      </c>
      <c r="L254" s="117"/>
      <c r="M254" s="133"/>
      <c r="N254" s="157"/>
      <c r="O254" s="158"/>
      <c r="P254" s="158"/>
      <c r="Q254" s="158"/>
      <c r="R254" s="158"/>
      <c r="S254" s="158"/>
      <c r="T254" s="158"/>
      <c r="U254" s="158"/>
      <c r="V254" s="158"/>
      <c r="W254" s="158"/>
      <c r="X254" s="158"/>
      <c r="Y254" s="158"/>
      <c r="Z254" s="158"/>
      <c r="AA254" s="158"/>
    </row>
    <row r="255" spans="1:27" ht="15.75" customHeight="1" x14ac:dyDescent="0.55000000000000004">
      <c r="A255" s="159">
        <v>40</v>
      </c>
      <c r="B255" s="159" t="s">
        <v>1139</v>
      </c>
      <c r="C255" s="159" t="s">
        <v>890</v>
      </c>
      <c r="D255" s="160">
        <v>33521</v>
      </c>
      <c r="E255" s="120" t="s">
        <v>2638</v>
      </c>
      <c r="F255" s="131">
        <v>63</v>
      </c>
      <c r="G255" s="120">
        <v>0</v>
      </c>
      <c r="H255" s="120"/>
      <c r="I255" s="120">
        <v>2</v>
      </c>
      <c r="J255" s="133" t="s">
        <v>2639</v>
      </c>
      <c r="K255" s="133">
        <v>3</v>
      </c>
      <c r="L255" s="117">
        <v>65.599999999999994</v>
      </c>
      <c r="M255" s="133">
        <f t="shared" ref="M255:M509" si="25">L255-F255</f>
        <v>2.5999999999999943</v>
      </c>
      <c r="N255" s="157"/>
      <c r="O255" s="158"/>
      <c r="P255" s="158"/>
      <c r="Q255" s="158"/>
      <c r="R255" s="158"/>
      <c r="S255" s="158"/>
      <c r="T255" s="158"/>
      <c r="U255" s="158"/>
      <c r="V255" s="158"/>
      <c r="W255" s="158"/>
      <c r="X255" s="158"/>
      <c r="Y255" s="158"/>
      <c r="Z255" s="158"/>
      <c r="AA255" s="158"/>
    </row>
    <row r="256" spans="1:27" ht="15.75" customHeight="1" x14ac:dyDescent="0.55000000000000004">
      <c r="A256" s="159">
        <v>40</v>
      </c>
      <c r="B256" s="159" t="s">
        <v>1139</v>
      </c>
      <c r="C256" s="159" t="s">
        <v>890</v>
      </c>
      <c r="D256" s="160">
        <v>33521</v>
      </c>
      <c r="E256" s="120" t="s">
        <v>2640</v>
      </c>
      <c r="F256" s="131">
        <v>30</v>
      </c>
      <c r="G256" s="120">
        <v>1</v>
      </c>
      <c r="H256" s="120"/>
      <c r="I256" s="120">
        <v>1</v>
      </c>
      <c r="J256" s="133" t="s">
        <v>2641</v>
      </c>
      <c r="K256" s="133">
        <v>3</v>
      </c>
      <c r="L256" s="117">
        <v>73.099999999999994</v>
      </c>
      <c r="M256" s="133">
        <f t="shared" si="25"/>
        <v>43.099999999999994</v>
      </c>
      <c r="N256" s="157"/>
      <c r="O256" s="158"/>
      <c r="P256" s="158"/>
      <c r="Q256" s="158"/>
      <c r="R256" s="158"/>
      <c r="S256" s="158"/>
      <c r="T256" s="158"/>
      <c r="U256" s="158"/>
      <c r="V256" s="158"/>
      <c r="W256" s="158"/>
      <c r="X256" s="158"/>
      <c r="Y256" s="158"/>
      <c r="Z256" s="158"/>
      <c r="AA256" s="158"/>
    </row>
    <row r="257" spans="1:27" ht="15.75" customHeight="1" x14ac:dyDescent="0.55000000000000004">
      <c r="A257" s="159">
        <v>40</v>
      </c>
      <c r="B257" s="159" t="s">
        <v>1139</v>
      </c>
      <c r="C257" s="159" t="s">
        <v>890</v>
      </c>
      <c r="D257" s="160">
        <v>33521</v>
      </c>
      <c r="E257" s="120" t="s">
        <v>2642</v>
      </c>
      <c r="F257" s="131">
        <v>59</v>
      </c>
      <c r="G257" s="120">
        <v>0</v>
      </c>
      <c r="H257" s="120"/>
      <c r="I257" s="120">
        <v>2</v>
      </c>
      <c r="J257" s="133" t="s">
        <v>2639</v>
      </c>
      <c r="K257" s="133">
        <v>3</v>
      </c>
      <c r="L257" s="117">
        <v>65.599999999999994</v>
      </c>
      <c r="M257" s="133">
        <f t="shared" si="25"/>
        <v>6.5999999999999943</v>
      </c>
      <c r="N257" s="157"/>
      <c r="O257" s="158"/>
      <c r="P257" s="158"/>
      <c r="Q257" s="158"/>
      <c r="R257" s="158"/>
      <c r="S257" s="158"/>
      <c r="T257" s="158"/>
      <c r="U257" s="158"/>
      <c r="V257" s="158"/>
      <c r="W257" s="158"/>
      <c r="X257" s="158"/>
      <c r="Y257" s="158"/>
      <c r="Z257" s="158"/>
      <c r="AA257" s="158"/>
    </row>
    <row r="258" spans="1:27" ht="15.75" customHeight="1" x14ac:dyDescent="0.55000000000000004">
      <c r="A258" s="162">
        <v>41</v>
      </c>
      <c r="B258" s="162" t="s">
        <v>1146</v>
      </c>
      <c r="C258" s="162" t="s">
        <v>1147</v>
      </c>
      <c r="D258" s="163">
        <v>33527</v>
      </c>
      <c r="E258" s="120" t="s">
        <v>2643</v>
      </c>
      <c r="F258" s="131">
        <v>57</v>
      </c>
      <c r="G258" s="120">
        <v>1</v>
      </c>
      <c r="H258" s="161" t="str">
        <f>HYPERLINK("https://www.findagrave.com/memorial/87630152/patricia-b-carney","0")</f>
        <v>0</v>
      </c>
      <c r="I258" s="120">
        <v>0</v>
      </c>
      <c r="J258" s="133" t="s">
        <v>853</v>
      </c>
      <c r="K258" s="133">
        <v>0</v>
      </c>
      <c r="L258" s="117">
        <v>72.2</v>
      </c>
      <c r="M258" s="133">
        <f t="shared" si="25"/>
        <v>15.200000000000003</v>
      </c>
      <c r="N258" s="157"/>
      <c r="O258" s="158"/>
      <c r="P258" s="158"/>
      <c r="Q258" s="158"/>
      <c r="R258" s="158"/>
      <c r="S258" s="158"/>
      <c r="T258" s="158"/>
      <c r="U258" s="158"/>
      <c r="V258" s="158"/>
      <c r="W258" s="158"/>
      <c r="X258" s="158"/>
      <c r="Y258" s="158"/>
      <c r="Z258" s="158"/>
      <c r="AA258" s="158"/>
    </row>
    <row r="259" spans="1:27" ht="15.75" customHeight="1" x14ac:dyDescent="0.55000000000000004">
      <c r="A259" s="162">
        <v>41</v>
      </c>
      <c r="B259" s="162" t="s">
        <v>1146</v>
      </c>
      <c r="C259" s="162" t="s">
        <v>1147</v>
      </c>
      <c r="D259" s="163">
        <v>33527</v>
      </c>
      <c r="E259" s="131" t="s">
        <v>2644</v>
      </c>
      <c r="F259" s="131">
        <v>48</v>
      </c>
      <c r="G259" s="120">
        <v>0</v>
      </c>
      <c r="H259" s="120"/>
      <c r="I259" s="120">
        <v>0</v>
      </c>
      <c r="J259" s="133" t="s">
        <v>853</v>
      </c>
      <c r="K259" s="133">
        <v>0</v>
      </c>
      <c r="L259" s="117">
        <v>65.599999999999994</v>
      </c>
      <c r="M259" s="133">
        <f t="shared" si="25"/>
        <v>17.599999999999994</v>
      </c>
      <c r="N259" s="157"/>
      <c r="O259" s="158"/>
      <c r="P259" s="158"/>
      <c r="Q259" s="158"/>
      <c r="R259" s="158"/>
      <c r="S259" s="158"/>
      <c r="T259" s="158"/>
      <c r="U259" s="158"/>
      <c r="V259" s="158"/>
      <c r="W259" s="158"/>
      <c r="X259" s="158"/>
      <c r="Y259" s="158"/>
      <c r="Z259" s="158"/>
      <c r="AA259" s="158"/>
    </row>
    <row r="260" spans="1:27" ht="15.75" customHeight="1" x14ac:dyDescent="0.55000000000000004">
      <c r="A260" s="162">
        <v>41</v>
      </c>
      <c r="B260" s="162" t="s">
        <v>1146</v>
      </c>
      <c r="C260" s="162" t="s">
        <v>1147</v>
      </c>
      <c r="D260" s="163">
        <v>33527</v>
      </c>
      <c r="E260" s="120" t="s">
        <v>2645</v>
      </c>
      <c r="F260" s="131">
        <v>62</v>
      </c>
      <c r="G260" s="120">
        <v>1</v>
      </c>
      <c r="H260" s="161" t="str">
        <f>HYPERLINK("https://www.findagrave.com/memorial/66440407/kriemhild-asnath_salome-davis","0")</f>
        <v>0</v>
      </c>
      <c r="I260" s="120">
        <v>0</v>
      </c>
      <c r="J260" s="133" t="s">
        <v>853</v>
      </c>
      <c r="K260" s="133">
        <v>0</v>
      </c>
      <c r="L260" s="117">
        <v>72.2</v>
      </c>
      <c r="M260" s="133">
        <f t="shared" si="25"/>
        <v>10.200000000000003</v>
      </c>
      <c r="N260" s="157"/>
      <c r="O260" s="158"/>
      <c r="P260" s="158"/>
      <c r="Q260" s="158"/>
      <c r="R260" s="158"/>
      <c r="S260" s="158"/>
      <c r="T260" s="158"/>
      <c r="U260" s="158"/>
      <c r="V260" s="158"/>
      <c r="W260" s="158"/>
      <c r="X260" s="158"/>
      <c r="Y260" s="158"/>
      <c r="Z260" s="158"/>
      <c r="AA260" s="158"/>
    </row>
    <row r="261" spans="1:27" ht="15.75" customHeight="1" x14ac:dyDescent="0.55000000000000004">
      <c r="A261" s="162">
        <v>41</v>
      </c>
      <c r="B261" s="162" t="s">
        <v>1146</v>
      </c>
      <c r="C261" s="162" t="s">
        <v>1147</v>
      </c>
      <c r="D261" s="163">
        <v>33527</v>
      </c>
      <c r="E261" s="120" t="s">
        <v>2646</v>
      </c>
      <c r="F261" s="131">
        <v>43</v>
      </c>
      <c r="G261" s="120">
        <v>0</v>
      </c>
      <c r="H261" s="161" t="str">
        <f>HYPERLINK("https://www.findagrave.com/memorial/39737377/steven-charles-dody/photo","0")</f>
        <v>0</v>
      </c>
      <c r="I261" s="120">
        <v>0</v>
      </c>
      <c r="J261" s="133" t="s">
        <v>853</v>
      </c>
      <c r="K261" s="133">
        <v>0</v>
      </c>
      <c r="L261" s="117">
        <v>66.5</v>
      </c>
      <c r="M261" s="133">
        <f t="shared" si="25"/>
        <v>23.5</v>
      </c>
      <c r="N261" s="157"/>
      <c r="O261" s="158"/>
      <c r="P261" s="158"/>
      <c r="Q261" s="158"/>
      <c r="R261" s="158"/>
      <c r="S261" s="158"/>
      <c r="T261" s="158"/>
      <c r="U261" s="158"/>
      <c r="V261" s="158"/>
      <c r="W261" s="158"/>
      <c r="X261" s="158"/>
      <c r="Y261" s="158"/>
      <c r="Z261" s="158"/>
      <c r="AA261" s="158"/>
    </row>
    <row r="262" spans="1:27" ht="15.75" customHeight="1" x14ac:dyDescent="0.55000000000000004">
      <c r="A262" s="162">
        <v>41</v>
      </c>
      <c r="B262" s="162" t="s">
        <v>1146</v>
      </c>
      <c r="C262" s="162" t="s">
        <v>1147</v>
      </c>
      <c r="D262" s="163">
        <v>33527</v>
      </c>
      <c r="E262" s="120" t="s">
        <v>2647</v>
      </c>
      <c r="F262" s="131">
        <v>71</v>
      </c>
      <c r="G262" s="120">
        <v>0</v>
      </c>
      <c r="H262" s="131">
        <v>0</v>
      </c>
      <c r="I262" s="120">
        <v>0</v>
      </c>
      <c r="J262" s="133" t="s">
        <v>853</v>
      </c>
      <c r="K262" s="133">
        <v>0</v>
      </c>
      <c r="L262" s="117">
        <v>80.2</v>
      </c>
      <c r="M262" s="133">
        <f t="shared" si="25"/>
        <v>9.2000000000000028</v>
      </c>
      <c r="N262" s="157"/>
      <c r="O262" s="158"/>
      <c r="P262" s="158"/>
      <c r="Q262" s="158"/>
      <c r="R262" s="158"/>
      <c r="S262" s="158"/>
      <c r="T262" s="158"/>
      <c r="U262" s="158"/>
      <c r="V262" s="158"/>
      <c r="W262" s="158"/>
      <c r="X262" s="158"/>
      <c r="Y262" s="158"/>
      <c r="Z262" s="158"/>
      <c r="AA262" s="158"/>
    </row>
    <row r="263" spans="1:27" ht="15.75" customHeight="1" x14ac:dyDescent="0.55000000000000004">
      <c r="A263" s="162">
        <v>41</v>
      </c>
      <c r="B263" s="162" t="s">
        <v>1146</v>
      </c>
      <c r="C263" s="162" t="s">
        <v>1147</v>
      </c>
      <c r="D263" s="163">
        <v>33527</v>
      </c>
      <c r="E263" s="120" t="s">
        <v>2648</v>
      </c>
      <c r="F263" s="131">
        <v>67</v>
      </c>
      <c r="G263" s="120">
        <v>1</v>
      </c>
      <c r="H263" s="161" t="str">
        <f>HYPERLINK("https://www.findagrave.com/memorial/716463/ursula-edith-gratia","0")</f>
        <v>0</v>
      </c>
      <c r="I263" s="120">
        <v>0</v>
      </c>
      <c r="J263" s="133" t="s">
        <v>853</v>
      </c>
      <c r="K263" s="133">
        <v>0</v>
      </c>
      <c r="L263" s="117">
        <v>84.1</v>
      </c>
      <c r="M263" s="133">
        <f t="shared" si="25"/>
        <v>17.099999999999994</v>
      </c>
      <c r="N263" s="157"/>
      <c r="O263" s="158"/>
      <c r="P263" s="158"/>
      <c r="Q263" s="158"/>
      <c r="R263" s="158"/>
      <c r="S263" s="158"/>
      <c r="T263" s="158"/>
      <c r="U263" s="158"/>
      <c r="V263" s="158"/>
      <c r="W263" s="158"/>
      <c r="X263" s="158"/>
      <c r="Y263" s="158"/>
      <c r="Z263" s="158"/>
      <c r="AA263" s="158"/>
    </row>
    <row r="264" spans="1:27" ht="15.75" customHeight="1" x14ac:dyDescent="0.55000000000000004">
      <c r="A264" s="162">
        <v>41</v>
      </c>
      <c r="B264" s="162" t="s">
        <v>1146</v>
      </c>
      <c r="C264" s="162" t="s">
        <v>1147</v>
      </c>
      <c r="D264" s="163">
        <v>33527</v>
      </c>
      <c r="E264" s="120" t="s">
        <v>2649</v>
      </c>
      <c r="F264" s="131">
        <v>33</v>
      </c>
      <c r="G264" s="120">
        <v>1</v>
      </c>
      <c r="H264" s="120"/>
      <c r="I264" s="120">
        <v>0</v>
      </c>
      <c r="J264" s="133" t="s">
        <v>853</v>
      </c>
      <c r="K264" s="133">
        <v>0</v>
      </c>
      <c r="L264" s="117">
        <v>73.099999999999994</v>
      </c>
      <c r="M264" s="133">
        <f t="shared" si="25"/>
        <v>40.099999999999994</v>
      </c>
      <c r="N264" s="157"/>
      <c r="O264" s="158"/>
      <c r="P264" s="158"/>
      <c r="Q264" s="158"/>
      <c r="R264" s="158"/>
      <c r="S264" s="158"/>
      <c r="T264" s="158"/>
      <c r="U264" s="158"/>
      <c r="V264" s="158"/>
      <c r="W264" s="158"/>
      <c r="X264" s="158"/>
      <c r="Y264" s="158"/>
      <c r="Z264" s="158"/>
      <c r="AA264" s="158"/>
    </row>
    <row r="265" spans="1:27" ht="15.75" customHeight="1" x14ac:dyDescent="0.55000000000000004">
      <c r="A265" s="162">
        <v>41</v>
      </c>
      <c r="B265" s="162" t="s">
        <v>1146</v>
      </c>
      <c r="C265" s="162" t="s">
        <v>1147</v>
      </c>
      <c r="D265" s="163">
        <v>33527</v>
      </c>
      <c r="E265" s="120" t="s">
        <v>2650</v>
      </c>
      <c r="F265" s="131">
        <v>48</v>
      </c>
      <c r="G265" s="120">
        <v>0</v>
      </c>
      <c r="H265" s="161" t="str">
        <f>HYPERLINK("https://www.findagrave.com/memorial/87612825/michael-edward-griffith","0")</f>
        <v>0</v>
      </c>
      <c r="I265" s="120">
        <v>0</v>
      </c>
      <c r="J265" s="133" t="s">
        <v>853</v>
      </c>
      <c r="K265" s="133">
        <v>0</v>
      </c>
      <c r="L265" s="117">
        <v>66.5</v>
      </c>
      <c r="M265" s="133">
        <f t="shared" si="25"/>
        <v>18.5</v>
      </c>
      <c r="N265" s="157"/>
      <c r="O265" s="158"/>
      <c r="P265" s="158"/>
      <c r="Q265" s="158"/>
      <c r="R265" s="158"/>
      <c r="S265" s="158"/>
      <c r="T265" s="158"/>
      <c r="U265" s="158"/>
      <c r="V265" s="158"/>
      <c r="W265" s="158"/>
      <c r="X265" s="158"/>
      <c r="Y265" s="158"/>
      <c r="Z265" s="158"/>
      <c r="AA265" s="158"/>
    </row>
    <row r="266" spans="1:27" ht="15.75" customHeight="1" x14ac:dyDescent="0.55000000000000004">
      <c r="A266" s="162">
        <v>41</v>
      </c>
      <c r="B266" s="162" t="s">
        <v>1146</v>
      </c>
      <c r="C266" s="162" t="s">
        <v>1147</v>
      </c>
      <c r="D266" s="163">
        <v>33527</v>
      </c>
      <c r="E266" s="131" t="s">
        <v>2651</v>
      </c>
      <c r="F266" s="131">
        <v>70</v>
      </c>
      <c r="G266" s="120">
        <v>1</v>
      </c>
      <c r="H266" s="120"/>
      <c r="I266" s="120">
        <v>0</v>
      </c>
      <c r="J266" s="133" t="s">
        <v>853</v>
      </c>
      <c r="K266" s="133">
        <v>0</v>
      </c>
      <c r="L266" s="117">
        <v>83.9</v>
      </c>
      <c r="M266" s="133">
        <f t="shared" si="25"/>
        <v>13.900000000000006</v>
      </c>
      <c r="N266" s="157"/>
      <c r="O266" s="158"/>
      <c r="P266" s="158"/>
      <c r="Q266" s="158"/>
      <c r="R266" s="158"/>
      <c r="S266" s="158"/>
      <c r="T266" s="158"/>
      <c r="U266" s="158"/>
      <c r="V266" s="158"/>
      <c r="W266" s="158"/>
      <c r="X266" s="158"/>
      <c r="Y266" s="158"/>
      <c r="Z266" s="158"/>
      <c r="AA266" s="158"/>
    </row>
    <row r="267" spans="1:27" ht="15.75" customHeight="1" x14ac:dyDescent="0.55000000000000004">
      <c r="A267" s="162">
        <v>41</v>
      </c>
      <c r="B267" s="162" t="s">
        <v>1146</v>
      </c>
      <c r="C267" s="162" t="s">
        <v>1147</v>
      </c>
      <c r="D267" s="163">
        <v>33527</v>
      </c>
      <c r="E267" s="131" t="s">
        <v>2652</v>
      </c>
      <c r="F267" s="131">
        <v>63</v>
      </c>
      <c r="G267" s="120">
        <v>1</v>
      </c>
      <c r="H267" s="120"/>
      <c r="I267" s="120">
        <v>0</v>
      </c>
      <c r="J267" s="133" t="s">
        <v>853</v>
      </c>
      <c r="K267" s="133">
        <v>0</v>
      </c>
      <c r="L267" s="117">
        <v>71.099999999999994</v>
      </c>
      <c r="M267" s="133">
        <f t="shared" si="25"/>
        <v>8.0999999999999943</v>
      </c>
      <c r="N267" s="157"/>
      <c r="O267" s="158"/>
      <c r="P267" s="158"/>
      <c r="Q267" s="158"/>
      <c r="R267" s="158"/>
      <c r="S267" s="158"/>
      <c r="T267" s="158"/>
      <c r="U267" s="158"/>
      <c r="V267" s="158"/>
      <c r="W267" s="158"/>
      <c r="X267" s="158"/>
      <c r="Y267" s="158"/>
      <c r="Z267" s="158"/>
      <c r="AA267" s="158"/>
    </row>
    <row r="268" spans="1:27" ht="15.75" customHeight="1" x14ac:dyDescent="0.55000000000000004">
      <c r="A268" s="162">
        <v>41</v>
      </c>
      <c r="B268" s="162" t="s">
        <v>1146</v>
      </c>
      <c r="C268" s="162" t="s">
        <v>1147</v>
      </c>
      <c r="D268" s="163">
        <v>33527</v>
      </c>
      <c r="E268" s="131" t="s">
        <v>2653</v>
      </c>
      <c r="F268" s="131">
        <v>30</v>
      </c>
      <c r="G268" s="120">
        <v>1</v>
      </c>
      <c r="H268" s="120"/>
      <c r="I268" s="120">
        <v>0</v>
      </c>
      <c r="J268" s="133" t="s">
        <v>853</v>
      </c>
      <c r="K268" s="133">
        <v>0</v>
      </c>
      <c r="L268" s="117">
        <v>73.099999999999994</v>
      </c>
      <c r="M268" s="133">
        <f t="shared" si="25"/>
        <v>43.099999999999994</v>
      </c>
      <c r="N268" s="157"/>
      <c r="O268" s="158"/>
      <c r="P268" s="158"/>
      <c r="Q268" s="158"/>
      <c r="R268" s="158"/>
      <c r="S268" s="158"/>
      <c r="T268" s="158"/>
      <c r="U268" s="158"/>
      <c r="V268" s="158"/>
      <c r="W268" s="158"/>
      <c r="X268" s="158"/>
      <c r="Y268" s="158"/>
      <c r="Z268" s="158"/>
      <c r="AA268" s="158"/>
    </row>
    <row r="269" spans="1:27" ht="15.75" customHeight="1" x14ac:dyDescent="0.55000000000000004">
      <c r="A269" s="162">
        <v>41</v>
      </c>
      <c r="B269" s="162" t="s">
        <v>1146</v>
      </c>
      <c r="C269" s="162" t="s">
        <v>1147</v>
      </c>
      <c r="D269" s="163">
        <v>33527</v>
      </c>
      <c r="E269" s="131" t="s">
        <v>2654</v>
      </c>
      <c r="F269" s="131">
        <v>45</v>
      </c>
      <c r="G269" s="120">
        <v>1</v>
      </c>
      <c r="H269" s="120"/>
      <c r="I269" s="120">
        <v>0</v>
      </c>
      <c r="J269" s="133" t="s">
        <v>853</v>
      </c>
      <c r="K269" s="133">
        <v>0</v>
      </c>
      <c r="L269" s="117">
        <v>71.099999999999994</v>
      </c>
      <c r="M269" s="133">
        <f t="shared" si="25"/>
        <v>26.099999999999994</v>
      </c>
      <c r="N269" s="157"/>
      <c r="O269" s="158"/>
      <c r="P269" s="158"/>
      <c r="Q269" s="158"/>
      <c r="R269" s="158"/>
      <c r="S269" s="158"/>
      <c r="T269" s="158"/>
      <c r="U269" s="158"/>
      <c r="V269" s="158"/>
      <c r="W269" s="158"/>
      <c r="X269" s="158"/>
      <c r="Y269" s="158"/>
      <c r="Z269" s="158"/>
      <c r="AA269" s="158"/>
    </row>
    <row r="270" spans="1:27" ht="15.75" customHeight="1" x14ac:dyDescent="0.55000000000000004">
      <c r="A270" s="162">
        <v>41</v>
      </c>
      <c r="B270" s="162" t="s">
        <v>1146</v>
      </c>
      <c r="C270" s="162" t="s">
        <v>1147</v>
      </c>
      <c r="D270" s="163">
        <v>33527</v>
      </c>
      <c r="E270" s="120" t="s">
        <v>2655</v>
      </c>
      <c r="F270" s="161" t="str">
        <f>HYPERLINK("https://www.findagrave.com/memorial/78253059/connie-deen-peterson","41")</f>
        <v>41</v>
      </c>
      <c r="G270" s="120">
        <v>1</v>
      </c>
      <c r="H270" s="161" t="str">
        <f>HYPERLINK("https://www.findagrave.com/memorial/78253059/connie-deen-peterson","0")</f>
        <v>0</v>
      </c>
      <c r="I270" s="120">
        <v>0</v>
      </c>
      <c r="J270" s="133" t="s">
        <v>853</v>
      </c>
      <c r="K270" s="133">
        <v>0</v>
      </c>
      <c r="L270" s="117">
        <v>72.2</v>
      </c>
      <c r="M270" s="133">
        <f t="shared" si="25"/>
        <v>31.200000000000003</v>
      </c>
      <c r="N270" s="157"/>
      <c r="O270" s="158"/>
      <c r="P270" s="158"/>
      <c r="Q270" s="158"/>
      <c r="R270" s="158"/>
      <c r="S270" s="158"/>
      <c r="T270" s="158"/>
      <c r="U270" s="158"/>
      <c r="V270" s="158"/>
      <c r="W270" s="158"/>
      <c r="X270" s="158"/>
      <c r="Y270" s="158"/>
      <c r="Z270" s="158"/>
      <c r="AA270" s="158"/>
    </row>
    <row r="271" spans="1:27" ht="15.75" customHeight="1" x14ac:dyDescent="0.55000000000000004">
      <c r="A271" s="162">
        <v>41</v>
      </c>
      <c r="B271" s="162" t="s">
        <v>1146</v>
      </c>
      <c r="C271" s="162" t="s">
        <v>1147</v>
      </c>
      <c r="D271" s="163">
        <v>33527</v>
      </c>
      <c r="E271" s="120" t="s">
        <v>2656</v>
      </c>
      <c r="F271" s="131">
        <v>55</v>
      </c>
      <c r="G271" s="120">
        <v>1</v>
      </c>
      <c r="H271" s="131">
        <v>0</v>
      </c>
      <c r="I271" s="120">
        <v>0</v>
      </c>
      <c r="J271" s="133" t="s">
        <v>853</v>
      </c>
      <c r="K271" s="133">
        <v>0</v>
      </c>
      <c r="L271" s="117">
        <v>72.2</v>
      </c>
      <c r="M271" s="133">
        <f t="shared" si="25"/>
        <v>17.200000000000003</v>
      </c>
      <c r="N271" s="157"/>
      <c r="O271" s="158"/>
      <c r="P271" s="158"/>
      <c r="Q271" s="158"/>
      <c r="R271" s="158"/>
      <c r="S271" s="158"/>
      <c r="T271" s="158"/>
      <c r="U271" s="158"/>
      <c r="V271" s="158"/>
      <c r="W271" s="158"/>
      <c r="X271" s="158"/>
      <c r="Y271" s="158"/>
      <c r="Z271" s="158"/>
      <c r="AA271" s="158"/>
    </row>
    <row r="272" spans="1:27" ht="15.75" customHeight="1" x14ac:dyDescent="0.55000000000000004">
      <c r="A272" s="162">
        <v>41</v>
      </c>
      <c r="B272" s="162" t="s">
        <v>1146</v>
      </c>
      <c r="C272" s="162" t="s">
        <v>1147</v>
      </c>
      <c r="D272" s="163">
        <v>33527</v>
      </c>
      <c r="E272" s="120" t="s">
        <v>2657</v>
      </c>
      <c r="F272" s="131">
        <v>36</v>
      </c>
      <c r="G272" s="120">
        <v>1</v>
      </c>
      <c r="H272" s="161" t="str">
        <f>HYPERLINK("https://www.findagrave.com/memorial/87616502/su_zann-rashott","0")</f>
        <v>0</v>
      </c>
      <c r="I272" s="120">
        <v>0</v>
      </c>
      <c r="J272" s="133" t="s">
        <v>853</v>
      </c>
      <c r="K272" s="133">
        <v>0</v>
      </c>
      <c r="L272" s="117">
        <v>74.099999999999994</v>
      </c>
      <c r="M272" s="133">
        <f t="shared" si="25"/>
        <v>38.099999999999994</v>
      </c>
      <c r="N272" s="157"/>
      <c r="O272" s="158"/>
      <c r="P272" s="158"/>
      <c r="Q272" s="158"/>
      <c r="R272" s="158"/>
      <c r="S272" s="158"/>
      <c r="T272" s="158"/>
      <c r="U272" s="158"/>
      <c r="V272" s="158"/>
      <c r="W272" s="158"/>
      <c r="X272" s="158"/>
      <c r="Y272" s="158"/>
      <c r="Z272" s="158"/>
      <c r="AA272" s="158"/>
    </row>
    <row r="273" spans="1:27" ht="15.75" customHeight="1" x14ac:dyDescent="0.55000000000000004">
      <c r="A273" s="162">
        <v>41</v>
      </c>
      <c r="B273" s="162" t="s">
        <v>1146</v>
      </c>
      <c r="C273" s="162" t="s">
        <v>1147</v>
      </c>
      <c r="D273" s="163">
        <v>33527</v>
      </c>
      <c r="E273" s="120" t="s">
        <v>2658</v>
      </c>
      <c r="F273" s="131">
        <v>33</v>
      </c>
      <c r="G273" s="120">
        <v>0</v>
      </c>
      <c r="H273" s="131">
        <v>2</v>
      </c>
      <c r="I273" s="120">
        <v>0</v>
      </c>
      <c r="J273" s="133" t="s">
        <v>853</v>
      </c>
      <c r="K273" s="133">
        <v>0</v>
      </c>
      <c r="L273" s="117">
        <v>66.599999999999994</v>
      </c>
      <c r="M273" s="133">
        <f t="shared" si="25"/>
        <v>33.599999999999994</v>
      </c>
      <c r="N273" s="157"/>
      <c r="O273" s="158"/>
      <c r="P273" s="158"/>
      <c r="Q273" s="158"/>
      <c r="R273" s="158"/>
      <c r="S273" s="158"/>
      <c r="T273" s="158"/>
      <c r="U273" s="158"/>
      <c r="V273" s="158"/>
      <c r="W273" s="158"/>
      <c r="X273" s="158"/>
      <c r="Y273" s="158"/>
      <c r="Z273" s="158"/>
      <c r="AA273" s="158"/>
    </row>
    <row r="274" spans="1:27" ht="15.75" customHeight="1" x14ac:dyDescent="0.55000000000000004">
      <c r="A274" s="162">
        <v>41</v>
      </c>
      <c r="B274" s="162" t="s">
        <v>1146</v>
      </c>
      <c r="C274" s="162" t="s">
        <v>1147</v>
      </c>
      <c r="D274" s="163">
        <v>33527</v>
      </c>
      <c r="E274" s="120" t="s">
        <v>2659</v>
      </c>
      <c r="F274" s="161" t="str">
        <f>HYPERLINK("https://www.findagrave.com/memorial/19940410/thomas-earl-simmons","33")</f>
        <v>33</v>
      </c>
      <c r="G274" s="120">
        <v>0</v>
      </c>
      <c r="H274" s="120"/>
      <c r="I274" s="120">
        <v>0</v>
      </c>
      <c r="J274" s="133" t="s">
        <v>853</v>
      </c>
      <c r="K274" s="133">
        <v>0</v>
      </c>
      <c r="L274" s="117">
        <v>66.599999999999994</v>
      </c>
      <c r="M274" s="133">
        <f t="shared" si="25"/>
        <v>33.599999999999994</v>
      </c>
      <c r="N274" s="157"/>
      <c r="O274" s="158"/>
      <c r="P274" s="158"/>
      <c r="Q274" s="158"/>
      <c r="R274" s="158"/>
      <c r="S274" s="158"/>
      <c r="T274" s="158"/>
      <c r="U274" s="158"/>
      <c r="V274" s="158"/>
      <c r="W274" s="158"/>
      <c r="X274" s="158"/>
      <c r="Y274" s="158"/>
      <c r="Z274" s="158"/>
      <c r="AA274" s="158"/>
    </row>
    <row r="275" spans="1:27" ht="15.75" customHeight="1" x14ac:dyDescent="0.55000000000000004">
      <c r="A275" s="162">
        <v>41</v>
      </c>
      <c r="B275" s="162" t="s">
        <v>1146</v>
      </c>
      <c r="C275" s="162" t="s">
        <v>1147</v>
      </c>
      <c r="D275" s="163">
        <v>33527</v>
      </c>
      <c r="E275" s="120" t="s">
        <v>2660</v>
      </c>
      <c r="F275" s="161" t="str">
        <f>HYPERLINK("https://www.findagrave.com/memorial/43833566/glen-arval-spivey","55")</f>
        <v>55</v>
      </c>
      <c r="G275" s="131">
        <v>0</v>
      </c>
      <c r="H275" s="120"/>
      <c r="I275" s="120">
        <v>0</v>
      </c>
      <c r="J275" s="133" t="s">
        <v>853</v>
      </c>
      <c r="K275" s="133">
        <v>0</v>
      </c>
      <c r="L275" s="117">
        <v>66.599999999999994</v>
      </c>
      <c r="M275" s="133">
        <f t="shared" si="25"/>
        <v>11.599999999999994</v>
      </c>
      <c r="N275" s="157"/>
      <c r="O275" s="158"/>
      <c r="P275" s="158"/>
      <c r="Q275" s="158"/>
      <c r="R275" s="158"/>
      <c r="S275" s="158"/>
      <c r="T275" s="158"/>
      <c r="U275" s="158"/>
      <c r="V275" s="158"/>
      <c r="W275" s="158"/>
      <c r="X275" s="158"/>
      <c r="Y275" s="158"/>
      <c r="Z275" s="158"/>
      <c r="AA275" s="158"/>
    </row>
    <row r="276" spans="1:27" ht="15.75" customHeight="1" x14ac:dyDescent="0.55000000000000004">
      <c r="A276" s="162">
        <v>41</v>
      </c>
      <c r="B276" s="162" t="s">
        <v>1146</v>
      </c>
      <c r="C276" s="162" t="s">
        <v>1147</v>
      </c>
      <c r="D276" s="163">
        <v>33527</v>
      </c>
      <c r="E276" s="120" t="s">
        <v>2661</v>
      </c>
      <c r="F276" s="131">
        <v>44</v>
      </c>
      <c r="G276" s="120">
        <v>1</v>
      </c>
      <c r="H276" s="161" t="str">
        <f>HYPERLINK("https://www.findagrave.com/memorial/71834780/nancy-faye-stansbury","0")</f>
        <v>0</v>
      </c>
      <c r="I276" s="120">
        <v>0</v>
      </c>
      <c r="J276" s="133" t="s">
        <v>853</v>
      </c>
      <c r="K276" s="133">
        <v>0</v>
      </c>
      <c r="L276" s="117">
        <v>72.2</v>
      </c>
      <c r="M276" s="133">
        <f t="shared" si="25"/>
        <v>28.200000000000003</v>
      </c>
      <c r="N276" s="157"/>
      <c r="O276" s="158"/>
      <c r="P276" s="158"/>
      <c r="Q276" s="158"/>
      <c r="R276" s="158"/>
      <c r="S276" s="158"/>
      <c r="T276" s="158"/>
      <c r="U276" s="158"/>
      <c r="V276" s="158"/>
      <c r="W276" s="158"/>
      <c r="X276" s="158"/>
      <c r="Y276" s="158"/>
      <c r="Z276" s="158"/>
      <c r="AA276" s="158"/>
    </row>
    <row r="277" spans="1:27" ht="15.75" customHeight="1" x14ac:dyDescent="0.55000000000000004">
      <c r="A277" s="162">
        <v>41</v>
      </c>
      <c r="B277" s="162" t="s">
        <v>1146</v>
      </c>
      <c r="C277" s="162" t="s">
        <v>1147</v>
      </c>
      <c r="D277" s="163">
        <v>33527</v>
      </c>
      <c r="E277" s="120" t="s">
        <v>2662</v>
      </c>
      <c r="F277" s="131">
        <v>45</v>
      </c>
      <c r="G277" s="120">
        <v>1</v>
      </c>
      <c r="H277" s="120"/>
      <c r="I277" s="120">
        <v>0</v>
      </c>
      <c r="J277" s="133" t="s">
        <v>853</v>
      </c>
      <c r="K277" s="133">
        <v>0</v>
      </c>
      <c r="L277" s="117">
        <v>71.099999999999994</v>
      </c>
      <c r="M277" s="133">
        <f t="shared" si="25"/>
        <v>26.099999999999994</v>
      </c>
      <c r="N277" s="157"/>
      <c r="O277" s="158"/>
      <c r="P277" s="158"/>
      <c r="Q277" s="158"/>
      <c r="R277" s="158"/>
      <c r="S277" s="158"/>
      <c r="T277" s="158"/>
      <c r="U277" s="158"/>
      <c r="V277" s="158"/>
      <c r="W277" s="158"/>
      <c r="X277" s="158"/>
      <c r="Y277" s="158"/>
      <c r="Z277" s="158"/>
      <c r="AA277" s="158"/>
    </row>
    <row r="278" spans="1:27" ht="15.75" customHeight="1" x14ac:dyDescent="0.55000000000000004">
      <c r="A278" s="162">
        <v>41</v>
      </c>
      <c r="B278" s="162" t="s">
        <v>1146</v>
      </c>
      <c r="C278" s="162" t="s">
        <v>1147</v>
      </c>
      <c r="D278" s="163">
        <v>33527</v>
      </c>
      <c r="E278" s="131" t="s">
        <v>2663</v>
      </c>
      <c r="F278" s="131">
        <v>75</v>
      </c>
      <c r="G278" s="120">
        <v>0</v>
      </c>
      <c r="H278" s="120"/>
      <c r="I278" s="120">
        <v>0</v>
      </c>
      <c r="J278" s="133" t="s">
        <v>853</v>
      </c>
      <c r="K278" s="133">
        <v>0</v>
      </c>
      <c r="L278" s="117">
        <v>84.4</v>
      </c>
      <c r="M278" s="133">
        <f t="shared" si="25"/>
        <v>9.4000000000000057</v>
      </c>
      <c r="N278" s="157"/>
      <c r="O278" s="158"/>
      <c r="P278" s="158"/>
      <c r="Q278" s="158"/>
      <c r="R278" s="158"/>
      <c r="S278" s="158"/>
      <c r="T278" s="158"/>
      <c r="U278" s="158"/>
      <c r="V278" s="158"/>
      <c r="W278" s="158"/>
      <c r="X278" s="158"/>
      <c r="Y278" s="158"/>
      <c r="Z278" s="158"/>
      <c r="AA278" s="158"/>
    </row>
    <row r="279" spans="1:27" ht="15.75" customHeight="1" x14ac:dyDescent="0.55000000000000004">
      <c r="A279" s="162">
        <v>41</v>
      </c>
      <c r="B279" s="162" t="s">
        <v>1146</v>
      </c>
      <c r="C279" s="162" t="s">
        <v>1147</v>
      </c>
      <c r="D279" s="163">
        <v>33527</v>
      </c>
      <c r="E279" s="120" t="s">
        <v>2664</v>
      </c>
      <c r="F279" s="131">
        <v>75</v>
      </c>
      <c r="G279" s="120">
        <v>1</v>
      </c>
      <c r="H279" s="161" t="str">
        <f>HYPERLINK("https://www.findagrave.com/memorial/200497750/lula-belle-welsh","0")</f>
        <v>0</v>
      </c>
      <c r="I279" s="120">
        <v>0</v>
      </c>
      <c r="J279" s="133" t="s">
        <v>853</v>
      </c>
      <c r="K279" s="133">
        <v>0</v>
      </c>
      <c r="L279" s="117">
        <v>87</v>
      </c>
      <c r="M279" s="133">
        <f t="shared" si="25"/>
        <v>12</v>
      </c>
      <c r="N279" s="157"/>
      <c r="O279" s="158"/>
      <c r="P279" s="158"/>
      <c r="Q279" s="158"/>
      <c r="R279" s="158"/>
      <c r="S279" s="158"/>
      <c r="T279" s="158"/>
      <c r="U279" s="158"/>
      <c r="V279" s="158"/>
      <c r="W279" s="158"/>
      <c r="X279" s="158"/>
      <c r="Y279" s="158"/>
      <c r="Z279" s="158"/>
      <c r="AA279" s="158"/>
    </row>
    <row r="280" spans="1:27" ht="15.75" customHeight="1" x14ac:dyDescent="0.55000000000000004">
      <c r="A280" s="162">
        <v>41</v>
      </c>
      <c r="B280" s="162" t="s">
        <v>1146</v>
      </c>
      <c r="C280" s="162" t="s">
        <v>1147</v>
      </c>
      <c r="D280" s="163">
        <v>33527</v>
      </c>
      <c r="E280" s="120" t="s">
        <v>2665</v>
      </c>
      <c r="F280" s="131">
        <v>64</v>
      </c>
      <c r="G280" s="120">
        <v>1</v>
      </c>
      <c r="H280" s="161" t="str">
        <f>HYPERLINK("https://www.findagrave.com/memorial/5837388/iva-juanita-williams","0")</f>
        <v>0</v>
      </c>
      <c r="I280" s="120">
        <v>0</v>
      </c>
      <c r="J280" s="133" t="s">
        <v>853</v>
      </c>
      <c r="K280" s="133">
        <v>0</v>
      </c>
      <c r="L280" s="117">
        <v>72.2</v>
      </c>
      <c r="M280" s="133">
        <f t="shared" si="25"/>
        <v>8.2000000000000028</v>
      </c>
      <c r="N280" s="157"/>
      <c r="O280" s="158"/>
      <c r="P280" s="158"/>
      <c r="Q280" s="158"/>
      <c r="R280" s="158"/>
      <c r="S280" s="158"/>
      <c r="T280" s="158"/>
      <c r="U280" s="158"/>
      <c r="V280" s="158"/>
      <c r="W280" s="158"/>
      <c r="X280" s="158"/>
      <c r="Y280" s="158"/>
      <c r="Z280" s="158"/>
      <c r="AA280" s="158"/>
    </row>
    <row r="281" spans="1:27" ht="15.75" customHeight="1" x14ac:dyDescent="0.55000000000000004">
      <c r="A281" s="171">
        <v>42</v>
      </c>
      <c r="B281" s="171" t="s">
        <v>1153</v>
      </c>
      <c r="C281" s="171" t="s">
        <v>1154</v>
      </c>
      <c r="D281" s="172">
        <v>33543</v>
      </c>
      <c r="E281" s="120" t="s">
        <v>2666</v>
      </c>
      <c r="F281" s="131">
        <v>55</v>
      </c>
      <c r="G281" s="120">
        <v>1</v>
      </c>
      <c r="H281" s="131">
        <v>0</v>
      </c>
      <c r="I281" s="120">
        <v>1</v>
      </c>
      <c r="J281" s="133" t="s">
        <v>2667</v>
      </c>
      <c r="K281" s="133">
        <v>4</v>
      </c>
      <c r="L281" s="117">
        <v>72.2</v>
      </c>
      <c r="M281" s="133">
        <f t="shared" si="25"/>
        <v>17.200000000000003</v>
      </c>
      <c r="N281" s="157"/>
      <c r="O281" s="158"/>
      <c r="P281" s="158"/>
      <c r="Q281" s="158"/>
      <c r="R281" s="158"/>
      <c r="S281" s="158"/>
      <c r="T281" s="158"/>
      <c r="U281" s="158"/>
      <c r="V281" s="158"/>
      <c r="W281" s="158"/>
      <c r="X281" s="158"/>
      <c r="Y281" s="158"/>
      <c r="Z281" s="158"/>
      <c r="AA281" s="158"/>
    </row>
    <row r="282" spans="1:27" ht="15.75" customHeight="1" x14ac:dyDescent="0.55000000000000004">
      <c r="A282" s="171">
        <v>42</v>
      </c>
      <c r="B282" s="171" t="s">
        <v>1153</v>
      </c>
      <c r="C282" s="171" t="s">
        <v>1154</v>
      </c>
      <c r="D282" s="172">
        <v>33543</v>
      </c>
      <c r="E282" s="120" t="s">
        <v>2668</v>
      </c>
      <c r="F282" s="131">
        <v>47</v>
      </c>
      <c r="G282" s="120">
        <v>0</v>
      </c>
      <c r="H282" s="120">
        <v>0</v>
      </c>
      <c r="I282" s="120">
        <v>1</v>
      </c>
      <c r="J282" s="133" t="s">
        <v>2669</v>
      </c>
      <c r="K282" s="133">
        <v>4</v>
      </c>
      <c r="L282" s="117">
        <v>66.5</v>
      </c>
      <c r="M282" s="133">
        <f t="shared" si="25"/>
        <v>19.5</v>
      </c>
      <c r="N282" s="157"/>
      <c r="O282" s="158"/>
      <c r="P282" s="158"/>
      <c r="Q282" s="158"/>
      <c r="R282" s="158"/>
      <c r="S282" s="158"/>
      <c r="T282" s="158"/>
      <c r="U282" s="158"/>
      <c r="V282" s="158"/>
      <c r="W282" s="158"/>
      <c r="X282" s="158"/>
      <c r="Y282" s="158"/>
      <c r="Z282" s="158"/>
      <c r="AA282" s="158"/>
    </row>
    <row r="283" spans="1:27" ht="15.75" customHeight="1" x14ac:dyDescent="0.55000000000000004">
      <c r="A283" s="171">
        <v>42</v>
      </c>
      <c r="B283" s="171" t="s">
        <v>1153</v>
      </c>
      <c r="C283" s="171" t="s">
        <v>1154</v>
      </c>
      <c r="D283" s="172">
        <v>33543</v>
      </c>
      <c r="E283" s="120" t="s">
        <v>2670</v>
      </c>
      <c r="F283" s="131">
        <v>44</v>
      </c>
      <c r="G283" s="120">
        <v>0</v>
      </c>
      <c r="H283" s="120">
        <v>0</v>
      </c>
      <c r="I283" s="120">
        <v>1</v>
      </c>
      <c r="J283" s="133" t="s">
        <v>2669</v>
      </c>
      <c r="K283" s="133">
        <v>4</v>
      </c>
      <c r="L283" s="117">
        <v>66.5</v>
      </c>
      <c r="M283" s="133">
        <f t="shared" si="25"/>
        <v>22.5</v>
      </c>
      <c r="N283" s="157"/>
      <c r="O283" s="158"/>
      <c r="P283" s="158"/>
      <c r="Q283" s="158"/>
      <c r="R283" s="158"/>
      <c r="S283" s="158"/>
      <c r="T283" s="158"/>
      <c r="U283" s="158"/>
      <c r="V283" s="158"/>
      <c r="W283" s="158"/>
      <c r="X283" s="158"/>
      <c r="Y283" s="158"/>
      <c r="Z283" s="158"/>
      <c r="AA283" s="158"/>
    </row>
    <row r="284" spans="1:27" ht="15.75" customHeight="1" x14ac:dyDescent="0.55000000000000004">
      <c r="A284" s="171">
        <v>42</v>
      </c>
      <c r="B284" s="171" t="s">
        <v>1153</v>
      </c>
      <c r="C284" s="171" t="s">
        <v>1154</v>
      </c>
      <c r="D284" s="172">
        <v>33543</v>
      </c>
      <c r="E284" s="120" t="s">
        <v>2671</v>
      </c>
      <c r="F284" s="131">
        <v>45</v>
      </c>
      <c r="G284" s="120">
        <v>0</v>
      </c>
      <c r="H284" s="120">
        <v>0</v>
      </c>
      <c r="I284" s="120">
        <v>1</v>
      </c>
      <c r="J284" s="133" t="s">
        <v>2669</v>
      </c>
      <c r="K284" s="133">
        <v>4</v>
      </c>
      <c r="L284" s="117">
        <v>66.5</v>
      </c>
      <c r="M284" s="133">
        <f t="shared" si="25"/>
        <v>21.5</v>
      </c>
      <c r="N284" s="157"/>
      <c r="O284" s="158"/>
      <c r="P284" s="158"/>
      <c r="Q284" s="158"/>
      <c r="R284" s="158"/>
      <c r="S284" s="158"/>
      <c r="T284" s="158"/>
      <c r="U284" s="158"/>
      <c r="V284" s="158"/>
      <c r="W284" s="158"/>
      <c r="X284" s="158"/>
      <c r="Y284" s="158"/>
      <c r="Z284" s="158"/>
      <c r="AA284" s="158"/>
    </row>
    <row r="285" spans="1:27" ht="15.75" customHeight="1" x14ac:dyDescent="0.55000000000000004">
      <c r="A285" s="171">
        <v>42</v>
      </c>
      <c r="B285" s="171" t="s">
        <v>1153</v>
      </c>
      <c r="C285" s="171" t="s">
        <v>1154</v>
      </c>
      <c r="D285" s="172">
        <v>33543</v>
      </c>
      <c r="E285" s="120" t="s">
        <v>2672</v>
      </c>
      <c r="F285" s="131">
        <v>26</v>
      </c>
      <c r="G285" s="120">
        <v>0</v>
      </c>
      <c r="H285" s="120">
        <v>3</v>
      </c>
      <c r="I285" s="120">
        <v>1</v>
      </c>
      <c r="J285" s="133" t="s">
        <v>2673</v>
      </c>
      <c r="K285" s="133">
        <v>4</v>
      </c>
      <c r="L285" s="117">
        <v>67.099999999999994</v>
      </c>
      <c r="M285" s="133">
        <f t="shared" si="25"/>
        <v>41.099999999999994</v>
      </c>
      <c r="N285" s="157"/>
      <c r="O285" s="158"/>
      <c r="P285" s="158"/>
      <c r="Q285" s="158"/>
      <c r="R285" s="158"/>
      <c r="S285" s="158"/>
      <c r="T285" s="158"/>
      <c r="U285" s="158"/>
      <c r="V285" s="158"/>
      <c r="W285" s="158"/>
      <c r="X285" s="158"/>
      <c r="Y285" s="158"/>
      <c r="Z285" s="158"/>
      <c r="AA285" s="158"/>
    </row>
    <row r="286" spans="1:27" ht="15.75" customHeight="1" x14ac:dyDescent="0.55000000000000004">
      <c r="A286" s="164">
        <v>43</v>
      </c>
      <c r="B286" s="164" t="s">
        <v>1163</v>
      </c>
      <c r="C286" s="164" t="s">
        <v>859</v>
      </c>
      <c r="D286" s="165">
        <v>33551</v>
      </c>
      <c r="E286" s="131" t="s">
        <v>2674</v>
      </c>
      <c r="F286" s="131">
        <v>48</v>
      </c>
      <c r="G286" s="120">
        <v>0</v>
      </c>
      <c r="H286" s="120"/>
      <c r="I286" s="120">
        <v>0</v>
      </c>
      <c r="J286" s="133" t="s">
        <v>853</v>
      </c>
      <c r="K286" s="133">
        <v>0</v>
      </c>
      <c r="L286" s="117">
        <v>65.599999999999994</v>
      </c>
      <c r="M286" s="133">
        <f t="shared" si="25"/>
        <v>17.599999999999994</v>
      </c>
      <c r="N286" s="157"/>
      <c r="O286" s="158"/>
      <c r="P286" s="158"/>
      <c r="Q286" s="158"/>
      <c r="R286" s="158"/>
      <c r="S286" s="158"/>
      <c r="T286" s="158"/>
      <c r="U286" s="158"/>
      <c r="V286" s="158"/>
      <c r="W286" s="158"/>
      <c r="X286" s="158"/>
      <c r="Y286" s="158"/>
      <c r="Z286" s="158"/>
      <c r="AA286" s="158"/>
    </row>
    <row r="287" spans="1:27" ht="15.75" customHeight="1" x14ac:dyDescent="0.55000000000000004">
      <c r="A287" s="164">
        <v>43</v>
      </c>
      <c r="B287" s="164" t="s">
        <v>1163</v>
      </c>
      <c r="C287" s="164" t="s">
        <v>859</v>
      </c>
      <c r="D287" s="165">
        <v>33551</v>
      </c>
      <c r="E287" s="131" t="s">
        <v>2675</v>
      </c>
      <c r="F287" s="131">
        <v>38</v>
      </c>
      <c r="G287" s="120">
        <v>0</v>
      </c>
      <c r="H287" s="120"/>
      <c r="I287" s="120">
        <v>0</v>
      </c>
      <c r="J287" s="133" t="s">
        <v>853</v>
      </c>
      <c r="K287" s="133">
        <v>0</v>
      </c>
      <c r="L287" s="117">
        <v>65.599999999999994</v>
      </c>
      <c r="M287" s="133">
        <f t="shared" si="25"/>
        <v>27.599999999999994</v>
      </c>
      <c r="N287" s="157"/>
      <c r="O287" s="158"/>
      <c r="P287" s="158"/>
      <c r="Q287" s="158"/>
      <c r="R287" s="158"/>
      <c r="S287" s="158"/>
      <c r="T287" s="158"/>
      <c r="U287" s="158"/>
      <c r="V287" s="158"/>
      <c r="W287" s="158"/>
      <c r="X287" s="158"/>
      <c r="Y287" s="158"/>
      <c r="Z287" s="158"/>
      <c r="AA287" s="158"/>
    </row>
    <row r="288" spans="1:27" ht="15.75" customHeight="1" x14ac:dyDescent="0.55000000000000004">
      <c r="A288" s="164">
        <v>43</v>
      </c>
      <c r="B288" s="164" t="s">
        <v>1163</v>
      </c>
      <c r="C288" s="164" t="s">
        <v>859</v>
      </c>
      <c r="D288" s="165">
        <v>33551</v>
      </c>
      <c r="E288" s="120" t="s">
        <v>2676</v>
      </c>
      <c r="F288" s="131">
        <v>33</v>
      </c>
      <c r="G288" s="120">
        <v>1</v>
      </c>
      <c r="H288" s="120"/>
      <c r="I288" s="120">
        <v>1</v>
      </c>
      <c r="J288" s="133" t="s">
        <v>2677</v>
      </c>
      <c r="K288" s="133">
        <v>2</v>
      </c>
      <c r="L288" s="117">
        <v>73.099999999999994</v>
      </c>
      <c r="M288" s="133">
        <f t="shared" si="25"/>
        <v>40.099999999999994</v>
      </c>
      <c r="N288" s="157"/>
      <c r="O288" s="158"/>
      <c r="P288" s="158"/>
      <c r="Q288" s="158"/>
      <c r="R288" s="158"/>
      <c r="S288" s="158"/>
      <c r="T288" s="158"/>
      <c r="U288" s="158"/>
      <c r="V288" s="158"/>
      <c r="W288" s="158"/>
      <c r="X288" s="158"/>
      <c r="Y288" s="158"/>
      <c r="Z288" s="158"/>
      <c r="AA288" s="158"/>
    </row>
    <row r="289" spans="1:27" ht="15.75" customHeight="1" x14ac:dyDescent="0.55000000000000004">
      <c r="A289" s="164">
        <v>43</v>
      </c>
      <c r="B289" s="164" t="s">
        <v>1163</v>
      </c>
      <c r="C289" s="164" t="s">
        <v>859</v>
      </c>
      <c r="D289" s="165">
        <v>33551</v>
      </c>
      <c r="E289" s="131" t="s">
        <v>2678</v>
      </c>
      <c r="F289" s="131">
        <v>48</v>
      </c>
      <c r="G289" s="120">
        <v>0</v>
      </c>
      <c r="H289" s="120"/>
      <c r="I289" s="120">
        <v>0</v>
      </c>
      <c r="J289" s="133" t="s">
        <v>853</v>
      </c>
      <c r="K289" s="133">
        <v>0</v>
      </c>
      <c r="L289" s="117">
        <v>65.599999999999994</v>
      </c>
      <c r="M289" s="133">
        <f t="shared" si="25"/>
        <v>17.599999999999994</v>
      </c>
      <c r="N289" s="157"/>
      <c r="O289" s="158"/>
      <c r="P289" s="158"/>
      <c r="Q289" s="158"/>
      <c r="R289" s="158"/>
      <c r="S289" s="158"/>
      <c r="T289" s="158"/>
      <c r="U289" s="158"/>
      <c r="V289" s="158"/>
      <c r="W289" s="158"/>
      <c r="X289" s="158"/>
      <c r="Y289" s="158"/>
      <c r="Z289" s="158"/>
      <c r="AA289" s="158"/>
    </row>
    <row r="290" spans="1:27" ht="15.75" customHeight="1" x14ac:dyDescent="0.55000000000000004">
      <c r="A290" s="166">
        <v>44</v>
      </c>
      <c r="B290" s="166" t="s">
        <v>1168</v>
      </c>
      <c r="C290" s="166" t="s">
        <v>1169</v>
      </c>
      <c r="D290" s="167">
        <v>33556</v>
      </c>
      <c r="E290" s="131" t="s">
        <v>2679</v>
      </c>
      <c r="F290" s="131">
        <v>32</v>
      </c>
      <c r="G290" s="120">
        <v>1</v>
      </c>
      <c r="H290" s="120"/>
      <c r="I290" s="131">
        <v>1</v>
      </c>
      <c r="J290" s="133" t="s">
        <v>2641</v>
      </c>
      <c r="K290" s="133">
        <v>3</v>
      </c>
      <c r="L290" s="117">
        <v>73.099999999999994</v>
      </c>
      <c r="M290" s="133">
        <f t="shared" si="25"/>
        <v>41.099999999999994</v>
      </c>
      <c r="N290" s="157"/>
      <c r="O290" s="158"/>
      <c r="P290" s="158"/>
      <c r="Q290" s="158"/>
      <c r="R290" s="158"/>
      <c r="S290" s="158"/>
      <c r="T290" s="158"/>
      <c r="U290" s="158"/>
      <c r="V290" s="158"/>
      <c r="W290" s="158"/>
      <c r="X290" s="158"/>
      <c r="Y290" s="158"/>
      <c r="Z290" s="158"/>
      <c r="AA290" s="158"/>
    </row>
    <row r="291" spans="1:27" ht="15.75" customHeight="1" x14ac:dyDescent="0.55000000000000004">
      <c r="A291" s="166">
        <v>44</v>
      </c>
      <c r="B291" s="166" t="s">
        <v>1168</v>
      </c>
      <c r="C291" s="166" t="s">
        <v>1169</v>
      </c>
      <c r="D291" s="167">
        <v>33556</v>
      </c>
      <c r="E291" s="131" t="s">
        <v>2680</v>
      </c>
      <c r="F291" s="131">
        <v>33</v>
      </c>
      <c r="G291" s="120">
        <v>0</v>
      </c>
      <c r="H291" s="120"/>
      <c r="I291" s="131">
        <v>1</v>
      </c>
      <c r="J291" s="133" t="s">
        <v>2641</v>
      </c>
      <c r="K291" s="133">
        <v>3</v>
      </c>
      <c r="L291" s="117">
        <v>66.599999999999994</v>
      </c>
      <c r="M291" s="133">
        <f t="shared" si="25"/>
        <v>33.599999999999994</v>
      </c>
      <c r="N291" s="157"/>
      <c r="O291" s="158"/>
      <c r="P291" s="158"/>
      <c r="Q291" s="158"/>
      <c r="R291" s="158"/>
      <c r="S291" s="158"/>
      <c r="T291" s="158"/>
      <c r="U291" s="158"/>
      <c r="V291" s="158"/>
      <c r="W291" s="158"/>
      <c r="X291" s="158"/>
      <c r="Y291" s="158"/>
      <c r="Z291" s="158"/>
      <c r="AA291" s="158"/>
    </row>
    <row r="292" spans="1:27" ht="15.75" customHeight="1" x14ac:dyDescent="0.55000000000000004">
      <c r="A292" s="166">
        <v>44</v>
      </c>
      <c r="B292" s="166" t="s">
        <v>1168</v>
      </c>
      <c r="C292" s="166" t="s">
        <v>1169</v>
      </c>
      <c r="D292" s="167">
        <v>33556</v>
      </c>
      <c r="E292" s="120" t="s">
        <v>2681</v>
      </c>
      <c r="F292" s="131">
        <v>37</v>
      </c>
      <c r="G292" s="120">
        <v>0</v>
      </c>
      <c r="H292" s="120"/>
      <c r="I292" s="131">
        <v>1</v>
      </c>
      <c r="J292" s="133" t="s">
        <v>2641</v>
      </c>
      <c r="K292" s="133">
        <v>3</v>
      </c>
      <c r="L292" s="117">
        <v>66.599999999999994</v>
      </c>
      <c r="M292" s="133">
        <f t="shared" si="25"/>
        <v>29.599999999999994</v>
      </c>
      <c r="N292" s="157"/>
      <c r="O292" s="158"/>
      <c r="P292" s="158"/>
      <c r="Q292" s="158"/>
      <c r="R292" s="158"/>
      <c r="S292" s="158"/>
      <c r="T292" s="158"/>
      <c r="U292" s="158"/>
      <c r="V292" s="158"/>
      <c r="W292" s="158"/>
      <c r="X292" s="158"/>
      <c r="Y292" s="158"/>
      <c r="Z292" s="158"/>
      <c r="AA292" s="158"/>
    </row>
    <row r="293" spans="1:27" ht="15.75" customHeight="1" x14ac:dyDescent="0.55000000000000004">
      <c r="A293" s="166">
        <v>44</v>
      </c>
      <c r="B293" s="166" t="s">
        <v>1168</v>
      </c>
      <c r="C293" s="166" t="s">
        <v>1169</v>
      </c>
      <c r="D293" s="167">
        <v>33556</v>
      </c>
      <c r="E293" s="120" t="s">
        <v>2682</v>
      </c>
      <c r="F293" s="131">
        <v>33</v>
      </c>
      <c r="G293" s="120">
        <v>1</v>
      </c>
      <c r="H293" s="120"/>
      <c r="I293" s="131">
        <v>1</v>
      </c>
      <c r="J293" s="133" t="s">
        <v>2641</v>
      </c>
      <c r="K293" s="133">
        <v>3</v>
      </c>
      <c r="L293" s="117">
        <v>73.099999999999994</v>
      </c>
      <c r="M293" s="133">
        <f t="shared" si="25"/>
        <v>40.099999999999994</v>
      </c>
      <c r="N293" s="157"/>
      <c r="O293" s="158"/>
      <c r="P293" s="158"/>
      <c r="Q293" s="158"/>
      <c r="R293" s="158"/>
      <c r="S293" s="158"/>
      <c r="T293" s="158"/>
      <c r="U293" s="158"/>
      <c r="V293" s="158"/>
      <c r="W293" s="158"/>
      <c r="X293" s="158"/>
      <c r="Y293" s="158"/>
      <c r="Z293" s="158"/>
      <c r="AA293" s="158"/>
    </row>
    <row r="294" spans="1:27" ht="15.75" customHeight="1" x14ac:dyDescent="0.55000000000000004">
      <c r="A294" s="177">
        <v>45</v>
      </c>
      <c r="B294" s="177" t="s">
        <v>1175</v>
      </c>
      <c r="C294" s="177" t="s">
        <v>1176</v>
      </c>
      <c r="D294" s="178">
        <v>33678</v>
      </c>
      <c r="E294" s="120" t="s">
        <v>2683</v>
      </c>
      <c r="F294" s="161" t="str">
        <f>HYPERLINK("https://www.findagrave.com/memorial/207109831/rebecca-kay-carreon","48")</f>
        <v>48</v>
      </c>
      <c r="G294" s="120">
        <v>1</v>
      </c>
      <c r="H294" s="120"/>
      <c r="I294" s="120">
        <v>0</v>
      </c>
      <c r="J294" s="133" t="s">
        <v>853</v>
      </c>
      <c r="K294" s="133">
        <v>0</v>
      </c>
      <c r="L294" s="117">
        <v>71.099999999999994</v>
      </c>
      <c r="M294" s="133">
        <f t="shared" si="25"/>
        <v>23.099999999999994</v>
      </c>
      <c r="N294" s="157"/>
      <c r="O294" s="158"/>
      <c r="P294" s="158"/>
      <c r="Q294" s="158"/>
      <c r="R294" s="158"/>
      <c r="S294" s="158"/>
      <c r="T294" s="158"/>
      <c r="U294" s="158"/>
      <c r="V294" s="158"/>
      <c r="W294" s="158"/>
      <c r="X294" s="158"/>
      <c r="Y294" s="158"/>
      <c r="Z294" s="158"/>
      <c r="AA294" s="158"/>
    </row>
    <row r="295" spans="1:27" ht="15.75" customHeight="1" x14ac:dyDescent="0.55000000000000004">
      <c r="A295" s="177">
        <v>45</v>
      </c>
      <c r="B295" s="177" t="s">
        <v>1175</v>
      </c>
      <c r="C295" s="177" t="s">
        <v>1176</v>
      </c>
      <c r="D295" s="178">
        <v>33678</v>
      </c>
      <c r="E295" s="120" t="s">
        <v>2684</v>
      </c>
      <c r="F295" s="161" t="str">
        <f>HYPERLINK("https://www.findagrave.com/memorial/115009883/phyllis-theresa-mancuso","61")</f>
        <v>61</v>
      </c>
      <c r="G295" s="120">
        <v>1</v>
      </c>
      <c r="H295" s="120">
        <v>0</v>
      </c>
      <c r="I295" s="120">
        <v>0</v>
      </c>
      <c r="J295" s="133" t="s">
        <v>853</v>
      </c>
      <c r="K295" s="133">
        <v>0</v>
      </c>
      <c r="L295" s="117">
        <v>72.2</v>
      </c>
      <c r="M295" s="133">
        <f t="shared" si="25"/>
        <v>11.200000000000003</v>
      </c>
      <c r="N295" s="157"/>
      <c r="O295" s="158"/>
      <c r="P295" s="158"/>
      <c r="Q295" s="158"/>
      <c r="R295" s="158"/>
      <c r="S295" s="158"/>
      <c r="T295" s="158"/>
      <c r="U295" s="158"/>
      <c r="V295" s="158"/>
      <c r="W295" s="158"/>
      <c r="X295" s="158"/>
      <c r="Y295" s="158"/>
      <c r="Z295" s="158"/>
      <c r="AA295" s="158"/>
    </row>
    <row r="296" spans="1:27" ht="15.75" customHeight="1" x14ac:dyDescent="0.55000000000000004">
      <c r="A296" s="177">
        <v>45</v>
      </c>
      <c r="B296" s="177" t="s">
        <v>1175</v>
      </c>
      <c r="C296" s="177" t="s">
        <v>1176</v>
      </c>
      <c r="D296" s="178">
        <v>33678</v>
      </c>
      <c r="E296" s="120" t="s">
        <v>2685</v>
      </c>
      <c r="F296" s="131">
        <v>24</v>
      </c>
      <c r="G296" s="120">
        <v>0</v>
      </c>
      <c r="H296" s="131">
        <v>1</v>
      </c>
      <c r="I296" s="120">
        <v>0</v>
      </c>
      <c r="J296" s="133" t="s">
        <v>853</v>
      </c>
      <c r="K296" s="133">
        <v>0</v>
      </c>
      <c r="L296" s="117">
        <v>60</v>
      </c>
      <c r="M296" s="133">
        <f t="shared" si="25"/>
        <v>36</v>
      </c>
      <c r="N296" s="157"/>
      <c r="O296" s="158"/>
      <c r="P296" s="158"/>
      <c r="Q296" s="158"/>
      <c r="R296" s="158"/>
      <c r="S296" s="158"/>
      <c r="T296" s="158"/>
      <c r="U296" s="158"/>
      <c r="V296" s="158"/>
      <c r="W296" s="158"/>
      <c r="X296" s="158"/>
      <c r="Y296" s="158"/>
      <c r="Z296" s="158"/>
      <c r="AA296" s="158"/>
    </row>
    <row r="297" spans="1:27" ht="15.75" customHeight="1" x14ac:dyDescent="0.55000000000000004">
      <c r="A297" s="177">
        <v>45</v>
      </c>
      <c r="B297" s="177" t="s">
        <v>1175</v>
      </c>
      <c r="C297" s="177" t="s">
        <v>1176</v>
      </c>
      <c r="D297" s="178">
        <v>33678</v>
      </c>
      <c r="E297" s="120" t="s">
        <v>2686</v>
      </c>
      <c r="F297" s="161" t="str">
        <f>HYPERLINK("https://www.findagrave.com/memorial/115011857/marie-eamelia-pendergast","84")</f>
        <v>84</v>
      </c>
      <c r="G297" s="120">
        <v>1</v>
      </c>
      <c r="H297" s="120">
        <v>0</v>
      </c>
      <c r="I297" s="120">
        <v>0</v>
      </c>
      <c r="J297" s="133" t="s">
        <v>853</v>
      </c>
      <c r="K297" s="133">
        <v>0</v>
      </c>
      <c r="L297" s="117">
        <v>86.5</v>
      </c>
      <c r="M297" s="133">
        <f t="shared" si="25"/>
        <v>2.5</v>
      </c>
      <c r="N297" s="157"/>
      <c r="O297" s="158"/>
      <c r="P297" s="158"/>
      <c r="Q297" s="158"/>
      <c r="R297" s="158"/>
      <c r="S297" s="158"/>
      <c r="T297" s="158"/>
      <c r="U297" s="158"/>
      <c r="V297" s="158"/>
      <c r="W297" s="158"/>
      <c r="X297" s="158"/>
      <c r="Y297" s="158"/>
      <c r="Z297" s="158"/>
      <c r="AA297" s="158"/>
    </row>
    <row r="298" spans="1:27" ht="15.75" customHeight="1" x14ac:dyDescent="0.55000000000000004">
      <c r="A298" s="162">
        <v>46</v>
      </c>
      <c r="B298" s="162" t="s">
        <v>1180</v>
      </c>
      <c r="C298" s="162" t="s">
        <v>878</v>
      </c>
      <c r="D298" s="163">
        <v>33725</v>
      </c>
      <c r="E298" s="120" t="s">
        <v>2687</v>
      </c>
      <c r="F298" s="131">
        <v>28</v>
      </c>
      <c r="G298" s="120">
        <v>0</v>
      </c>
      <c r="H298" s="131">
        <v>0</v>
      </c>
      <c r="I298" s="131">
        <v>1</v>
      </c>
      <c r="J298" s="133" t="s">
        <v>2688</v>
      </c>
      <c r="K298" s="133">
        <v>4</v>
      </c>
      <c r="L298" s="117">
        <v>67.400000000000006</v>
      </c>
      <c r="M298" s="133">
        <f t="shared" si="25"/>
        <v>39.400000000000006</v>
      </c>
      <c r="N298" s="157"/>
      <c r="O298" s="158"/>
      <c r="P298" s="158"/>
      <c r="Q298" s="158"/>
      <c r="R298" s="158"/>
      <c r="S298" s="158"/>
      <c r="T298" s="158"/>
      <c r="U298" s="158"/>
      <c r="V298" s="158"/>
      <c r="W298" s="158"/>
      <c r="X298" s="158"/>
      <c r="Y298" s="158"/>
      <c r="Z298" s="158"/>
      <c r="AA298" s="158"/>
    </row>
    <row r="299" spans="1:27" ht="15.75" customHeight="1" x14ac:dyDescent="0.55000000000000004">
      <c r="A299" s="162">
        <v>46</v>
      </c>
      <c r="B299" s="162" t="s">
        <v>1180</v>
      </c>
      <c r="C299" s="162" t="s">
        <v>878</v>
      </c>
      <c r="D299" s="163">
        <v>33725</v>
      </c>
      <c r="E299" s="120" t="s">
        <v>2689</v>
      </c>
      <c r="F299" s="131">
        <v>17</v>
      </c>
      <c r="G299" s="120">
        <v>1</v>
      </c>
      <c r="H299" s="131">
        <v>0</v>
      </c>
      <c r="I299" s="131">
        <v>0</v>
      </c>
      <c r="J299" s="133" t="s">
        <v>853</v>
      </c>
      <c r="K299" s="133">
        <v>0</v>
      </c>
      <c r="L299" s="117">
        <v>77.3</v>
      </c>
      <c r="M299" s="133">
        <f t="shared" si="25"/>
        <v>60.3</v>
      </c>
      <c r="N299" s="157"/>
      <c r="O299" s="158"/>
      <c r="P299" s="158"/>
      <c r="Q299" s="158"/>
      <c r="R299" s="158"/>
      <c r="S299" s="158"/>
      <c r="T299" s="158"/>
      <c r="U299" s="158"/>
      <c r="V299" s="158"/>
      <c r="W299" s="158"/>
      <c r="X299" s="158"/>
      <c r="Y299" s="158"/>
      <c r="Z299" s="158"/>
      <c r="AA299" s="158"/>
    </row>
    <row r="300" spans="1:27" ht="15.75" customHeight="1" x14ac:dyDescent="0.55000000000000004">
      <c r="A300" s="162">
        <v>46</v>
      </c>
      <c r="B300" s="162" t="s">
        <v>1180</v>
      </c>
      <c r="C300" s="162" t="s">
        <v>878</v>
      </c>
      <c r="D300" s="163">
        <v>33725</v>
      </c>
      <c r="E300" s="120" t="s">
        <v>2690</v>
      </c>
      <c r="F300" s="131">
        <v>16</v>
      </c>
      <c r="G300" s="120">
        <v>0</v>
      </c>
      <c r="H300" s="131">
        <v>1</v>
      </c>
      <c r="I300" s="131">
        <v>0</v>
      </c>
      <c r="J300" s="133" t="s">
        <v>853</v>
      </c>
      <c r="K300" s="133">
        <v>0</v>
      </c>
      <c r="L300" s="117">
        <v>62.5</v>
      </c>
      <c r="M300" s="133">
        <f t="shared" si="25"/>
        <v>46.5</v>
      </c>
      <c r="N300" s="157"/>
      <c r="O300" s="158"/>
      <c r="P300" s="158"/>
      <c r="Q300" s="158"/>
      <c r="R300" s="158"/>
      <c r="S300" s="158"/>
      <c r="T300" s="158"/>
      <c r="U300" s="158"/>
      <c r="V300" s="158"/>
      <c r="W300" s="158"/>
      <c r="X300" s="158"/>
      <c r="Y300" s="158"/>
      <c r="Z300" s="158"/>
      <c r="AA300" s="158"/>
    </row>
    <row r="301" spans="1:27" ht="15.75" customHeight="1" x14ac:dyDescent="0.55000000000000004">
      <c r="A301" s="162">
        <v>46</v>
      </c>
      <c r="B301" s="162" t="s">
        <v>1180</v>
      </c>
      <c r="C301" s="162" t="s">
        <v>878</v>
      </c>
      <c r="D301" s="163">
        <v>33725</v>
      </c>
      <c r="E301" s="120" t="s">
        <v>2691</v>
      </c>
      <c r="F301" s="131">
        <v>19</v>
      </c>
      <c r="G301" s="120">
        <v>0</v>
      </c>
      <c r="H301" s="131">
        <v>0</v>
      </c>
      <c r="I301" s="131">
        <v>0</v>
      </c>
      <c r="J301" s="133" t="s">
        <v>853</v>
      </c>
      <c r="K301" s="133">
        <v>0</v>
      </c>
      <c r="L301" s="117">
        <v>69.5</v>
      </c>
      <c r="M301" s="133">
        <f t="shared" si="25"/>
        <v>50.5</v>
      </c>
      <c r="N301" s="157"/>
      <c r="O301" s="158"/>
      <c r="P301" s="158"/>
      <c r="Q301" s="158"/>
      <c r="R301" s="158"/>
      <c r="S301" s="158"/>
      <c r="T301" s="158"/>
      <c r="U301" s="158"/>
      <c r="V301" s="158"/>
      <c r="W301" s="158"/>
      <c r="X301" s="158"/>
      <c r="Y301" s="158"/>
      <c r="Z301" s="158"/>
      <c r="AA301" s="158"/>
    </row>
    <row r="302" spans="1:27" ht="15.75" customHeight="1" x14ac:dyDescent="0.55000000000000004">
      <c r="A302" s="171">
        <v>47</v>
      </c>
      <c r="B302" s="171" t="s">
        <v>1189</v>
      </c>
      <c r="C302" s="171" t="s">
        <v>1014</v>
      </c>
      <c r="D302" s="172">
        <v>33892</v>
      </c>
      <c r="E302" s="120" t="s">
        <v>2692</v>
      </c>
      <c r="F302" s="131">
        <v>28</v>
      </c>
      <c r="G302" s="131">
        <v>1</v>
      </c>
      <c r="H302" s="120"/>
      <c r="I302" s="120">
        <v>0</v>
      </c>
      <c r="J302" s="133" t="s">
        <v>853</v>
      </c>
      <c r="K302" s="133">
        <v>0</v>
      </c>
      <c r="L302" s="117">
        <v>73.099999999999994</v>
      </c>
      <c r="M302" s="133">
        <f t="shared" si="25"/>
        <v>45.099999999999994</v>
      </c>
      <c r="N302" s="157"/>
      <c r="O302" s="158"/>
      <c r="P302" s="158"/>
      <c r="Q302" s="158"/>
      <c r="R302" s="158"/>
      <c r="S302" s="158"/>
      <c r="T302" s="158"/>
      <c r="U302" s="158"/>
      <c r="V302" s="158"/>
      <c r="W302" s="158"/>
      <c r="X302" s="158"/>
      <c r="Y302" s="158"/>
      <c r="Z302" s="158"/>
      <c r="AA302" s="158"/>
    </row>
    <row r="303" spans="1:27" ht="15.75" customHeight="1" x14ac:dyDescent="0.55000000000000004">
      <c r="A303" s="171">
        <v>47</v>
      </c>
      <c r="B303" s="171" t="s">
        <v>1189</v>
      </c>
      <c r="C303" s="171" t="s">
        <v>1014</v>
      </c>
      <c r="D303" s="172">
        <v>33892</v>
      </c>
      <c r="E303" s="120" t="s">
        <v>2693</v>
      </c>
      <c r="F303" s="131">
        <v>54</v>
      </c>
      <c r="G303" s="120">
        <v>1</v>
      </c>
      <c r="H303" s="120"/>
      <c r="I303" s="120">
        <v>0</v>
      </c>
      <c r="J303" s="133" t="s">
        <v>853</v>
      </c>
      <c r="K303" s="133">
        <v>0</v>
      </c>
      <c r="L303" s="117">
        <v>71.099999999999994</v>
      </c>
      <c r="M303" s="133">
        <f t="shared" si="25"/>
        <v>17.099999999999994</v>
      </c>
      <c r="N303" s="157"/>
      <c r="O303" s="158"/>
      <c r="P303" s="158"/>
      <c r="Q303" s="158"/>
      <c r="R303" s="158"/>
      <c r="S303" s="158"/>
      <c r="T303" s="158"/>
      <c r="U303" s="158"/>
      <c r="V303" s="158"/>
      <c r="W303" s="158"/>
      <c r="X303" s="158"/>
      <c r="Y303" s="158"/>
      <c r="Z303" s="158"/>
      <c r="AA303" s="158"/>
    </row>
    <row r="304" spans="1:27" ht="15.75" customHeight="1" x14ac:dyDescent="0.55000000000000004">
      <c r="A304" s="171">
        <v>47</v>
      </c>
      <c r="B304" s="171" t="s">
        <v>1189</v>
      </c>
      <c r="C304" s="171" t="s">
        <v>1014</v>
      </c>
      <c r="D304" s="172">
        <v>33892</v>
      </c>
      <c r="E304" s="120" t="s">
        <v>2694</v>
      </c>
      <c r="F304" s="131">
        <v>50</v>
      </c>
      <c r="G304" s="131">
        <v>1</v>
      </c>
      <c r="H304" s="120"/>
      <c r="I304" s="120">
        <v>1</v>
      </c>
      <c r="J304" s="133" t="s">
        <v>2695</v>
      </c>
      <c r="K304" s="133">
        <v>5</v>
      </c>
      <c r="L304" s="117">
        <v>71.099999999999994</v>
      </c>
      <c r="M304" s="133">
        <f t="shared" si="25"/>
        <v>21.099999999999994</v>
      </c>
      <c r="N304" s="157"/>
      <c r="O304" s="158"/>
      <c r="P304" s="158"/>
      <c r="Q304" s="158"/>
      <c r="R304" s="158"/>
      <c r="S304" s="158"/>
      <c r="T304" s="158"/>
      <c r="U304" s="158"/>
      <c r="V304" s="158"/>
      <c r="W304" s="158"/>
      <c r="X304" s="158"/>
      <c r="Y304" s="158"/>
      <c r="Z304" s="158"/>
      <c r="AA304" s="158"/>
    </row>
    <row r="305" spans="1:27" ht="15.75" customHeight="1" x14ac:dyDescent="0.55000000000000004">
      <c r="A305" s="171">
        <v>47</v>
      </c>
      <c r="B305" s="171" t="s">
        <v>1189</v>
      </c>
      <c r="C305" s="171" t="s">
        <v>1014</v>
      </c>
      <c r="D305" s="172">
        <v>33892</v>
      </c>
      <c r="E305" s="120" t="s">
        <v>2696</v>
      </c>
      <c r="F305" s="131">
        <v>48</v>
      </c>
      <c r="G305" s="131">
        <v>1</v>
      </c>
      <c r="H305" s="120"/>
      <c r="I305" s="120">
        <v>0</v>
      </c>
      <c r="J305" s="133" t="s">
        <v>853</v>
      </c>
      <c r="K305" s="133">
        <v>0</v>
      </c>
      <c r="L305" s="117">
        <v>71.099999999999994</v>
      </c>
      <c r="M305" s="133">
        <f t="shared" si="25"/>
        <v>23.099999999999994</v>
      </c>
      <c r="N305" s="157"/>
      <c r="O305" s="158"/>
      <c r="P305" s="158"/>
      <c r="Q305" s="158"/>
      <c r="R305" s="158"/>
      <c r="S305" s="158"/>
      <c r="T305" s="158"/>
      <c r="U305" s="158"/>
      <c r="V305" s="158"/>
      <c r="W305" s="158"/>
      <c r="X305" s="158"/>
      <c r="Y305" s="158"/>
      <c r="Z305" s="158"/>
      <c r="AA305" s="158"/>
    </row>
    <row r="306" spans="1:27" ht="15.75" customHeight="1" x14ac:dyDescent="0.55000000000000004">
      <c r="A306" s="166">
        <v>48</v>
      </c>
      <c r="B306" s="166" t="s">
        <v>1193</v>
      </c>
      <c r="C306" s="166" t="s">
        <v>1194</v>
      </c>
      <c r="D306" s="167">
        <v>33916</v>
      </c>
      <c r="E306" s="120" t="s">
        <v>2697</v>
      </c>
      <c r="F306" s="131">
        <v>32</v>
      </c>
      <c r="G306" s="120">
        <v>0</v>
      </c>
      <c r="H306" s="120"/>
      <c r="I306" s="131">
        <v>0</v>
      </c>
      <c r="J306" s="133" t="s">
        <v>853</v>
      </c>
      <c r="K306" s="133">
        <v>0</v>
      </c>
      <c r="L306" s="117">
        <v>66.599999999999994</v>
      </c>
      <c r="M306" s="133">
        <f t="shared" si="25"/>
        <v>34.599999999999994</v>
      </c>
      <c r="N306" s="157"/>
      <c r="O306" s="158"/>
      <c r="P306" s="158"/>
      <c r="Q306" s="158"/>
      <c r="R306" s="158"/>
      <c r="S306" s="158"/>
      <c r="T306" s="158"/>
      <c r="U306" s="158"/>
      <c r="V306" s="158"/>
      <c r="W306" s="158"/>
      <c r="X306" s="158"/>
      <c r="Y306" s="158"/>
      <c r="Z306" s="158"/>
      <c r="AA306" s="158"/>
    </row>
    <row r="307" spans="1:27" ht="15.75" customHeight="1" x14ac:dyDescent="0.55000000000000004">
      <c r="A307" s="166">
        <v>48</v>
      </c>
      <c r="B307" s="166" t="s">
        <v>1193</v>
      </c>
      <c r="C307" s="166" t="s">
        <v>1194</v>
      </c>
      <c r="D307" s="167">
        <v>33916</v>
      </c>
      <c r="E307" s="120" t="s">
        <v>2698</v>
      </c>
      <c r="F307" s="131">
        <v>60</v>
      </c>
      <c r="G307" s="120">
        <v>0</v>
      </c>
      <c r="H307" s="120"/>
      <c r="I307" s="120">
        <v>1</v>
      </c>
      <c r="J307" s="133" t="s">
        <v>2699</v>
      </c>
      <c r="K307" s="133">
        <v>5</v>
      </c>
      <c r="L307" s="117">
        <v>65.599999999999994</v>
      </c>
      <c r="M307" s="133">
        <f t="shared" si="25"/>
        <v>5.5999999999999943</v>
      </c>
      <c r="N307" s="157"/>
      <c r="O307" s="158"/>
      <c r="P307" s="158"/>
      <c r="Q307" s="158"/>
      <c r="R307" s="158"/>
      <c r="S307" s="158"/>
      <c r="T307" s="158"/>
      <c r="U307" s="158"/>
      <c r="V307" s="158"/>
      <c r="W307" s="158"/>
      <c r="X307" s="158"/>
      <c r="Y307" s="158"/>
      <c r="Z307" s="158"/>
      <c r="AA307" s="158"/>
    </row>
    <row r="308" spans="1:27" ht="15.75" customHeight="1" x14ac:dyDescent="0.55000000000000004">
      <c r="A308" s="166">
        <v>48</v>
      </c>
      <c r="B308" s="166" t="s">
        <v>1193</v>
      </c>
      <c r="C308" s="166" t="s">
        <v>1194</v>
      </c>
      <c r="D308" s="167">
        <v>33916</v>
      </c>
      <c r="E308" s="120" t="s">
        <v>2700</v>
      </c>
      <c r="F308" s="131">
        <v>47</v>
      </c>
      <c r="G308" s="120">
        <v>0</v>
      </c>
      <c r="H308" s="120"/>
      <c r="I308" s="120">
        <v>1</v>
      </c>
      <c r="J308" s="133" t="s">
        <v>2699</v>
      </c>
      <c r="K308" s="133">
        <v>5</v>
      </c>
      <c r="L308" s="117">
        <v>65.599999999999994</v>
      </c>
      <c r="M308" s="133">
        <f t="shared" si="25"/>
        <v>18.599999999999994</v>
      </c>
      <c r="N308" s="157"/>
      <c r="O308" s="158"/>
      <c r="P308" s="158"/>
      <c r="Q308" s="158"/>
      <c r="R308" s="158"/>
      <c r="S308" s="158"/>
      <c r="T308" s="158"/>
      <c r="U308" s="158"/>
      <c r="V308" s="158"/>
      <c r="W308" s="158"/>
      <c r="X308" s="158"/>
      <c r="Y308" s="158"/>
      <c r="Z308" s="158"/>
      <c r="AA308" s="158"/>
    </row>
    <row r="309" spans="1:27" ht="15.75" customHeight="1" x14ac:dyDescent="0.55000000000000004">
      <c r="A309" s="166">
        <v>48</v>
      </c>
      <c r="B309" s="166" t="s">
        <v>1193</v>
      </c>
      <c r="C309" s="166" t="s">
        <v>1194</v>
      </c>
      <c r="D309" s="167">
        <v>33916</v>
      </c>
      <c r="E309" s="120" t="s">
        <v>2701</v>
      </c>
      <c r="F309" s="131">
        <v>27</v>
      </c>
      <c r="G309" s="120">
        <v>0</v>
      </c>
      <c r="H309" s="120"/>
      <c r="I309" s="131">
        <v>1</v>
      </c>
      <c r="J309" s="133" t="s">
        <v>2702</v>
      </c>
      <c r="K309" s="133">
        <v>5</v>
      </c>
      <c r="L309" s="117">
        <v>67.099999999999994</v>
      </c>
      <c r="M309" s="133">
        <f t="shared" si="25"/>
        <v>40.099999999999994</v>
      </c>
      <c r="N309" s="157"/>
      <c r="O309" s="158"/>
      <c r="P309" s="158"/>
      <c r="Q309" s="158"/>
      <c r="R309" s="158"/>
      <c r="S309" s="158"/>
      <c r="T309" s="158"/>
      <c r="U309" s="158"/>
      <c r="V309" s="158"/>
      <c r="W309" s="158"/>
      <c r="X309" s="158"/>
      <c r="Y309" s="158"/>
      <c r="Z309" s="158"/>
      <c r="AA309" s="158"/>
    </row>
    <row r="310" spans="1:27" ht="15.75" customHeight="1" x14ac:dyDescent="0.55000000000000004">
      <c r="A310" s="166">
        <v>48</v>
      </c>
      <c r="B310" s="166" t="s">
        <v>1193</v>
      </c>
      <c r="C310" s="166" t="s">
        <v>1194</v>
      </c>
      <c r="D310" s="167">
        <v>33916</v>
      </c>
      <c r="E310" s="120" t="s">
        <v>2703</v>
      </c>
      <c r="F310" s="131">
        <v>31</v>
      </c>
      <c r="G310" s="120">
        <v>1</v>
      </c>
      <c r="H310" s="120"/>
      <c r="I310" s="120">
        <v>1</v>
      </c>
      <c r="J310" s="133" t="s">
        <v>2699</v>
      </c>
      <c r="K310" s="133">
        <v>5</v>
      </c>
      <c r="L310" s="117">
        <v>73.099999999999994</v>
      </c>
      <c r="M310" s="133">
        <f t="shared" si="25"/>
        <v>42.099999999999994</v>
      </c>
      <c r="N310" s="157"/>
      <c r="O310" s="158"/>
      <c r="P310" s="158"/>
      <c r="Q310" s="158"/>
      <c r="R310" s="158"/>
      <c r="S310" s="158"/>
      <c r="T310" s="158"/>
      <c r="U310" s="158"/>
      <c r="V310" s="158"/>
      <c r="W310" s="158"/>
      <c r="X310" s="158"/>
      <c r="Y310" s="158"/>
      <c r="Z310" s="158"/>
      <c r="AA310" s="158"/>
    </row>
    <row r="311" spans="1:27" ht="15.75" customHeight="1" x14ac:dyDescent="0.55000000000000004">
      <c r="A311" s="166">
        <v>48</v>
      </c>
      <c r="B311" s="166" t="s">
        <v>1193</v>
      </c>
      <c r="C311" s="166" t="s">
        <v>1194</v>
      </c>
      <c r="D311" s="167">
        <v>33916</v>
      </c>
      <c r="E311" s="120" t="s">
        <v>2704</v>
      </c>
      <c r="F311" s="131">
        <v>80</v>
      </c>
      <c r="G311" s="120">
        <v>0</v>
      </c>
      <c r="H311" s="120"/>
      <c r="I311" s="120">
        <v>1</v>
      </c>
      <c r="J311" s="133" t="s">
        <v>2705</v>
      </c>
      <c r="K311" s="133">
        <v>5</v>
      </c>
      <c r="L311" s="117">
        <v>84.4</v>
      </c>
      <c r="M311" s="133">
        <f t="shared" si="25"/>
        <v>4.4000000000000057</v>
      </c>
      <c r="N311" s="157"/>
      <c r="O311" s="158"/>
      <c r="P311" s="158"/>
      <c r="Q311" s="158"/>
      <c r="R311" s="158"/>
      <c r="S311" s="158"/>
      <c r="T311" s="158"/>
      <c r="U311" s="158"/>
      <c r="V311" s="158"/>
      <c r="W311" s="158"/>
      <c r="X311" s="158"/>
      <c r="Y311" s="158"/>
      <c r="Z311" s="158"/>
      <c r="AA311" s="158"/>
    </row>
    <row r="312" spans="1:27" ht="15.75" customHeight="1" x14ac:dyDescent="0.55000000000000004">
      <c r="A312" s="159">
        <v>49</v>
      </c>
      <c r="B312" s="159" t="s">
        <v>1200</v>
      </c>
      <c r="C312" s="159" t="s">
        <v>1201</v>
      </c>
      <c r="D312" s="160">
        <v>34151</v>
      </c>
      <c r="E312" s="120" t="s">
        <v>2706</v>
      </c>
      <c r="F312" s="131">
        <v>52</v>
      </c>
      <c r="G312" s="120">
        <v>0</v>
      </c>
      <c r="H312" s="120"/>
      <c r="I312" s="131">
        <v>0</v>
      </c>
      <c r="J312" s="133" t="s">
        <v>853</v>
      </c>
      <c r="K312" s="133">
        <v>0</v>
      </c>
      <c r="L312" s="117">
        <v>65.599999999999994</v>
      </c>
      <c r="M312" s="133">
        <f t="shared" si="25"/>
        <v>13.599999999999994</v>
      </c>
      <c r="N312" s="157"/>
      <c r="O312" s="158"/>
      <c r="P312" s="158"/>
      <c r="Q312" s="158"/>
      <c r="R312" s="158"/>
      <c r="S312" s="158"/>
      <c r="T312" s="158"/>
      <c r="U312" s="158"/>
      <c r="V312" s="158"/>
      <c r="W312" s="158"/>
      <c r="X312" s="158"/>
      <c r="Y312" s="158"/>
      <c r="Z312" s="158"/>
      <c r="AA312" s="158"/>
    </row>
    <row r="313" spans="1:27" ht="15.75" customHeight="1" x14ac:dyDescent="0.55000000000000004">
      <c r="A313" s="159">
        <v>49</v>
      </c>
      <c r="B313" s="159" t="s">
        <v>1200</v>
      </c>
      <c r="C313" s="159" t="s">
        <v>1201</v>
      </c>
      <c r="D313" s="160">
        <v>34151</v>
      </c>
      <c r="E313" s="120" t="s">
        <v>2707</v>
      </c>
      <c r="F313" s="131">
        <v>36</v>
      </c>
      <c r="G313" s="120">
        <v>0</v>
      </c>
      <c r="H313" s="131">
        <v>0</v>
      </c>
      <c r="I313" s="120">
        <v>0</v>
      </c>
      <c r="J313" s="133" t="s">
        <v>853</v>
      </c>
      <c r="K313" s="133">
        <v>0</v>
      </c>
      <c r="L313" s="117">
        <v>67.400000000000006</v>
      </c>
      <c r="M313" s="133">
        <f t="shared" si="25"/>
        <v>31.400000000000006</v>
      </c>
      <c r="N313" s="157"/>
      <c r="O313" s="158"/>
      <c r="P313" s="158"/>
      <c r="Q313" s="158"/>
      <c r="R313" s="158"/>
      <c r="S313" s="158"/>
      <c r="T313" s="158"/>
      <c r="U313" s="158"/>
      <c r="V313" s="158"/>
      <c r="W313" s="158"/>
      <c r="X313" s="158"/>
      <c r="Y313" s="158"/>
      <c r="Z313" s="158"/>
      <c r="AA313" s="158"/>
    </row>
    <row r="314" spans="1:27" ht="15.75" customHeight="1" x14ac:dyDescent="0.55000000000000004">
      <c r="A314" s="159">
        <v>49</v>
      </c>
      <c r="B314" s="159" t="s">
        <v>1200</v>
      </c>
      <c r="C314" s="159" t="s">
        <v>1201</v>
      </c>
      <c r="D314" s="160">
        <v>34151</v>
      </c>
      <c r="E314" s="120" t="s">
        <v>2708</v>
      </c>
      <c r="F314" s="131">
        <v>33</v>
      </c>
      <c r="G314" s="120">
        <v>1</v>
      </c>
      <c r="H314" s="120"/>
      <c r="I314" s="131">
        <v>0</v>
      </c>
      <c r="J314" s="133" t="s">
        <v>853</v>
      </c>
      <c r="K314" s="133">
        <v>0</v>
      </c>
      <c r="L314" s="117">
        <v>73.099999999999994</v>
      </c>
      <c r="M314" s="133">
        <f t="shared" si="25"/>
        <v>40.099999999999994</v>
      </c>
      <c r="N314" s="157"/>
      <c r="O314" s="158"/>
      <c r="P314" s="158"/>
      <c r="Q314" s="158"/>
      <c r="R314" s="158"/>
      <c r="S314" s="158"/>
      <c r="T314" s="158"/>
      <c r="U314" s="158"/>
      <c r="V314" s="158"/>
      <c r="W314" s="158"/>
      <c r="X314" s="158"/>
      <c r="Y314" s="158"/>
      <c r="Z314" s="158"/>
      <c r="AA314" s="158"/>
    </row>
    <row r="315" spans="1:27" ht="15.75" customHeight="1" x14ac:dyDescent="0.55000000000000004">
      <c r="A315" s="159">
        <v>49</v>
      </c>
      <c r="B315" s="159" t="s">
        <v>1200</v>
      </c>
      <c r="C315" s="159" t="s">
        <v>1201</v>
      </c>
      <c r="D315" s="160">
        <v>34151</v>
      </c>
      <c r="E315" s="120" t="s">
        <v>2709</v>
      </c>
      <c r="F315" s="131">
        <v>48</v>
      </c>
      <c r="G315" s="120">
        <v>0</v>
      </c>
      <c r="H315" s="131">
        <v>0</v>
      </c>
      <c r="I315" s="131">
        <v>0</v>
      </c>
      <c r="J315" s="133" t="s">
        <v>853</v>
      </c>
      <c r="K315" s="133">
        <v>0</v>
      </c>
      <c r="L315" s="117">
        <v>66.5</v>
      </c>
      <c r="M315" s="133">
        <f t="shared" si="25"/>
        <v>18.5</v>
      </c>
      <c r="N315" s="157"/>
      <c r="O315" s="158"/>
      <c r="P315" s="158"/>
      <c r="Q315" s="158"/>
      <c r="R315" s="158"/>
      <c r="S315" s="158"/>
      <c r="T315" s="158"/>
      <c r="U315" s="158"/>
      <c r="V315" s="158"/>
      <c r="W315" s="158"/>
      <c r="X315" s="158"/>
      <c r="Y315" s="158"/>
      <c r="Z315" s="158"/>
      <c r="AA315" s="158"/>
    </row>
    <row r="316" spans="1:27" ht="15.75" customHeight="1" x14ac:dyDescent="0.55000000000000004">
      <c r="A316" s="159">
        <v>49</v>
      </c>
      <c r="B316" s="159" t="s">
        <v>1200</v>
      </c>
      <c r="C316" s="159" t="s">
        <v>1201</v>
      </c>
      <c r="D316" s="160">
        <v>34151</v>
      </c>
      <c r="E316" s="120" t="s">
        <v>2710</v>
      </c>
      <c r="F316" s="131">
        <v>64</v>
      </c>
      <c r="G316" s="120">
        <v>1</v>
      </c>
      <c r="H316" s="131">
        <v>0</v>
      </c>
      <c r="I316" s="131">
        <v>0</v>
      </c>
      <c r="J316" s="133" t="s">
        <v>853</v>
      </c>
      <c r="K316" s="133">
        <v>0</v>
      </c>
      <c r="L316" s="117">
        <v>72.2</v>
      </c>
      <c r="M316" s="133">
        <f t="shared" si="25"/>
        <v>8.2000000000000028</v>
      </c>
      <c r="N316" s="157"/>
      <c r="O316" s="158"/>
      <c r="P316" s="158"/>
      <c r="Q316" s="158"/>
      <c r="R316" s="158"/>
      <c r="S316" s="158"/>
      <c r="T316" s="158"/>
      <c r="U316" s="158"/>
      <c r="V316" s="158"/>
      <c r="W316" s="158"/>
      <c r="X316" s="158"/>
      <c r="Y316" s="158"/>
      <c r="Z316" s="158"/>
      <c r="AA316" s="158"/>
    </row>
    <row r="317" spans="1:27" ht="15.75" customHeight="1" x14ac:dyDescent="0.55000000000000004">
      <c r="A317" s="159">
        <v>49</v>
      </c>
      <c r="B317" s="159" t="s">
        <v>1200</v>
      </c>
      <c r="C317" s="159" t="s">
        <v>1201</v>
      </c>
      <c r="D317" s="160">
        <v>34151</v>
      </c>
      <c r="E317" s="120" t="s">
        <v>2711</v>
      </c>
      <c r="F317" s="131">
        <v>28</v>
      </c>
      <c r="G317" s="120">
        <v>0</v>
      </c>
      <c r="H317" s="131">
        <v>0</v>
      </c>
      <c r="I317" s="131">
        <v>0</v>
      </c>
      <c r="J317" s="133" t="s">
        <v>853</v>
      </c>
      <c r="K317" s="133">
        <v>0</v>
      </c>
      <c r="L317" s="117">
        <v>68</v>
      </c>
      <c r="M317" s="133">
        <f t="shared" si="25"/>
        <v>40</v>
      </c>
      <c r="N317" s="157"/>
      <c r="O317" s="158"/>
      <c r="P317" s="158"/>
      <c r="Q317" s="158"/>
      <c r="R317" s="158"/>
      <c r="S317" s="158"/>
      <c r="T317" s="158"/>
      <c r="U317" s="158"/>
      <c r="V317" s="158"/>
      <c r="W317" s="158"/>
      <c r="X317" s="158"/>
      <c r="Y317" s="158"/>
      <c r="Z317" s="158"/>
      <c r="AA317" s="158"/>
    </row>
    <row r="318" spans="1:27" ht="15.75" customHeight="1" x14ac:dyDescent="0.55000000000000004">
      <c r="A318" s="159">
        <v>49</v>
      </c>
      <c r="B318" s="159" t="s">
        <v>1200</v>
      </c>
      <c r="C318" s="159" t="s">
        <v>1201</v>
      </c>
      <c r="D318" s="160">
        <v>34151</v>
      </c>
      <c r="E318" s="120" t="s">
        <v>2712</v>
      </c>
      <c r="F318" s="131">
        <v>30</v>
      </c>
      <c r="G318" s="120">
        <v>1</v>
      </c>
      <c r="H318" s="131">
        <v>0</v>
      </c>
      <c r="I318" s="120">
        <v>0</v>
      </c>
      <c r="J318" s="133" t="s">
        <v>853</v>
      </c>
      <c r="K318" s="133">
        <v>0</v>
      </c>
      <c r="L318" s="117">
        <v>74.099999999999994</v>
      </c>
      <c r="M318" s="133">
        <f t="shared" si="25"/>
        <v>44.099999999999994</v>
      </c>
      <c r="N318" s="157"/>
      <c r="O318" s="158"/>
      <c r="P318" s="158"/>
      <c r="Q318" s="158"/>
      <c r="R318" s="158"/>
      <c r="S318" s="158"/>
      <c r="T318" s="158"/>
      <c r="U318" s="158"/>
      <c r="V318" s="158"/>
      <c r="W318" s="158"/>
      <c r="X318" s="158"/>
      <c r="Y318" s="158"/>
      <c r="Z318" s="158"/>
      <c r="AA318" s="158"/>
    </row>
    <row r="319" spans="1:27" ht="15.75" customHeight="1" x14ac:dyDescent="0.55000000000000004">
      <c r="A319" s="159">
        <v>49</v>
      </c>
      <c r="B319" s="159" t="s">
        <v>1200</v>
      </c>
      <c r="C319" s="159" t="s">
        <v>1201</v>
      </c>
      <c r="D319" s="160">
        <v>34151</v>
      </c>
      <c r="E319" s="120" t="s">
        <v>2713</v>
      </c>
      <c r="F319" s="131">
        <v>30</v>
      </c>
      <c r="G319" s="120">
        <v>0</v>
      </c>
      <c r="H319" s="131">
        <v>0</v>
      </c>
      <c r="I319" s="131">
        <v>0</v>
      </c>
      <c r="J319" s="133" t="s">
        <v>853</v>
      </c>
      <c r="K319" s="133">
        <v>0</v>
      </c>
      <c r="L319" s="117">
        <v>67.400000000000006</v>
      </c>
      <c r="M319" s="133">
        <f t="shared" si="25"/>
        <v>37.400000000000006</v>
      </c>
      <c r="N319" s="157"/>
      <c r="O319" s="158"/>
      <c r="P319" s="158"/>
      <c r="Q319" s="158"/>
      <c r="R319" s="158"/>
      <c r="S319" s="158"/>
      <c r="T319" s="158"/>
      <c r="U319" s="158"/>
      <c r="V319" s="158"/>
      <c r="W319" s="158"/>
      <c r="X319" s="158"/>
      <c r="Y319" s="158"/>
      <c r="Z319" s="158"/>
      <c r="AA319" s="158"/>
    </row>
    <row r="320" spans="1:27" ht="15.75" customHeight="1" x14ac:dyDescent="0.55000000000000004">
      <c r="A320" s="169">
        <v>50</v>
      </c>
      <c r="B320" s="169" t="s">
        <v>1206</v>
      </c>
      <c r="C320" s="169" t="s">
        <v>1207</v>
      </c>
      <c r="D320" s="170">
        <v>34187</v>
      </c>
      <c r="E320" s="120" t="s">
        <v>2714</v>
      </c>
      <c r="F320" s="131">
        <v>26</v>
      </c>
      <c r="G320" s="120">
        <v>0</v>
      </c>
      <c r="H320" s="131">
        <v>0</v>
      </c>
      <c r="I320" s="120">
        <v>0</v>
      </c>
      <c r="J320" s="133" t="s">
        <v>853</v>
      </c>
      <c r="K320" s="133">
        <v>0</v>
      </c>
      <c r="L320" s="117">
        <v>68</v>
      </c>
      <c r="M320" s="133">
        <f t="shared" si="25"/>
        <v>42</v>
      </c>
      <c r="N320" s="157"/>
      <c r="O320" s="158"/>
      <c r="P320" s="158"/>
      <c r="Q320" s="158"/>
      <c r="R320" s="158"/>
      <c r="S320" s="158"/>
      <c r="T320" s="158"/>
      <c r="U320" s="158"/>
      <c r="V320" s="158"/>
      <c r="W320" s="158"/>
      <c r="X320" s="158"/>
      <c r="Y320" s="158"/>
      <c r="Z320" s="158"/>
      <c r="AA320" s="158"/>
    </row>
    <row r="321" spans="1:27" ht="15.75" customHeight="1" x14ac:dyDescent="0.55000000000000004">
      <c r="A321" s="169">
        <v>50</v>
      </c>
      <c r="B321" s="169" t="s">
        <v>1206</v>
      </c>
      <c r="C321" s="169" t="s">
        <v>1207</v>
      </c>
      <c r="D321" s="170">
        <v>34187</v>
      </c>
      <c r="E321" s="120" t="s">
        <v>2715</v>
      </c>
      <c r="F321" s="131">
        <v>46</v>
      </c>
      <c r="G321" s="120">
        <v>0</v>
      </c>
      <c r="H321" s="131">
        <v>0</v>
      </c>
      <c r="I321" s="120">
        <v>0</v>
      </c>
      <c r="J321" s="133" t="s">
        <v>853</v>
      </c>
      <c r="K321" s="133">
        <v>0</v>
      </c>
      <c r="L321" s="117">
        <v>66.5</v>
      </c>
      <c r="M321" s="133">
        <f t="shared" si="25"/>
        <v>20.5</v>
      </c>
      <c r="N321" s="157"/>
      <c r="O321" s="158"/>
      <c r="P321" s="158"/>
      <c r="Q321" s="158"/>
      <c r="R321" s="158"/>
      <c r="S321" s="158"/>
      <c r="T321" s="158"/>
      <c r="U321" s="158"/>
      <c r="V321" s="158"/>
      <c r="W321" s="158"/>
      <c r="X321" s="158"/>
      <c r="Y321" s="158"/>
      <c r="Z321" s="158"/>
      <c r="AA321" s="158"/>
    </row>
    <row r="322" spans="1:27" ht="15.75" customHeight="1" x14ac:dyDescent="0.55000000000000004">
      <c r="A322" s="169">
        <v>50</v>
      </c>
      <c r="B322" s="169" t="s">
        <v>1206</v>
      </c>
      <c r="C322" s="169" t="s">
        <v>1207</v>
      </c>
      <c r="D322" s="170">
        <v>34187</v>
      </c>
      <c r="E322" s="120" t="s">
        <v>2716</v>
      </c>
      <c r="F322" s="131">
        <v>65</v>
      </c>
      <c r="G322" s="120">
        <v>1</v>
      </c>
      <c r="H322" s="161" t="str">
        <f>HYPERLINK("https://www.findagrave.com/memorial/91558602/ethel-contos-parrous","0")</f>
        <v>0</v>
      </c>
      <c r="I322" s="120">
        <v>0</v>
      </c>
      <c r="J322" s="133" t="s">
        <v>853</v>
      </c>
      <c r="K322" s="133">
        <v>0</v>
      </c>
      <c r="L322" s="117">
        <v>77</v>
      </c>
      <c r="M322" s="133">
        <f t="shared" si="25"/>
        <v>12</v>
      </c>
      <c r="N322" s="157"/>
      <c r="O322" s="158"/>
      <c r="P322" s="158"/>
      <c r="Q322" s="158"/>
      <c r="R322" s="158"/>
      <c r="S322" s="158"/>
      <c r="T322" s="158"/>
      <c r="U322" s="158"/>
      <c r="V322" s="158"/>
      <c r="W322" s="158"/>
      <c r="X322" s="158"/>
      <c r="Y322" s="158"/>
      <c r="Z322" s="158"/>
      <c r="AA322" s="158"/>
    </row>
    <row r="323" spans="1:27" ht="15.75" customHeight="1" x14ac:dyDescent="0.55000000000000004">
      <c r="A323" s="169">
        <v>50</v>
      </c>
      <c r="B323" s="169" t="s">
        <v>1206</v>
      </c>
      <c r="C323" s="169" t="s">
        <v>1207</v>
      </c>
      <c r="D323" s="170">
        <v>34187</v>
      </c>
      <c r="E323" s="120" t="s">
        <v>2717</v>
      </c>
      <c r="F323" s="131">
        <v>73</v>
      </c>
      <c r="G323" s="120">
        <v>0</v>
      </c>
      <c r="H323" s="161" t="str">
        <f>HYPERLINK("https://www.findagrave.com/memorial/91558592/peter-nicholas-parrous","0")</f>
        <v>0</v>
      </c>
      <c r="I323" s="120">
        <v>0</v>
      </c>
      <c r="J323" s="133" t="s">
        <v>853</v>
      </c>
      <c r="K323" s="133">
        <v>0</v>
      </c>
      <c r="L323" s="117">
        <v>83.8</v>
      </c>
      <c r="M323" s="133">
        <f t="shared" si="25"/>
        <v>10.799999999999997</v>
      </c>
      <c r="N323" s="157"/>
      <c r="O323" s="158"/>
      <c r="P323" s="158"/>
      <c r="Q323" s="158"/>
      <c r="R323" s="158"/>
      <c r="S323" s="158"/>
      <c r="T323" s="158"/>
      <c r="U323" s="158"/>
      <c r="V323" s="158"/>
      <c r="W323" s="158"/>
      <c r="X323" s="158"/>
      <c r="Y323" s="158"/>
      <c r="Z323" s="158"/>
      <c r="AA323" s="158"/>
    </row>
    <row r="324" spans="1:27" ht="15.75" customHeight="1" x14ac:dyDescent="0.55000000000000004">
      <c r="A324" s="162">
        <v>51</v>
      </c>
      <c r="B324" s="162" t="s">
        <v>1212</v>
      </c>
      <c r="C324" s="162" t="s">
        <v>1061</v>
      </c>
      <c r="D324" s="163">
        <v>34256</v>
      </c>
      <c r="E324" s="120" t="s">
        <v>2718</v>
      </c>
      <c r="F324" s="131">
        <v>31</v>
      </c>
      <c r="G324" s="120">
        <v>1</v>
      </c>
      <c r="H324" s="120"/>
      <c r="I324" s="120">
        <v>0</v>
      </c>
      <c r="J324" s="133" t="s">
        <v>853</v>
      </c>
      <c r="K324" s="133">
        <v>0</v>
      </c>
      <c r="L324" s="117">
        <v>73.099999999999994</v>
      </c>
      <c r="M324" s="133">
        <f t="shared" si="25"/>
        <v>42.099999999999994</v>
      </c>
      <c r="N324" s="157"/>
      <c r="O324" s="158"/>
      <c r="P324" s="158"/>
      <c r="Q324" s="158"/>
      <c r="R324" s="158"/>
      <c r="S324" s="158"/>
      <c r="T324" s="158"/>
      <c r="U324" s="158"/>
      <c r="V324" s="158"/>
      <c r="W324" s="158"/>
      <c r="X324" s="158"/>
      <c r="Y324" s="158"/>
      <c r="Z324" s="158"/>
      <c r="AA324" s="158"/>
    </row>
    <row r="325" spans="1:27" ht="15.75" customHeight="1" x14ac:dyDescent="0.55000000000000004">
      <c r="A325" s="162">
        <v>51</v>
      </c>
      <c r="B325" s="162" t="s">
        <v>1212</v>
      </c>
      <c r="C325" s="162" t="s">
        <v>1061</v>
      </c>
      <c r="D325" s="163">
        <v>34256</v>
      </c>
      <c r="E325" s="120" t="s">
        <v>2719</v>
      </c>
      <c r="F325" s="131">
        <v>19</v>
      </c>
      <c r="G325" s="120"/>
      <c r="H325" s="120">
        <v>3</v>
      </c>
      <c r="I325" s="120">
        <v>0</v>
      </c>
      <c r="J325" s="133" t="s">
        <v>853</v>
      </c>
      <c r="K325" s="133">
        <v>0</v>
      </c>
      <c r="L325" s="117">
        <v>72.599999999999994</v>
      </c>
      <c r="M325" s="133">
        <f t="shared" si="25"/>
        <v>53.599999999999994</v>
      </c>
      <c r="N325" s="157"/>
      <c r="O325" s="158"/>
      <c r="P325" s="158"/>
      <c r="Q325" s="158"/>
      <c r="R325" s="158"/>
      <c r="S325" s="158"/>
      <c r="T325" s="158"/>
      <c r="U325" s="158"/>
      <c r="V325" s="158"/>
      <c r="W325" s="158"/>
      <c r="X325" s="158"/>
      <c r="Y325" s="158"/>
      <c r="Z325" s="158"/>
      <c r="AA325" s="158"/>
    </row>
    <row r="326" spans="1:27" ht="15.75" customHeight="1" x14ac:dyDescent="0.55000000000000004">
      <c r="A326" s="162">
        <v>51</v>
      </c>
      <c r="B326" s="162" t="s">
        <v>1212</v>
      </c>
      <c r="C326" s="162" t="s">
        <v>1061</v>
      </c>
      <c r="D326" s="163">
        <v>34256</v>
      </c>
      <c r="E326" s="120" t="s">
        <v>2720</v>
      </c>
      <c r="F326" s="131">
        <v>36</v>
      </c>
      <c r="G326" s="120">
        <v>1</v>
      </c>
      <c r="H326" s="120"/>
      <c r="I326" s="120">
        <v>0</v>
      </c>
      <c r="J326" s="133" t="s">
        <v>853</v>
      </c>
      <c r="K326" s="133">
        <v>0</v>
      </c>
      <c r="L326" s="117">
        <v>73.099999999999994</v>
      </c>
      <c r="M326" s="133">
        <f t="shared" si="25"/>
        <v>37.099999999999994</v>
      </c>
      <c r="N326" s="157"/>
      <c r="O326" s="158"/>
      <c r="P326" s="158"/>
      <c r="Q326" s="158"/>
      <c r="R326" s="158"/>
      <c r="S326" s="158"/>
      <c r="T326" s="158"/>
      <c r="U326" s="158"/>
      <c r="V326" s="158"/>
      <c r="W326" s="158"/>
      <c r="X326" s="158"/>
      <c r="Y326" s="158"/>
      <c r="Z326" s="158"/>
      <c r="AA326" s="158"/>
    </row>
    <row r="327" spans="1:27" ht="15.75" customHeight="1" x14ac:dyDescent="0.55000000000000004">
      <c r="A327" s="162">
        <v>51</v>
      </c>
      <c r="B327" s="162" t="s">
        <v>1212</v>
      </c>
      <c r="C327" s="162" t="s">
        <v>1061</v>
      </c>
      <c r="D327" s="163">
        <v>34256</v>
      </c>
      <c r="E327" s="120" t="s">
        <v>2721</v>
      </c>
      <c r="F327" s="131">
        <v>37</v>
      </c>
      <c r="G327" s="120">
        <v>0</v>
      </c>
      <c r="H327" s="120"/>
      <c r="I327" s="120">
        <v>0</v>
      </c>
      <c r="J327" s="133" t="s">
        <v>853</v>
      </c>
      <c r="K327" s="133">
        <v>0</v>
      </c>
      <c r="L327" s="117">
        <v>66.599999999999994</v>
      </c>
      <c r="M327" s="133">
        <f t="shared" si="25"/>
        <v>29.599999999999994</v>
      </c>
      <c r="N327" s="157"/>
      <c r="O327" s="158"/>
      <c r="P327" s="158"/>
      <c r="Q327" s="158"/>
      <c r="R327" s="158"/>
      <c r="S327" s="158"/>
      <c r="T327" s="158"/>
      <c r="U327" s="158"/>
      <c r="V327" s="158"/>
      <c r="W327" s="158"/>
      <c r="X327" s="158"/>
      <c r="Y327" s="158"/>
      <c r="Z327" s="158"/>
      <c r="AA327" s="158"/>
    </row>
    <row r="328" spans="1:27" ht="15.75" customHeight="1" x14ac:dyDescent="0.55000000000000004">
      <c r="A328" s="164">
        <v>52</v>
      </c>
      <c r="B328" s="164" t="s">
        <v>1219</v>
      </c>
      <c r="C328" s="164" t="s">
        <v>1220</v>
      </c>
      <c r="D328" s="165">
        <v>34305</v>
      </c>
      <c r="E328" s="131" t="s">
        <v>2722</v>
      </c>
      <c r="F328" s="131">
        <v>65</v>
      </c>
      <c r="G328" s="120">
        <v>0</v>
      </c>
      <c r="H328" s="120"/>
      <c r="I328" s="120">
        <v>0</v>
      </c>
      <c r="J328" s="133" t="s">
        <v>853</v>
      </c>
      <c r="K328" s="133">
        <v>0</v>
      </c>
      <c r="L328" s="117">
        <v>80.599999999999994</v>
      </c>
      <c r="M328" s="133">
        <f t="shared" si="25"/>
        <v>15.599999999999994</v>
      </c>
      <c r="N328" s="157"/>
      <c r="O328" s="158"/>
      <c r="P328" s="158"/>
      <c r="Q328" s="158"/>
      <c r="R328" s="158"/>
      <c r="S328" s="158"/>
      <c r="T328" s="158"/>
      <c r="U328" s="158"/>
      <c r="V328" s="158"/>
      <c r="W328" s="158"/>
      <c r="X328" s="158"/>
      <c r="Y328" s="158"/>
      <c r="Z328" s="158"/>
      <c r="AA328" s="158"/>
    </row>
    <row r="329" spans="1:27" ht="15.75" customHeight="1" x14ac:dyDescent="0.55000000000000004">
      <c r="A329" s="164">
        <v>52</v>
      </c>
      <c r="B329" s="164" t="s">
        <v>1219</v>
      </c>
      <c r="C329" s="164" t="s">
        <v>1220</v>
      </c>
      <c r="D329" s="165">
        <v>34305</v>
      </c>
      <c r="E329" s="120" t="s">
        <v>2723</v>
      </c>
      <c r="F329" s="131">
        <v>35</v>
      </c>
      <c r="G329" s="120">
        <v>0</v>
      </c>
      <c r="H329" s="161" t="str">
        <f>HYPERLINK("https://www.findagrave.com/memorial/11419218/james-edward-o_brien","0")</f>
        <v>0</v>
      </c>
      <c r="I329" s="120">
        <v>0</v>
      </c>
      <c r="J329" s="133" t="s">
        <v>853</v>
      </c>
      <c r="K329" s="133">
        <v>0</v>
      </c>
      <c r="L329" s="117">
        <v>67.400000000000006</v>
      </c>
      <c r="M329" s="133">
        <f t="shared" si="25"/>
        <v>32.400000000000006</v>
      </c>
      <c r="N329" s="157"/>
      <c r="O329" s="158"/>
      <c r="P329" s="158"/>
      <c r="Q329" s="158"/>
      <c r="R329" s="158"/>
      <c r="S329" s="158"/>
      <c r="T329" s="158"/>
      <c r="U329" s="158"/>
      <c r="V329" s="158"/>
      <c r="W329" s="158"/>
      <c r="X329" s="158"/>
      <c r="Y329" s="158"/>
      <c r="Z329" s="158"/>
      <c r="AA329" s="158"/>
    </row>
    <row r="330" spans="1:27" ht="15.75" customHeight="1" x14ac:dyDescent="0.55000000000000004">
      <c r="A330" s="164">
        <v>52</v>
      </c>
      <c r="B330" s="164" t="s">
        <v>1219</v>
      </c>
      <c r="C330" s="164" t="s">
        <v>1220</v>
      </c>
      <c r="D330" s="165">
        <v>34305</v>
      </c>
      <c r="E330" s="120" t="s">
        <v>2724</v>
      </c>
      <c r="F330" s="131">
        <v>42</v>
      </c>
      <c r="G330" s="120">
        <v>1</v>
      </c>
      <c r="H330" s="131">
        <v>2</v>
      </c>
      <c r="I330" s="131">
        <v>2</v>
      </c>
      <c r="J330" s="133" t="s">
        <v>2725</v>
      </c>
      <c r="K330" s="133">
        <v>5</v>
      </c>
      <c r="L330" s="117">
        <v>71.099999999999994</v>
      </c>
      <c r="M330" s="133">
        <f t="shared" si="25"/>
        <v>29.099999999999994</v>
      </c>
      <c r="N330" s="157"/>
      <c r="O330" s="158"/>
      <c r="P330" s="158"/>
      <c r="Q330" s="158"/>
      <c r="R330" s="158"/>
      <c r="S330" s="158"/>
      <c r="T330" s="158"/>
      <c r="U330" s="158"/>
      <c r="V330" s="158"/>
      <c r="W330" s="158"/>
      <c r="X330" s="158"/>
      <c r="Y330" s="158"/>
      <c r="Z330" s="158"/>
      <c r="AA330" s="158"/>
    </row>
    <row r="331" spans="1:27" ht="15.75" customHeight="1" x14ac:dyDescent="0.55000000000000004">
      <c r="A331" s="164">
        <v>52</v>
      </c>
      <c r="B331" s="164" t="s">
        <v>1219</v>
      </c>
      <c r="C331" s="164" t="s">
        <v>1220</v>
      </c>
      <c r="D331" s="165">
        <v>34305</v>
      </c>
      <c r="E331" s="120" t="s">
        <v>2726</v>
      </c>
      <c r="F331" s="131">
        <v>43</v>
      </c>
      <c r="G331" s="120">
        <v>0</v>
      </c>
      <c r="H331" s="131">
        <v>2</v>
      </c>
      <c r="I331" s="131">
        <v>2</v>
      </c>
      <c r="J331" s="133" t="s">
        <v>2727</v>
      </c>
      <c r="K331" s="133">
        <v>5</v>
      </c>
      <c r="L331" s="117">
        <v>65.599999999999994</v>
      </c>
      <c r="M331" s="133">
        <f t="shared" si="25"/>
        <v>22.599999999999994</v>
      </c>
      <c r="N331" s="157"/>
      <c r="O331" s="158"/>
      <c r="P331" s="158"/>
      <c r="Q331" s="158"/>
      <c r="R331" s="158"/>
      <c r="S331" s="158"/>
      <c r="T331" s="158"/>
      <c r="U331" s="158"/>
      <c r="V331" s="158"/>
      <c r="W331" s="158"/>
      <c r="X331" s="158"/>
      <c r="Y331" s="158"/>
      <c r="Z331" s="158"/>
      <c r="AA331" s="158"/>
    </row>
    <row r="332" spans="1:27" ht="15.75" customHeight="1" x14ac:dyDescent="0.55000000000000004">
      <c r="A332" s="166">
        <v>53</v>
      </c>
      <c r="B332" s="166" t="s">
        <v>1226</v>
      </c>
      <c r="C332" s="166" t="s">
        <v>1227</v>
      </c>
      <c r="D332" s="167">
        <v>34310</v>
      </c>
      <c r="E332" s="120" t="s">
        <v>2728</v>
      </c>
      <c r="F332" s="131">
        <v>27</v>
      </c>
      <c r="G332" s="120">
        <v>1</v>
      </c>
      <c r="H332" s="161" t="str">
        <f>HYPERLINK("https://www.findagrave.com/memorial/36253256/amy-federici","0")</f>
        <v>0</v>
      </c>
      <c r="I332" s="120">
        <v>0</v>
      </c>
      <c r="J332" s="133" t="s">
        <v>853</v>
      </c>
      <c r="K332" s="133">
        <v>0</v>
      </c>
      <c r="L332" s="117">
        <v>75.599999999999994</v>
      </c>
      <c r="M332" s="133">
        <f t="shared" si="25"/>
        <v>48.599999999999994</v>
      </c>
      <c r="N332" s="157"/>
      <c r="O332" s="158"/>
      <c r="P332" s="158"/>
      <c r="Q332" s="158"/>
      <c r="R332" s="158"/>
      <c r="S332" s="158"/>
      <c r="T332" s="158"/>
      <c r="U332" s="158"/>
      <c r="V332" s="158"/>
      <c r="W332" s="158"/>
      <c r="X332" s="158"/>
      <c r="Y332" s="158"/>
      <c r="Z332" s="158"/>
      <c r="AA332" s="158"/>
    </row>
    <row r="333" spans="1:27" ht="15.75" customHeight="1" x14ac:dyDescent="0.55000000000000004">
      <c r="A333" s="166">
        <v>53</v>
      </c>
      <c r="B333" s="166" t="s">
        <v>1226</v>
      </c>
      <c r="C333" s="166" t="s">
        <v>1227</v>
      </c>
      <c r="D333" s="167">
        <v>34310</v>
      </c>
      <c r="E333" s="120" t="s">
        <v>2729</v>
      </c>
      <c r="F333" s="131">
        <v>51</v>
      </c>
      <c r="G333" s="120">
        <v>0</v>
      </c>
      <c r="H333" s="120">
        <v>0</v>
      </c>
      <c r="I333" s="120">
        <v>0</v>
      </c>
      <c r="J333" s="133" t="s">
        <v>853</v>
      </c>
      <c r="K333" s="133">
        <v>0</v>
      </c>
      <c r="L333" s="117">
        <v>66.5</v>
      </c>
      <c r="M333" s="133">
        <f t="shared" si="25"/>
        <v>15.5</v>
      </c>
      <c r="N333" s="157"/>
      <c r="O333" s="158"/>
      <c r="P333" s="158"/>
      <c r="Q333" s="158"/>
      <c r="R333" s="158"/>
      <c r="S333" s="158"/>
      <c r="T333" s="158"/>
      <c r="U333" s="158"/>
      <c r="V333" s="158"/>
      <c r="W333" s="158"/>
      <c r="X333" s="158"/>
      <c r="Y333" s="158"/>
      <c r="Z333" s="158"/>
      <c r="AA333" s="158"/>
    </row>
    <row r="334" spans="1:27" ht="15.75" customHeight="1" x14ac:dyDescent="0.55000000000000004">
      <c r="A334" s="166">
        <v>53</v>
      </c>
      <c r="B334" s="166" t="s">
        <v>1226</v>
      </c>
      <c r="C334" s="166" t="s">
        <v>1227</v>
      </c>
      <c r="D334" s="167">
        <v>34310</v>
      </c>
      <c r="E334" s="120" t="s">
        <v>2730</v>
      </c>
      <c r="F334" s="131">
        <v>27</v>
      </c>
      <c r="G334" s="131">
        <v>1</v>
      </c>
      <c r="H334" s="161" t="str">
        <f>HYPERLINK("https://www.findagrave.com/memorial/171465812/mi-kyung-kim","3")</f>
        <v>3</v>
      </c>
      <c r="I334" s="120">
        <v>0</v>
      </c>
      <c r="J334" s="133" t="s">
        <v>853</v>
      </c>
      <c r="K334" s="133">
        <v>0</v>
      </c>
      <c r="L334" s="117">
        <v>74.7</v>
      </c>
      <c r="M334" s="133">
        <f t="shared" si="25"/>
        <v>47.7</v>
      </c>
      <c r="N334" s="157"/>
      <c r="O334" s="158"/>
      <c r="P334" s="158"/>
      <c r="Q334" s="158"/>
      <c r="R334" s="158"/>
      <c r="S334" s="158"/>
      <c r="T334" s="158"/>
      <c r="U334" s="158"/>
      <c r="V334" s="158"/>
      <c r="W334" s="158"/>
      <c r="X334" s="158"/>
      <c r="Y334" s="158"/>
      <c r="Z334" s="158"/>
      <c r="AA334" s="158"/>
    </row>
    <row r="335" spans="1:27" ht="15.75" customHeight="1" x14ac:dyDescent="0.55000000000000004">
      <c r="A335" s="166">
        <v>53</v>
      </c>
      <c r="B335" s="166" t="s">
        <v>1226</v>
      </c>
      <c r="C335" s="166" t="s">
        <v>1227</v>
      </c>
      <c r="D335" s="167">
        <v>34310</v>
      </c>
      <c r="E335" s="120" t="s">
        <v>2731</v>
      </c>
      <c r="F335" s="131">
        <v>30</v>
      </c>
      <c r="G335" s="120">
        <v>1</v>
      </c>
      <c r="H335" s="131">
        <v>2</v>
      </c>
      <c r="I335" s="120">
        <v>0</v>
      </c>
      <c r="J335" s="133" t="s">
        <v>853</v>
      </c>
      <c r="K335" s="133">
        <v>0</v>
      </c>
      <c r="L335" s="117">
        <v>73.099999999999994</v>
      </c>
      <c r="M335" s="133">
        <f t="shared" si="25"/>
        <v>43.099999999999994</v>
      </c>
      <c r="N335" s="157"/>
      <c r="O335" s="158"/>
      <c r="P335" s="158"/>
      <c r="Q335" s="158"/>
      <c r="R335" s="158"/>
      <c r="S335" s="158"/>
      <c r="T335" s="158"/>
      <c r="U335" s="158"/>
      <c r="V335" s="158"/>
      <c r="W335" s="158"/>
      <c r="X335" s="158"/>
      <c r="Y335" s="158"/>
      <c r="Z335" s="158"/>
      <c r="AA335" s="158"/>
    </row>
    <row r="336" spans="1:27" ht="15.75" customHeight="1" x14ac:dyDescent="0.55000000000000004">
      <c r="A336" s="166">
        <v>53</v>
      </c>
      <c r="B336" s="166" t="s">
        <v>1226</v>
      </c>
      <c r="C336" s="166" t="s">
        <v>1227</v>
      </c>
      <c r="D336" s="167">
        <v>34310</v>
      </c>
      <c r="E336" s="120" t="s">
        <v>2732</v>
      </c>
      <c r="F336" s="131">
        <v>52</v>
      </c>
      <c r="G336" s="120">
        <v>0</v>
      </c>
      <c r="H336" s="120"/>
      <c r="I336" s="120">
        <v>0</v>
      </c>
      <c r="J336" s="133" t="s">
        <v>853</v>
      </c>
      <c r="K336" s="133">
        <v>0</v>
      </c>
      <c r="L336" s="117">
        <v>65.599999999999994</v>
      </c>
      <c r="M336" s="133">
        <f t="shared" si="25"/>
        <v>13.599999999999994</v>
      </c>
      <c r="N336" s="157"/>
      <c r="O336" s="158"/>
      <c r="P336" s="158"/>
      <c r="Q336" s="158"/>
      <c r="R336" s="158"/>
      <c r="S336" s="158"/>
      <c r="T336" s="158"/>
      <c r="U336" s="158"/>
      <c r="V336" s="158"/>
      <c r="W336" s="158"/>
      <c r="X336" s="158"/>
      <c r="Y336" s="158"/>
      <c r="Z336" s="158"/>
      <c r="AA336" s="158"/>
    </row>
    <row r="337" spans="1:27" ht="15.75" customHeight="1" x14ac:dyDescent="0.55000000000000004">
      <c r="A337" s="166">
        <v>53</v>
      </c>
      <c r="B337" s="166" t="s">
        <v>1226</v>
      </c>
      <c r="C337" s="166" t="s">
        <v>1227</v>
      </c>
      <c r="D337" s="167">
        <v>34310</v>
      </c>
      <c r="E337" s="131" t="s">
        <v>2733</v>
      </c>
      <c r="F337" s="131">
        <v>24</v>
      </c>
      <c r="G337" s="120">
        <v>0</v>
      </c>
      <c r="H337" s="120"/>
      <c r="I337" s="120">
        <v>0</v>
      </c>
      <c r="J337" s="133" t="s">
        <v>853</v>
      </c>
      <c r="K337" s="133">
        <v>0</v>
      </c>
      <c r="L337" s="117">
        <v>67.099999999999994</v>
      </c>
      <c r="M337" s="133">
        <f t="shared" si="25"/>
        <v>43.099999999999994</v>
      </c>
      <c r="N337" s="157"/>
      <c r="O337" s="158"/>
      <c r="P337" s="158"/>
      <c r="Q337" s="158"/>
      <c r="R337" s="158"/>
      <c r="S337" s="158"/>
      <c r="T337" s="158"/>
      <c r="U337" s="158"/>
      <c r="V337" s="158"/>
      <c r="W337" s="158"/>
      <c r="X337" s="158"/>
      <c r="Y337" s="158"/>
      <c r="Z337" s="158"/>
      <c r="AA337" s="158"/>
    </row>
    <row r="338" spans="1:27" ht="15.75" customHeight="1" x14ac:dyDescent="0.55000000000000004">
      <c r="A338" s="177">
        <v>54</v>
      </c>
      <c r="B338" s="177" t="s">
        <v>1233</v>
      </c>
      <c r="C338" s="177" t="s">
        <v>1234</v>
      </c>
      <c r="D338" s="178">
        <v>34317</v>
      </c>
      <c r="E338" s="120" t="s">
        <v>2734</v>
      </c>
      <c r="F338" s="131">
        <v>19</v>
      </c>
      <c r="G338" s="120">
        <v>1</v>
      </c>
      <c r="H338" s="131">
        <v>0</v>
      </c>
      <c r="I338" s="120">
        <v>1</v>
      </c>
      <c r="J338" s="133" t="s">
        <v>2595</v>
      </c>
      <c r="K338" s="133">
        <v>3</v>
      </c>
      <c r="L338" s="117">
        <v>77.3</v>
      </c>
      <c r="M338" s="133">
        <f t="shared" si="25"/>
        <v>58.3</v>
      </c>
      <c r="N338" s="157"/>
      <c r="O338" s="158"/>
      <c r="P338" s="158"/>
      <c r="Q338" s="158"/>
      <c r="R338" s="158"/>
      <c r="S338" s="158"/>
      <c r="T338" s="158"/>
      <c r="U338" s="158"/>
      <c r="V338" s="158"/>
      <c r="W338" s="158"/>
      <c r="X338" s="158"/>
      <c r="Y338" s="158"/>
      <c r="Z338" s="158"/>
      <c r="AA338" s="158"/>
    </row>
    <row r="339" spans="1:27" ht="15.75" customHeight="1" x14ac:dyDescent="0.55000000000000004">
      <c r="A339" s="177">
        <v>54</v>
      </c>
      <c r="B339" s="177" t="s">
        <v>1233</v>
      </c>
      <c r="C339" s="177" t="s">
        <v>1234</v>
      </c>
      <c r="D339" s="178">
        <v>34317</v>
      </c>
      <c r="E339" s="120" t="s">
        <v>2735</v>
      </c>
      <c r="F339" s="131">
        <v>17</v>
      </c>
      <c r="G339" s="120">
        <v>0</v>
      </c>
      <c r="H339" s="131">
        <v>0</v>
      </c>
      <c r="I339" s="120">
        <v>1</v>
      </c>
      <c r="J339" s="133" t="s">
        <v>2595</v>
      </c>
      <c r="K339" s="133">
        <v>3</v>
      </c>
      <c r="L339" s="117">
        <v>69.5</v>
      </c>
      <c r="M339" s="133">
        <f t="shared" si="25"/>
        <v>52.5</v>
      </c>
      <c r="N339" s="157"/>
      <c r="O339" s="158"/>
      <c r="P339" s="158"/>
      <c r="Q339" s="158"/>
      <c r="R339" s="158"/>
      <c r="S339" s="158"/>
      <c r="T339" s="158"/>
      <c r="U339" s="158"/>
      <c r="V339" s="158"/>
      <c r="W339" s="158"/>
      <c r="X339" s="158"/>
      <c r="Y339" s="158"/>
      <c r="Z339" s="158"/>
      <c r="AA339" s="158"/>
    </row>
    <row r="340" spans="1:27" ht="15.75" customHeight="1" x14ac:dyDescent="0.55000000000000004">
      <c r="A340" s="177">
        <v>54</v>
      </c>
      <c r="B340" s="177" t="s">
        <v>1233</v>
      </c>
      <c r="C340" s="177" t="s">
        <v>1234</v>
      </c>
      <c r="D340" s="178">
        <v>34317</v>
      </c>
      <c r="E340" s="120" t="s">
        <v>2736</v>
      </c>
      <c r="F340" s="131">
        <v>50</v>
      </c>
      <c r="G340" s="120">
        <v>1</v>
      </c>
      <c r="H340" s="131">
        <v>0</v>
      </c>
      <c r="I340" s="120">
        <v>1</v>
      </c>
      <c r="J340" s="133" t="s">
        <v>2641</v>
      </c>
      <c r="K340" s="133">
        <v>3</v>
      </c>
      <c r="L340" s="117">
        <v>72.2</v>
      </c>
      <c r="M340" s="133">
        <f t="shared" si="25"/>
        <v>22.200000000000003</v>
      </c>
      <c r="N340" s="157"/>
      <c r="O340" s="158"/>
      <c r="P340" s="158"/>
      <c r="Q340" s="158"/>
      <c r="R340" s="158"/>
      <c r="S340" s="158"/>
      <c r="T340" s="158"/>
      <c r="U340" s="158"/>
      <c r="V340" s="158"/>
      <c r="W340" s="158"/>
      <c r="X340" s="158"/>
      <c r="Y340" s="158"/>
      <c r="Z340" s="158"/>
      <c r="AA340" s="158"/>
    </row>
    <row r="341" spans="1:27" ht="15.75" customHeight="1" x14ac:dyDescent="0.55000000000000004">
      <c r="A341" s="177">
        <v>54</v>
      </c>
      <c r="B341" s="177" t="s">
        <v>1233</v>
      </c>
      <c r="C341" s="177" t="s">
        <v>1234</v>
      </c>
      <c r="D341" s="178">
        <v>34317</v>
      </c>
      <c r="E341" s="120" t="s">
        <v>2737</v>
      </c>
      <c r="F341" s="131">
        <v>17</v>
      </c>
      <c r="G341" s="120">
        <v>1</v>
      </c>
      <c r="H341" s="131">
        <v>0</v>
      </c>
      <c r="I341" s="120">
        <v>1</v>
      </c>
      <c r="J341" s="133" t="s">
        <v>2595</v>
      </c>
      <c r="K341" s="133">
        <v>3</v>
      </c>
      <c r="L341" s="117">
        <v>77.3</v>
      </c>
      <c r="M341" s="133">
        <f t="shared" si="25"/>
        <v>60.3</v>
      </c>
      <c r="N341" s="157"/>
      <c r="O341" s="158"/>
      <c r="P341" s="158"/>
      <c r="Q341" s="158"/>
      <c r="R341" s="158"/>
      <c r="S341" s="158"/>
      <c r="T341" s="158"/>
      <c r="U341" s="158"/>
      <c r="V341" s="158"/>
      <c r="W341" s="158"/>
      <c r="X341" s="158"/>
      <c r="Y341" s="158"/>
      <c r="Z341" s="158"/>
      <c r="AA341" s="158"/>
    </row>
    <row r="342" spans="1:27" ht="15.75" customHeight="1" x14ac:dyDescent="0.55000000000000004">
      <c r="A342" s="164">
        <v>55</v>
      </c>
      <c r="B342" s="164" t="s">
        <v>1241</v>
      </c>
      <c r="C342" s="164" t="s">
        <v>1242</v>
      </c>
      <c r="D342" s="165">
        <v>34505</v>
      </c>
      <c r="E342" s="120" t="s">
        <v>2738</v>
      </c>
      <c r="F342" s="131">
        <v>31</v>
      </c>
      <c r="G342" s="120">
        <v>0</v>
      </c>
      <c r="H342" s="131">
        <v>0</v>
      </c>
      <c r="I342" s="120">
        <v>1</v>
      </c>
      <c r="J342" s="133" t="s">
        <v>2739</v>
      </c>
      <c r="K342" s="133">
        <v>5</v>
      </c>
      <c r="L342" s="117">
        <v>67.400000000000006</v>
      </c>
      <c r="M342" s="133">
        <f t="shared" si="25"/>
        <v>36.400000000000006</v>
      </c>
      <c r="N342" s="157"/>
      <c r="O342" s="158"/>
      <c r="P342" s="158"/>
      <c r="Q342" s="158"/>
      <c r="R342" s="158"/>
      <c r="S342" s="158"/>
      <c r="T342" s="158"/>
      <c r="U342" s="158"/>
      <c r="V342" s="158"/>
      <c r="W342" s="158"/>
      <c r="X342" s="158"/>
      <c r="Y342" s="158"/>
      <c r="Z342" s="158"/>
      <c r="AA342" s="158"/>
    </row>
    <row r="343" spans="1:27" ht="15.75" customHeight="1" x14ac:dyDescent="0.55000000000000004">
      <c r="A343" s="164">
        <v>55</v>
      </c>
      <c r="B343" s="164" t="s">
        <v>1241</v>
      </c>
      <c r="C343" s="164" t="s">
        <v>1242</v>
      </c>
      <c r="D343" s="165">
        <v>34505</v>
      </c>
      <c r="E343" s="120" t="s">
        <v>2740</v>
      </c>
      <c r="F343" s="131">
        <v>40</v>
      </c>
      <c r="G343" s="120">
        <v>0</v>
      </c>
      <c r="H343" s="120"/>
      <c r="I343" s="120">
        <v>1</v>
      </c>
      <c r="J343" s="133" t="s">
        <v>2739</v>
      </c>
      <c r="K343" s="133">
        <v>5</v>
      </c>
      <c r="L343" s="117">
        <v>65.599999999999994</v>
      </c>
      <c r="M343" s="133">
        <f t="shared" si="25"/>
        <v>25.599999999999994</v>
      </c>
      <c r="N343" s="157"/>
      <c r="O343" s="158"/>
      <c r="P343" s="158"/>
      <c r="Q343" s="158"/>
      <c r="R343" s="158"/>
      <c r="S343" s="158"/>
      <c r="T343" s="158"/>
      <c r="U343" s="158"/>
      <c r="V343" s="158"/>
      <c r="W343" s="158"/>
      <c r="X343" s="158"/>
      <c r="Y343" s="158"/>
      <c r="Z343" s="158"/>
      <c r="AA343" s="158"/>
    </row>
    <row r="344" spans="1:27" ht="15.75" customHeight="1" x14ac:dyDescent="0.55000000000000004">
      <c r="A344" s="164">
        <v>55</v>
      </c>
      <c r="B344" s="164" t="s">
        <v>1241</v>
      </c>
      <c r="C344" s="164" t="s">
        <v>1242</v>
      </c>
      <c r="D344" s="165">
        <v>34505</v>
      </c>
      <c r="E344" s="120" t="s">
        <v>2741</v>
      </c>
      <c r="F344" s="131">
        <v>8</v>
      </c>
      <c r="G344" s="120">
        <v>1</v>
      </c>
      <c r="H344" s="120"/>
      <c r="I344" s="120">
        <v>0</v>
      </c>
      <c r="J344" s="133" t="s">
        <v>853</v>
      </c>
      <c r="K344" s="133">
        <v>0</v>
      </c>
      <c r="L344" s="117">
        <v>78.8</v>
      </c>
      <c r="M344" s="133">
        <f t="shared" si="25"/>
        <v>70.8</v>
      </c>
      <c r="N344" s="157"/>
      <c r="O344" s="158"/>
      <c r="P344" s="158"/>
      <c r="Q344" s="158"/>
      <c r="R344" s="158"/>
      <c r="S344" s="158"/>
      <c r="T344" s="158"/>
      <c r="U344" s="158"/>
      <c r="V344" s="158"/>
      <c r="W344" s="158"/>
      <c r="X344" s="158"/>
      <c r="Y344" s="158"/>
      <c r="Z344" s="158"/>
      <c r="AA344" s="158"/>
    </row>
    <row r="345" spans="1:27" ht="15.75" customHeight="1" x14ac:dyDescent="0.55000000000000004">
      <c r="A345" s="164">
        <v>55</v>
      </c>
      <c r="B345" s="164" t="s">
        <v>1241</v>
      </c>
      <c r="C345" s="164" t="s">
        <v>1242</v>
      </c>
      <c r="D345" s="165">
        <v>34505</v>
      </c>
      <c r="E345" s="120" t="s">
        <v>2742</v>
      </c>
      <c r="F345" s="131">
        <v>62</v>
      </c>
      <c r="G345" s="120">
        <v>1</v>
      </c>
      <c r="H345" s="131">
        <v>0</v>
      </c>
      <c r="I345" s="120">
        <v>0</v>
      </c>
      <c r="J345" s="133" t="s">
        <v>853</v>
      </c>
      <c r="K345" s="133">
        <v>0</v>
      </c>
      <c r="L345" s="117">
        <v>72.2</v>
      </c>
      <c r="M345" s="133">
        <f t="shared" si="25"/>
        <v>10.200000000000003</v>
      </c>
      <c r="N345" s="157"/>
      <c r="O345" s="158"/>
      <c r="P345" s="158"/>
      <c r="Q345" s="158"/>
      <c r="R345" s="158"/>
      <c r="S345" s="158"/>
      <c r="T345" s="158"/>
      <c r="U345" s="158"/>
      <c r="V345" s="158"/>
      <c r="W345" s="158"/>
      <c r="X345" s="158"/>
      <c r="Y345" s="158"/>
      <c r="Z345" s="158"/>
      <c r="AA345" s="158"/>
    </row>
    <row r="346" spans="1:27" ht="15.75" customHeight="1" x14ac:dyDescent="0.55000000000000004">
      <c r="A346" s="162">
        <v>56</v>
      </c>
      <c r="B346" s="162" t="s">
        <v>1226</v>
      </c>
      <c r="C346" s="162" t="s">
        <v>1248</v>
      </c>
      <c r="D346" s="163">
        <v>34699</v>
      </c>
      <c r="E346" s="120" t="s">
        <v>2743</v>
      </c>
      <c r="F346" s="131">
        <v>37</v>
      </c>
      <c r="G346" s="120">
        <v>1</v>
      </c>
      <c r="H346" s="120"/>
      <c r="I346" s="120">
        <v>0</v>
      </c>
      <c r="J346" s="133" t="s">
        <v>853</v>
      </c>
      <c r="K346" s="133">
        <v>0</v>
      </c>
      <c r="L346" s="117">
        <v>73.099999999999994</v>
      </c>
      <c r="M346" s="133">
        <f t="shared" si="25"/>
        <v>36.099999999999994</v>
      </c>
      <c r="N346" s="157"/>
      <c r="O346" s="158"/>
      <c r="P346" s="158"/>
      <c r="Q346" s="158"/>
      <c r="R346" s="158"/>
      <c r="S346" s="158"/>
      <c r="T346" s="158"/>
      <c r="U346" s="158"/>
      <c r="V346" s="158"/>
      <c r="W346" s="158"/>
      <c r="X346" s="158"/>
      <c r="Y346" s="158"/>
      <c r="Z346" s="158"/>
      <c r="AA346" s="158"/>
    </row>
    <row r="347" spans="1:27" ht="15.75" customHeight="1" x14ac:dyDescent="0.55000000000000004">
      <c r="A347" s="162">
        <v>56</v>
      </c>
      <c r="B347" s="162" t="s">
        <v>1226</v>
      </c>
      <c r="C347" s="162" t="s">
        <v>1248</v>
      </c>
      <c r="D347" s="163">
        <v>34699</v>
      </c>
      <c r="E347" s="120" t="s">
        <v>2744</v>
      </c>
      <c r="F347" s="131">
        <v>39</v>
      </c>
      <c r="G347" s="120">
        <v>0</v>
      </c>
      <c r="H347" s="120"/>
      <c r="I347" s="120">
        <v>0</v>
      </c>
      <c r="J347" s="133" t="s">
        <v>853</v>
      </c>
      <c r="K347" s="133">
        <v>0</v>
      </c>
      <c r="L347" s="117">
        <v>66.599999999999994</v>
      </c>
      <c r="M347" s="133">
        <f t="shared" si="25"/>
        <v>27.599999999999994</v>
      </c>
      <c r="N347" s="157"/>
      <c r="O347" s="158"/>
      <c r="P347" s="158"/>
      <c r="Q347" s="158"/>
      <c r="R347" s="158"/>
      <c r="S347" s="158"/>
      <c r="T347" s="158"/>
      <c r="U347" s="158"/>
      <c r="V347" s="158"/>
      <c r="W347" s="158"/>
      <c r="X347" s="158"/>
      <c r="Y347" s="158"/>
      <c r="Z347" s="158"/>
      <c r="AA347" s="158"/>
    </row>
    <row r="348" spans="1:27" ht="15.75" customHeight="1" x14ac:dyDescent="0.55000000000000004">
      <c r="A348" s="162">
        <v>56</v>
      </c>
      <c r="B348" s="162" t="s">
        <v>1226</v>
      </c>
      <c r="C348" s="162" t="s">
        <v>1248</v>
      </c>
      <c r="D348" s="163">
        <v>34699</v>
      </c>
      <c r="E348" s="120" t="s">
        <v>2745</v>
      </c>
      <c r="F348" s="131">
        <v>18</v>
      </c>
      <c r="G348" s="120">
        <v>0</v>
      </c>
      <c r="H348" s="120"/>
      <c r="I348" s="131">
        <v>1</v>
      </c>
      <c r="J348" s="133" t="s">
        <v>2746</v>
      </c>
      <c r="K348" s="133">
        <v>5</v>
      </c>
      <c r="L348" s="117">
        <v>70</v>
      </c>
      <c r="M348" s="133">
        <f t="shared" si="25"/>
        <v>52</v>
      </c>
      <c r="N348" s="157"/>
      <c r="O348" s="158"/>
      <c r="P348" s="158"/>
      <c r="Q348" s="158"/>
      <c r="R348" s="158"/>
      <c r="S348" s="158"/>
      <c r="T348" s="158"/>
      <c r="U348" s="158"/>
      <c r="V348" s="158"/>
      <c r="W348" s="158"/>
      <c r="X348" s="158"/>
      <c r="Y348" s="158"/>
      <c r="Z348" s="158"/>
      <c r="AA348" s="158"/>
    </row>
    <row r="349" spans="1:27" ht="15.75" customHeight="1" x14ac:dyDescent="0.55000000000000004">
      <c r="A349" s="162">
        <v>56</v>
      </c>
      <c r="B349" s="162" t="s">
        <v>1226</v>
      </c>
      <c r="C349" s="162" t="s">
        <v>1248</v>
      </c>
      <c r="D349" s="163">
        <v>34699</v>
      </c>
      <c r="E349" s="120" t="s">
        <v>2747</v>
      </c>
      <c r="F349" s="131">
        <v>20</v>
      </c>
      <c r="G349" s="120">
        <v>0</v>
      </c>
      <c r="H349" s="120"/>
      <c r="I349" s="120">
        <v>0</v>
      </c>
      <c r="J349" s="133" t="s">
        <v>853</v>
      </c>
      <c r="K349" s="133">
        <v>0</v>
      </c>
      <c r="L349" s="117">
        <v>68.8</v>
      </c>
      <c r="M349" s="133">
        <f t="shared" si="25"/>
        <v>48.8</v>
      </c>
      <c r="N349" s="157"/>
      <c r="O349" s="158"/>
      <c r="P349" s="158"/>
      <c r="Q349" s="158"/>
      <c r="R349" s="158"/>
      <c r="S349" s="158"/>
      <c r="T349" s="158"/>
      <c r="U349" s="158"/>
      <c r="V349" s="158"/>
      <c r="W349" s="158"/>
      <c r="X349" s="158"/>
      <c r="Y349" s="158"/>
      <c r="Z349" s="158"/>
      <c r="AA349" s="158"/>
    </row>
    <row r="350" spans="1:27" ht="15.75" customHeight="1" x14ac:dyDescent="0.55000000000000004">
      <c r="A350" s="162">
        <v>56</v>
      </c>
      <c r="B350" s="162" t="s">
        <v>1226</v>
      </c>
      <c r="C350" s="162" t="s">
        <v>1248</v>
      </c>
      <c r="D350" s="163">
        <v>34700</v>
      </c>
      <c r="E350" s="120" t="s">
        <v>2748</v>
      </c>
      <c r="F350" s="131">
        <v>28</v>
      </c>
      <c r="G350" s="120">
        <v>0</v>
      </c>
      <c r="H350" s="120"/>
      <c r="I350" s="131">
        <v>1</v>
      </c>
      <c r="J350" s="133" t="s">
        <v>2746</v>
      </c>
      <c r="K350" s="133">
        <v>5</v>
      </c>
      <c r="L350" s="117">
        <v>67.099999999999994</v>
      </c>
      <c r="M350" s="133">
        <f t="shared" si="25"/>
        <v>39.099999999999994</v>
      </c>
      <c r="N350" s="157"/>
      <c r="O350" s="158"/>
      <c r="P350" s="158"/>
      <c r="Q350" s="158"/>
      <c r="R350" s="158"/>
      <c r="S350" s="158"/>
      <c r="T350" s="158"/>
      <c r="U350" s="158"/>
      <c r="V350" s="158"/>
      <c r="W350" s="158"/>
      <c r="X350" s="158"/>
      <c r="Y350" s="158"/>
      <c r="Z350" s="158"/>
      <c r="AA350" s="158"/>
    </row>
    <row r="351" spans="1:27" ht="15.75" customHeight="1" x14ac:dyDescent="0.55000000000000004">
      <c r="A351" s="175">
        <v>57</v>
      </c>
      <c r="B351" s="175" t="s">
        <v>1251</v>
      </c>
      <c r="C351" s="175" t="s">
        <v>1061</v>
      </c>
      <c r="D351" s="176">
        <v>34792</v>
      </c>
      <c r="E351" s="120" t="s">
        <v>2749</v>
      </c>
      <c r="F351" s="131">
        <v>41</v>
      </c>
      <c r="G351" s="120">
        <v>1</v>
      </c>
      <c r="H351" s="131">
        <v>0</v>
      </c>
      <c r="I351" s="120">
        <v>1</v>
      </c>
      <c r="J351" s="133" t="s">
        <v>2595</v>
      </c>
      <c r="K351" s="133">
        <v>3</v>
      </c>
      <c r="L351" s="117">
        <v>72.2</v>
      </c>
      <c r="M351" s="133">
        <f t="shared" si="25"/>
        <v>31.200000000000003</v>
      </c>
      <c r="N351" s="157"/>
      <c r="O351" s="158"/>
      <c r="P351" s="158"/>
      <c r="Q351" s="158"/>
      <c r="R351" s="158"/>
      <c r="S351" s="158"/>
      <c r="T351" s="158"/>
      <c r="U351" s="158"/>
      <c r="V351" s="158"/>
      <c r="W351" s="158"/>
      <c r="X351" s="158"/>
      <c r="Y351" s="158"/>
      <c r="Z351" s="158"/>
      <c r="AA351" s="158"/>
    </row>
    <row r="352" spans="1:27" ht="15.75" customHeight="1" x14ac:dyDescent="0.55000000000000004">
      <c r="A352" s="175">
        <v>57</v>
      </c>
      <c r="B352" s="175" t="s">
        <v>1251</v>
      </c>
      <c r="C352" s="175" t="s">
        <v>1061</v>
      </c>
      <c r="D352" s="176">
        <v>34792</v>
      </c>
      <c r="E352" s="120" t="s">
        <v>2750</v>
      </c>
      <c r="F352" s="131">
        <v>35</v>
      </c>
      <c r="G352" s="120">
        <v>0</v>
      </c>
      <c r="H352" s="131">
        <v>0</v>
      </c>
      <c r="I352" s="120">
        <v>1</v>
      </c>
      <c r="J352" s="133" t="s">
        <v>2595</v>
      </c>
      <c r="K352" s="133">
        <v>3</v>
      </c>
      <c r="L352" s="117">
        <v>67.400000000000006</v>
      </c>
      <c r="M352" s="133">
        <f t="shared" si="25"/>
        <v>32.400000000000006</v>
      </c>
      <c r="N352" s="157"/>
      <c r="O352" s="158"/>
      <c r="P352" s="158"/>
      <c r="Q352" s="158"/>
      <c r="R352" s="158"/>
      <c r="S352" s="158"/>
      <c r="T352" s="158"/>
      <c r="U352" s="158"/>
      <c r="V352" s="158"/>
      <c r="W352" s="158"/>
      <c r="X352" s="158"/>
      <c r="Y352" s="158"/>
      <c r="Z352" s="158"/>
      <c r="AA352" s="158"/>
    </row>
    <row r="353" spans="1:27" ht="15.75" customHeight="1" x14ac:dyDescent="0.55000000000000004">
      <c r="A353" s="175">
        <v>57</v>
      </c>
      <c r="B353" s="175" t="s">
        <v>1251</v>
      </c>
      <c r="C353" s="175" t="s">
        <v>1061</v>
      </c>
      <c r="D353" s="176">
        <v>34792</v>
      </c>
      <c r="E353" s="120" t="s">
        <v>2751</v>
      </c>
      <c r="F353" s="131">
        <v>62</v>
      </c>
      <c r="G353" s="120">
        <v>1</v>
      </c>
      <c r="H353" s="131">
        <v>0</v>
      </c>
      <c r="I353" s="120">
        <v>1</v>
      </c>
      <c r="J353" s="133" t="s">
        <v>2752</v>
      </c>
      <c r="K353" s="133">
        <v>3</v>
      </c>
      <c r="L353" s="117">
        <v>72.2</v>
      </c>
      <c r="M353" s="133">
        <f t="shared" si="25"/>
        <v>10.200000000000003</v>
      </c>
      <c r="N353" s="157"/>
      <c r="O353" s="158"/>
      <c r="P353" s="158"/>
      <c r="Q353" s="158"/>
      <c r="R353" s="158"/>
      <c r="S353" s="158"/>
      <c r="T353" s="158"/>
      <c r="U353" s="158"/>
      <c r="V353" s="158"/>
      <c r="W353" s="158"/>
      <c r="X353" s="158"/>
      <c r="Y353" s="158"/>
      <c r="Z353" s="158"/>
      <c r="AA353" s="158"/>
    </row>
    <row r="354" spans="1:27" ht="15.75" customHeight="1" x14ac:dyDescent="0.55000000000000004">
      <c r="A354" s="175">
        <v>57</v>
      </c>
      <c r="B354" s="175" t="s">
        <v>1251</v>
      </c>
      <c r="C354" s="175" t="s">
        <v>1061</v>
      </c>
      <c r="D354" s="176">
        <v>34792</v>
      </c>
      <c r="E354" s="131" t="s">
        <v>2753</v>
      </c>
      <c r="F354" s="131">
        <v>62</v>
      </c>
      <c r="G354" s="120">
        <v>0</v>
      </c>
      <c r="H354" s="131">
        <v>0</v>
      </c>
      <c r="I354" s="120">
        <v>1</v>
      </c>
      <c r="J354" s="133" t="s">
        <v>2752</v>
      </c>
      <c r="K354" s="133">
        <v>3</v>
      </c>
      <c r="L354" s="117">
        <v>66.5</v>
      </c>
      <c r="M354" s="133">
        <f t="shared" si="25"/>
        <v>4.5</v>
      </c>
      <c r="N354" s="157"/>
      <c r="O354" s="158"/>
      <c r="P354" s="158"/>
      <c r="Q354" s="158"/>
      <c r="R354" s="158"/>
      <c r="S354" s="158"/>
      <c r="T354" s="158"/>
      <c r="U354" s="158"/>
      <c r="V354" s="158"/>
      <c r="W354" s="158"/>
      <c r="X354" s="158"/>
      <c r="Y354" s="158"/>
      <c r="Z354" s="158"/>
      <c r="AA354" s="158"/>
    </row>
    <row r="355" spans="1:27" ht="15.75" customHeight="1" x14ac:dyDescent="0.55000000000000004">
      <c r="A355" s="175">
        <v>57</v>
      </c>
      <c r="B355" s="175" t="s">
        <v>1251</v>
      </c>
      <c r="C355" s="175" t="s">
        <v>1061</v>
      </c>
      <c r="D355" s="176">
        <v>34792</v>
      </c>
      <c r="E355" s="120" t="s">
        <v>2754</v>
      </c>
      <c r="F355" s="131">
        <v>34</v>
      </c>
      <c r="G355" s="120">
        <v>0</v>
      </c>
      <c r="H355" s="131">
        <v>0</v>
      </c>
      <c r="I355" s="120">
        <v>1</v>
      </c>
      <c r="J355" s="133" t="s">
        <v>2595</v>
      </c>
      <c r="K355" s="133">
        <v>3</v>
      </c>
      <c r="L355" s="117">
        <v>67.400000000000006</v>
      </c>
      <c r="M355" s="133">
        <f t="shared" si="25"/>
        <v>33.400000000000006</v>
      </c>
      <c r="N355" s="157"/>
      <c r="O355" s="158"/>
      <c r="P355" s="158"/>
      <c r="Q355" s="158"/>
      <c r="R355" s="158"/>
      <c r="S355" s="158"/>
      <c r="T355" s="158"/>
      <c r="U355" s="158"/>
      <c r="V355" s="158"/>
      <c r="W355" s="158"/>
      <c r="X355" s="158"/>
      <c r="Y355" s="158"/>
      <c r="Z355" s="158"/>
      <c r="AA355" s="158"/>
    </row>
    <row r="356" spans="1:27" ht="15.75" customHeight="1" x14ac:dyDescent="0.55000000000000004">
      <c r="A356" s="169">
        <v>58</v>
      </c>
      <c r="B356" s="169" t="s">
        <v>1255</v>
      </c>
      <c r="C356" s="169" t="s">
        <v>1256</v>
      </c>
      <c r="D356" s="170">
        <v>34899</v>
      </c>
      <c r="E356" s="120" t="s">
        <v>2755</v>
      </c>
      <c r="F356" s="131">
        <v>61</v>
      </c>
      <c r="G356" s="120">
        <v>0</v>
      </c>
      <c r="H356" s="120"/>
      <c r="I356" s="120">
        <v>1</v>
      </c>
      <c r="J356" s="133" t="s">
        <v>2391</v>
      </c>
      <c r="K356" s="133">
        <v>3</v>
      </c>
      <c r="L356" s="117">
        <v>65.599999999999994</v>
      </c>
      <c r="M356" s="133">
        <f t="shared" si="25"/>
        <v>4.5999999999999943</v>
      </c>
      <c r="N356" s="157"/>
      <c r="O356" s="158"/>
      <c r="P356" s="158"/>
      <c r="Q356" s="158"/>
      <c r="R356" s="158"/>
      <c r="S356" s="158"/>
      <c r="T356" s="158"/>
      <c r="U356" s="158"/>
      <c r="V356" s="158"/>
      <c r="W356" s="158"/>
      <c r="X356" s="158"/>
      <c r="Y356" s="158"/>
      <c r="Z356" s="158"/>
      <c r="AA356" s="158"/>
    </row>
    <row r="357" spans="1:27" ht="15.75" customHeight="1" x14ac:dyDescent="0.55000000000000004">
      <c r="A357" s="169">
        <v>58</v>
      </c>
      <c r="B357" s="169" t="s">
        <v>1255</v>
      </c>
      <c r="C357" s="169" t="s">
        <v>1256</v>
      </c>
      <c r="D357" s="170">
        <v>34899</v>
      </c>
      <c r="E357" s="120" t="s">
        <v>2756</v>
      </c>
      <c r="F357" s="131">
        <v>78</v>
      </c>
      <c r="G357" s="120">
        <v>0</v>
      </c>
      <c r="H357" s="120"/>
      <c r="I357" s="120">
        <v>1</v>
      </c>
      <c r="J357" s="133" t="s">
        <v>2391</v>
      </c>
      <c r="K357" s="133">
        <v>3</v>
      </c>
      <c r="L357" s="117">
        <v>84.4</v>
      </c>
      <c r="M357" s="133">
        <f t="shared" si="25"/>
        <v>6.4000000000000057</v>
      </c>
      <c r="N357" s="157"/>
      <c r="O357" s="158"/>
      <c r="P357" s="158"/>
      <c r="Q357" s="158"/>
      <c r="R357" s="158"/>
      <c r="S357" s="158"/>
      <c r="T357" s="158"/>
      <c r="U357" s="158"/>
      <c r="V357" s="158"/>
      <c r="W357" s="158"/>
      <c r="X357" s="158"/>
      <c r="Y357" s="158"/>
      <c r="Z357" s="158"/>
      <c r="AA357" s="158"/>
    </row>
    <row r="358" spans="1:27" ht="15.75" customHeight="1" x14ac:dyDescent="0.55000000000000004">
      <c r="A358" s="169">
        <v>58</v>
      </c>
      <c r="B358" s="169" t="s">
        <v>1255</v>
      </c>
      <c r="C358" s="169" t="s">
        <v>1256</v>
      </c>
      <c r="D358" s="170">
        <v>34899</v>
      </c>
      <c r="E358" s="120" t="s">
        <v>2757</v>
      </c>
      <c r="F358" s="131">
        <v>60</v>
      </c>
      <c r="G358" s="120">
        <v>0</v>
      </c>
      <c r="H358" s="120"/>
      <c r="I358" s="120">
        <v>1</v>
      </c>
      <c r="J358" s="133" t="s">
        <v>2391</v>
      </c>
      <c r="K358" s="133">
        <v>3</v>
      </c>
      <c r="L358" s="117">
        <v>65.599999999999994</v>
      </c>
      <c r="M358" s="133">
        <f t="shared" si="25"/>
        <v>5.5999999999999943</v>
      </c>
      <c r="N358" s="157"/>
      <c r="O358" s="158"/>
      <c r="P358" s="158"/>
      <c r="Q358" s="158"/>
      <c r="R358" s="158"/>
      <c r="S358" s="158"/>
      <c r="T358" s="158"/>
      <c r="U358" s="158"/>
      <c r="V358" s="158"/>
      <c r="W358" s="158"/>
      <c r="X358" s="158"/>
      <c r="Y358" s="158"/>
      <c r="Z358" s="158"/>
      <c r="AA358" s="158"/>
    </row>
    <row r="359" spans="1:27" ht="15.75" customHeight="1" x14ac:dyDescent="0.55000000000000004">
      <c r="A359" s="169">
        <v>58</v>
      </c>
      <c r="B359" s="169" t="s">
        <v>1255</v>
      </c>
      <c r="C359" s="169" t="s">
        <v>1256</v>
      </c>
      <c r="D359" s="170">
        <v>34899</v>
      </c>
      <c r="E359" s="120" t="s">
        <v>2758</v>
      </c>
      <c r="F359" s="131">
        <v>57</v>
      </c>
      <c r="G359" s="120">
        <v>0</v>
      </c>
      <c r="H359" s="120"/>
      <c r="I359" s="120">
        <v>1</v>
      </c>
      <c r="J359" s="133" t="s">
        <v>2391</v>
      </c>
      <c r="K359" s="133">
        <v>3</v>
      </c>
      <c r="L359" s="117">
        <v>65.599999999999994</v>
      </c>
      <c r="M359" s="133">
        <f t="shared" si="25"/>
        <v>8.5999999999999943</v>
      </c>
      <c r="N359" s="157"/>
      <c r="O359" s="158"/>
      <c r="P359" s="158"/>
      <c r="Q359" s="158"/>
      <c r="R359" s="158"/>
      <c r="S359" s="158"/>
      <c r="T359" s="158"/>
      <c r="U359" s="158"/>
      <c r="V359" s="158"/>
      <c r="W359" s="158"/>
      <c r="X359" s="158"/>
      <c r="Y359" s="158"/>
      <c r="Z359" s="158"/>
      <c r="AA359" s="158"/>
    </row>
    <row r="360" spans="1:27" ht="15.75" customHeight="1" x14ac:dyDescent="0.55000000000000004">
      <c r="A360" s="162">
        <v>59</v>
      </c>
      <c r="B360" s="162" t="s">
        <v>1260</v>
      </c>
      <c r="C360" s="162" t="s">
        <v>1046</v>
      </c>
      <c r="D360" s="163">
        <v>35052</v>
      </c>
      <c r="E360" s="120" t="s">
        <v>2759</v>
      </c>
      <c r="F360" s="131">
        <v>41</v>
      </c>
      <c r="G360" s="120">
        <v>1</v>
      </c>
      <c r="H360" s="120">
        <v>3</v>
      </c>
      <c r="I360" s="120">
        <v>0</v>
      </c>
      <c r="J360" s="133" t="s">
        <v>853</v>
      </c>
      <c r="K360" s="133">
        <v>0</v>
      </c>
      <c r="L360" s="117">
        <v>71.099999999999994</v>
      </c>
      <c r="M360" s="133">
        <f t="shared" si="25"/>
        <v>30.099999999999994</v>
      </c>
      <c r="N360" s="157"/>
      <c r="O360" s="158"/>
      <c r="P360" s="158"/>
      <c r="Q360" s="158"/>
      <c r="R360" s="158"/>
      <c r="S360" s="158"/>
      <c r="T360" s="158"/>
      <c r="U360" s="158"/>
      <c r="V360" s="158"/>
      <c r="W360" s="158"/>
      <c r="X360" s="158"/>
      <c r="Y360" s="158"/>
      <c r="Z360" s="158"/>
      <c r="AA360" s="158"/>
    </row>
    <row r="361" spans="1:27" ht="15.75" customHeight="1" x14ac:dyDescent="0.55000000000000004">
      <c r="A361" s="162">
        <v>59</v>
      </c>
      <c r="B361" s="162" t="s">
        <v>1260</v>
      </c>
      <c r="C361" s="162" t="s">
        <v>1046</v>
      </c>
      <c r="D361" s="163">
        <v>35052</v>
      </c>
      <c r="E361" s="120" t="s">
        <v>2760</v>
      </c>
      <c r="F361" s="131">
        <v>38</v>
      </c>
      <c r="G361" s="120">
        <v>1</v>
      </c>
      <c r="H361" s="120">
        <v>2</v>
      </c>
      <c r="I361" s="120">
        <v>0</v>
      </c>
      <c r="J361" s="133" t="s">
        <v>853</v>
      </c>
      <c r="K361" s="133">
        <v>0</v>
      </c>
      <c r="L361" s="117">
        <v>73.099999999999994</v>
      </c>
      <c r="M361" s="133">
        <f t="shared" si="25"/>
        <v>35.099999999999994</v>
      </c>
      <c r="N361" s="157"/>
      <c r="O361" s="158"/>
      <c r="P361" s="158"/>
      <c r="Q361" s="158"/>
      <c r="R361" s="158"/>
      <c r="S361" s="158"/>
      <c r="T361" s="158"/>
      <c r="U361" s="158"/>
      <c r="V361" s="158"/>
      <c r="W361" s="158"/>
      <c r="X361" s="158"/>
      <c r="Y361" s="158"/>
      <c r="Z361" s="158"/>
      <c r="AA361" s="158"/>
    </row>
    <row r="362" spans="1:27" ht="15.75" customHeight="1" x14ac:dyDescent="0.55000000000000004">
      <c r="A362" s="162">
        <v>59</v>
      </c>
      <c r="B362" s="162" t="s">
        <v>1260</v>
      </c>
      <c r="C362" s="162" t="s">
        <v>1046</v>
      </c>
      <c r="D362" s="163">
        <v>35052</v>
      </c>
      <c r="E362" s="120" t="s">
        <v>2761</v>
      </c>
      <c r="F362" s="131">
        <v>12</v>
      </c>
      <c r="G362" s="120">
        <v>0</v>
      </c>
      <c r="H362" s="120">
        <v>2</v>
      </c>
      <c r="I362" s="120">
        <v>0</v>
      </c>
      <c r="J362" s="133" t="s">
        <v>853</v>
      </c>
      <c r="K362" s="133">
        <v>0</v>
      </c>
      <c r="L362" s="117">
        <v>70</v>
      </c>
      <c r="M362" s="133">
        <f t="shared" si="25"/>
        <v>58</v>
      </c>
      <c r="N362" s="157"/>
      <c r="O362" s="158"/>
      <c r="P362" s="158"/>
      <c r="Q362" s="158"/>
      <c r="R362" s="158"/>
      <c r="S362" s="158"/>
      <c r="T362" s="158"/>
      <c r="U362" s="158"/>
      <c r="V362" s="158"/>
      <c r="W362" s="158"/>
      <c r="X362" s="158"/>
      <c r="Y362" s="158"/>
      <c r="Z362" s="158"/>
      <c r="AA362" s="158"/>
    </row>
    <row r="363" spans="1:27" ht="15.75" customHeight="1" x14ac:dyDescent="0.55000000000000004">
      <c r="A363" s="162">
        <v>59</v>
      </c>
      <c r="B363" s="162" t="s">
        <v>1260</v>
      </c>
      <c r="C363" s="162" t="s">
        <v>1046</v>
      </c>
      <c r="D363" s="163">
        <v>35052</v>
      </c>
      <c r="E363" s="120" t="s">
        <v>2762</v>
      </c>
      <c r="F363" s="131">
        <v>13</v>
      </c>
      <c r="G363" s="120">
        <v>0</v>
      </c>
      <c r="H363" s="120">
        <v>2</v>
      </c>
      <c r="I363" s="120">
        <v>0</v>
      </c>
      <c r="J363" s="133" t="s">
        <v>853</v>
      </c>
      <c r="K363" s="133">
        <v>0</v>
      </c>
      <c r="L363" s="117">
        <v>70</v>
      </c>
      <c r="M363" s="133">
        <f t="shared" si="25"/>
        <v>57</v>
      </c>
      <c r="N363" s="157"/>
      <c r="O363" s="158"/>
      <c r="P363" s="158"/>
      <c r="Q363" s="158"/>
      <c r="R363" s="158"/>
      <c r="S363" s="158"/>
      <c r="T363" s="158"/>
      <c r="U363" s="158"/>
      <c r="V363" s="158"/>
      <c r="W363" s="158"/>
      <c r="X363" s="158"/>
      <c r="Y363" s="158"/>
      <c r="Z363" s="158"/>
      <c r="AA363" s="158"/>
    </row>
    <row r="364" spans="1:27" ht="15.75" customHeight="1" x14ac:dyDescent="0.55000000000000004">
      <c r="A364" s="162">
        <v>59</v>
      </c>
      <c r="B364" s="162" t="s">
        <v>1260</v>
      </c>
      <c r="C364" s="162" t="s">
        <v>1046</v>
      </c>
      <c r="D364" s="163">
        <v>35052</v>
      </c>
      <c r="E364" s="120" t="s">
        <v>2763</v>
      </c>
      <c r="F364" s="131">
        <v>22</v>
      </c>
      <c r="G364" s="120">
        <v>0</v>
      </c>
      <c r="H364" s="120">
        <v>2</v>
      </c>
      <c r="I364" s="120">
        <v>0</v>
      </c>
      <c r="J364" s="133" t="s">
        <v>853</v>
      </c>
      <c r="K364" s="133">
        <v>0</v>
      </c>
      <c r="L364" s="117">
        <v>67.099999999999994</v>
      </c>
      <c r="M364" s="133">
        <f t="shared" si="25"/>
        <v>45.099999999999994</v>
      </c>
      <c r="N364" s="157"/>
      <c r="O364" s="158"/>
      <c r="P364" s="158"/>
      <c r="Q364" s="158"/>
      <c r="R364" s="158"/>
      <c r="S364" s="158"/>
      <c r="T364" s="158"/>
      <c r="U364" s="158"/>
      <c r="V364" s="158"/>
      <c r="W364" s="158"/>
      <c r="X364" s="158"/>
      <c r="Y364" s="158"/>
      <c r="Z364" s="158"/>
      <c r="AA364" s="158"/>
    </row>
    <row r="365" spans="1:27" ht="15.75" customHeight="1" x14ac:dyDescent="0.55000000000000004">
      <c r="A365" s="171">
        <v>60</v>
      </c>
      <c r="B365" s="171" t="s">
        <v>1268</v>
      </c>
      <c r="C365" s="171" t="s">
        <v>1269</v>
      </c>
      <c r="D365" s="172">
        <v>35104</v>
      </c>
      <c r="E365" s="120" t="s">
        <v>2764</v>
      </c>
      <c r="F365" s="131">
        <v>40</v>
      </c>
      <c r="G365" s="120">
        <v>0</v>
      </c>
      <c r="H365" s="131">
        <v>0</v>
      </c>
      <c r="I365" s="120">
        <v>1</v>
      </c>
      <c r="J365" s="133" t="s">
        <v>2595</v>
      </c>
      <c r="K365" s="133">
        <v>3</v>
      </c>
      <c r="L365" s="117">
        <v>67.400000000000006</v>
      </c>
      <c r="M365" s="133">
        <f t="shared" si="25"/>
        <v>27.400000000000006</v>
      </c>
      <c r="N365" s="157"/>
      <c r="O365" s="158"/>
      <c r="P365" s="158"/>
      <c r="Q365" s="158"/>
      <c r="R365" s="158"/>
      <c r="S365" s="158"/>
      <c r="T365" s="158"/>
      <c r="U365" s="158"/>
      <c r="V365" s="158"/>
      <c r="W365" s="158"/>
      <c r="X365" s="158"/>
      <c r="Y365" s="158"/>
      <c r="Z365" s="158"/>
      <c r="AA365" s="158"/>
    </row>
    <row r="366" spans="1:27" ht="15.75" customHeight="1" x14ac:dyDescent="0.55000000000000004">
      <c r="A366" s="171">
        <v>60</v>
      </c>
      <c r="B366" s="171" t="s">
        <v>1268</v>
      </c>
      <c r="C366" s="171" t="s">
        <v>1269</v>
      </c>
      <c r="D366" s="172">
        <v>35104</v>
      </c>
      <c r="E366" s="120" t="s">
        <v>2765</v>
      </c>
      <c r="F366" s="131">
        <v>46</v>
      </c>
      <c r="G366" s="120">
        <v>0</v>
      </c>
      <c r="H366" s="131">
        <v>0</v>
      </c>
      <c r="I366" s="120">
        <v>1</v>
      </c>
      <c r="J366" s="133" t="s">
        <v>2595</v>
      </c>
      <c r="K366" s="133">
        <v>3</v>
      </c>
      <c r="L366" s="117">
        <v>66.5</v>
      </c>
      <c r="M366" s="133">
        <f t="shared" si="25"/>
        <v>20.5</v>
      </c>
      <c r="N366" s="157"/>
      <c r="O366" s="158"/>
      <c r="P366" s="158"/>
      <c r="Q366" s="158"/>
      <c r="R366" s="158"/>
      <c r="S366" s="158"/>
      <c r="T366" s="158"/>
      <c r="U366" s="158"/>
      <c r="V366" s="158"/>
      <c r="W366" s="158"/>
      <c r="X366" s="158"/>
      <c r="Y366" s="158"/>
      <c r="Z366" s="158"/>
      <c r="AA366" s="158"/>
    </row>
    <row r="367" spans="1:27" ht="15.75" customHeight="1" x14ac:dyDescent="0.55000000000000004">
      <c r="A367" s="171">
        <v>60</v>
      </c>
      <c r="B367" s="171" t="s">
        <v>1268</v>
      </c>
      <c r="C367" s="171" t="s">
        <v>1269</v>
      </c>
      <c r="D367" s="172">
        <v>35104</v>
      </c>
      <c r="E367" s="120" t="s">
        <v>2766</v>
      </c>
      <c r="F367" s="131">
        <v>36</v>
      </c>
      <c r="G367" s="120">
        <v>0</v>
      </c>
      <c r="H367" s="131">
        <v>0</v>
      </c>
      <c r="I367" s="120">
        <v>1</v>
      </c>
      <c r="J367" s="133" t="s">
        <v>2595</v>
      </c>
      <c r="K367" s="133">
        <v>3</v>
      </c>
      <c r="L367" s="117">
        <v>67.400000000000006</v>
      </c>
      <c r="M367" s="133">
        <f t="shared" si="25"/>
        <v>31.400000000000006</v>
      </c>
      <c r="N367" s="157"/>
      <c r="O367" s="158"/>
      <c r="P367" s="158"/>
      <c r="Q367" s="158"/>
      <c r="R367" s="158"/>
      <c r="S367" s="158"/>
      <c r="T367" s="158"/>
      <c r="U367" s="158"/>
      <c r="V367" s="158"/>
      <c r="W367" s="158"/>
      <c r="X367" s="158"/>
      <c r="Y367" s="158"/>
      <c r="Z367" s="158"/>
      <c r="AA367" s="158"/>
    </row>
    <row r="368" spans="1:27" ht="15.75" customHeight="1" x14ac:dyDescent="0.55000000000000004">
      <c r="A368" s="171">
        <v>60</v>
      </c>
      <c r="B368" s="171" t="s">
        <v>1268</v>
      </c>
      <c r="C368" s="171" t="s">
        <v>1269</v>
      </c>
      <c r="D368" s="172">
        <v>35104</v>
      </c>
      <c r="E368" s="120" t="s">
        <v>2767</v>
      </c>
      <c r="F368" s="131">
        <v>37</v>
      </c>
      <c r="G368" s="120">
        <v>0</v>
      </c>
      <c r="H368" s="131">
        <v>0</v>
      </c>
      <c r="I368" s="120">
        <v>1</v>
      </c>
      <c r="J368" s="133" t="s">
        <v>2641</v>
      </c>
      <c r="K368" s="133">
        <v>3</v>
      </c>
      <c r="L368" s="117">
        <v>67.400000000000006</v>
      </c>
      <c r="M368" s="133">
        <f t="shared" si="25"/>
        <v>30.400000000000006</v>
      </c>
      <c r="N368" s="157"/>
      <c r="O368" s="158"/>
      <c r="P368" s="158"/>
      <c r="Q368" s="158"/>
      <c r="R368" s="158"/>
      <c r="S368" s="158"/>
      <c r="T368" s="158"/>
      <c r="U368" s="158"/>
      <c r="V368" s="158"/>
      <c r="W368" s="158"/>
      <c r="X368" s="158"/>
      <c r="Y368" s="158"/>
      <c r="Z368" s="158"/>
      <c r="AA368" s="158"/>
    </row>
    <row r="369" spans="1:27" ht="15.75" customHeight="1" x14ac:dyDescent="0.55000000000000004">
      <c r="A369" s="171">
        <v>60</v>
      </c>
      <c r="B369" s="171" t="s">
        <v>1268</v>
      </c>
      <c r="C369" s="171" t="s">
        <v>1269</v>
      </c>
      <c r="D369" s="172">
        <v>35104</v>
      </c>
      <c r="E369" s="120" t="s">
        <v>2768</v>
      </c>
      <c r="F369" s="131">
        <v>44</v>
      </c>
      <c r="G369" s="120">
        <v>0</v>
      </c>
      <c r="H369" s="131">
        <v>0</v>
      </c>
      <c r="I369" s="120">
        <v>1</v>
      </c>
      <c r="J369" s="133" t="s">
        <v>2595</v>
      </c>
      <c r="K369" s="133">
        <v>3</v>
      </c>
      <c r="L369" s="117">
        <v>66.5</v>
      </c>
      <c r="M369" s="133">
        <f t="shared" si="25"/>
        <v>22.5</v>
      </c>
      <c r="N369" s="157"/>
      <c r="O369" s="158"/>
      <c r="P369" s="158"/>
      <c r="Q369" s="158"/>
      <c r="R369" s="158"/>
      <c r="S369" s="158"/>
      <c r="T369" s="158"/>
      <c r="U369" s="158"/>
      <c r="V369" s="158"/>
      <c r="W369" s="158"/>
      <c r="X369" s="158"/>
      <c r="Y369" s="158"/>
      <c r="Z369" s="158"/>
      <c r="AA369" s="158"/>
    </row>
    <row r="370" spans="1:27" ht="15.75" customHeight="1" x14ac:dyDescent="0.55000000000000004">
      <c r="A370" s="166">
        <v>61</v>
      </c>
      <c r="B370" s="166" t="s">
        <v>1273</v>
      </c>
      <c r="C370" s="166" t="s">
        <v>1207</v>
      </c>
      <c r="D370" s="167">
        <v>35179</v>
      </c>
      <c r="E370" s="120" t="s">
        <v>2769</v>
      </c>
      <c r="F370" s="131">
        <v>45</v>
      </c>
      <c r="G370" s="120">
        <v>0</v>
      </c>
      <c r="H370" s="131">
        <v>0</v>
      </c>
      <c r="I370" s="120">
        <v>1</v>
      </c>
      <c r="J370" s="133" t="s">
        <v>2391</v>
      </c>
      <c r="K370" s="133">
        <v>3</v>
      </c>
      <c r="L370" s="117">
        <v>66.5</v>
      </c>
      <c r="M370" s="133">
        <f t="shared" si="25"/>
        <v>21.5</v>
      </c>
      <c r="N370" s="157"/>
      <c r="O370" s="158"/>
      <c r="P370" s="158"/>
      <c r="Q370" s="158"/>
      <c r="R370" s="158"/>
      <c r="S370" s="158"/>
      <c r="T370" s="158"/>
      <c r="U370" s="158"/>
      <c r="V370" s="158"/>
      <c r="W370" s="158"/>
      <c r="X370" s="158"/>
      <c r="Y370" s="158"/>
      <c r="Z370" s="158"/>
      <c r="AA370" s="158"/>
    </row>
    <row r="371" spans="1:27" ht="15.75" customHeight="1" x14ac:dyDescent="0.55000000000000004">
      <c r="A371" s="166">
        <v>61</v>
      </c>
      <c r="B371" s="166" t="s">
        <v>1273</v>
      </c>
      <c r="C371" s="166" t="s">
        <v>1207</v>
      </c>
      <c r="D371" s="167">
        <v>35179</v>
      </c>
      <c r="E371" s="120" t="s">
        <v>2770</v>
      </c>
      <c r="F371" s="131">
        <v>48</v>
      </c>
      <c r="G371" s="120">
        <v>0</v>
      </c>
      <c r="H371" s="131">
        <v>0</v>
      </c>
      <c r="I371" s="120">
        <v>1</v>
      </c>
      <c r="J371" s="133" t="s">
        <v>2391</v>
      </c>
      <c r="K371" s="133">
        <v>3</v>
      </c>
      <c r="L371" s="117">
        <v>66.5</v>
      </c>
      <c r="M371" s="133">
        <f t="shared" si="25"/>
        <v>18.5</v>
      </c>
      <c r="N371" s="157"/>
      <c r="O371" s="158"/>
      <c r="P371" s="158"/>
      <c r="Q371" s="158"/>
      <c r="R371" s="158"/>
      <c r="S371" s="158"/>
      <c r="T371" s="158"/>
      <c r="U371" s="158"/>
      <c r="V371" s="158"/>
      <c r="W371" s="158"/>
      <c r="X371" s="158"/>
      <c r="Y371" s="158"/>
      <c r="Z371" s="158"/>
      <c r="AA371" s="158"/>
    </row>
    <row r="372" spans="1:27" ht="15.75" customHeight="1" x14ac:dyDescent="0.55000000000000004">
      <c r="A372" s="166">
        <v>61</v>
      </c>
      <c r="B372" s="166" t="s">
        <v>1273</v>
      </c>
      <c r="C372" s="166" t="s">
        <v>1207</v>
      </c>
      <c r="D372" s="167">
        <v>35179</v>
      </c>
      <c r="E372" s="120" t="s">
        <v>2771</v>
      </c>
      <c r="F372" s="131">
        <v>49</v>
      </c>
      <c r="G372" s="120">
        <v>1</v>
      </c>
      <c r="H372" s="131">
        <v>0</v>
      </c>
      <c r="I372" s="120">
        <v>1</v>
      </c>
      <c r="J372" s="133" t="s">
        <v>2391</v>
      </c>
      <c r="K372" s="133">
        <v>3</v>
      </c>
      <c r="L372" s="117">
        <v>72.2</v>
      </c>
      <c r="M372" s="133">
        <f t="shared" si="25"/>
        <v>23.200000000000003</v>
      </c>
      <c r="N372" s="157"/>
      <c r="O372" s="158"/>
      <c r="P372" s="158"/>
      <c r="Q372" s="158"/>
      <c r="R372" s="158"/>
      <c r="S372" s="158"/>
      <c r="T372" s="158"/>
      <c r="U372" s="158"/>
      <c r="V372" s="158"/>
      <c r="W372" s="158"/>
      <c r="X372" s="158"/>
      <c r="Y372" s="158"/>
      <c r="Z372" s="158"/>
      <c r="AA372" s="158"/>
    </row>
    <row r="373" spans="1:27" ht="15.75" customHeight="1" x14ac:dyDescent="0.55000000000000004">
      <c r="A373" s="166">
        <v>61</v>
      </c>
      <c r="B373" s="166" t="s">
        <v>1273</v>
      </c>
      <c r="C373" s="166" t="s">
        <v>1207</v>
      </c>
      <c r="D373" s="167">
        <v>35179</v>
      </c>
      <c r="E373" s="120" t="s">
        <v>2772</v>
      </c>
      <c r="F373" s="131">
        <v>47</v>
      </c>
      <c r="G373" s="120">
        <v>0</v>
      </c>
      <c r="H373" s="131">
        <v>0</v>
      </c>
      <c r="I373" s="120">
        <v>1</v>
      </c>
      <c r="J373" s="133" t="s">
        <v>2391</v>
      </c>
      <c r="K373" s="133">
        <v>3</v>
      </c>
      <c r="L373" s="117">
        <v>66.5</v>
      </c>
      <c r="M373" s="133">
        <f t="shared" si="25"/>
        <v>19.5</v>
      </c>
      <c r="N373" s="157"/>
      <c r="O373" s="158"/>
      <c r="P373" s="158"/>
      <c r="Q373" s="158"/>
      <c r="R373" s="158"/>
      <c r="S373" s="158"/>
      <c r="T373" s="158"/>
      <c r="U373" s="158"/>
      <c r="V373" s="158"/>
      <c r="W373" s="158"/>
      <c r="X373" s="158"/>
      <c r="Y373" s="158"/>
      <c r="Z373" s="158"/>
      <c r="AA373" s="158"/>
    </row>
    <row r="374" spans="1:27" ht="15.75" customHeight="1" x14ac:dyDescent="0.55000000000000004">
      <c r="A374" s="166">
        <v>61</v>
      </c>
      <c r="B374" s="166" t="s">
        <v>1273</v>
      </c>
      <c r="C374" s="166" t="s">
        <v>1207</v>
      </c>
      <c r="D374" s="167">
        <v>35179</v>
      </c>
      <c r="E374" s="120" t="s">
        <v>2773</v>
      </c>
      <c r="F374" s="131">
        <v>42</v>
      </c>
      <c r="G374" s="120">
        <v>1</v>
      </c>
      <c r="H374" s="120"/>
      <c r="I374" s="120">
        <v>1</v>
      </c>
      <c r="J374" s="133" t="s">
        <v>2362</v>
      </c>
      <c r="K374" s="133">
        <v>2</v>
      </c>
      <c r="L374" s="117">
        <v>71.099999999999994</v>
      </c>
      <c r="M374" s="133">
        <f t="shared" si="25"/>
        <v>29.099999999999994</v>
      </c>
      <c r="N374" s="157"/>
      <c r="O374" s="158"/>
      <c r="P374" s="158"/>
      <c r="Q374" s="158"/>
      <c r="R374" s="158"/>
      <c r="S374" s="158"/>
      <c r="T374" s="158"/>
      <c r="U374" s="158"/>
      <c r="V374" s="158"/>
      <c r="W374" s="158"/>
      <c r="X374" s="158"/>
      <c r="Y374" s="158"/>
      <c r="Z374" s="158"/>
      <c r="AA374" s="158"/>
    </row>
    <row r="375" spans="1:27" ht="15.75" customHeight="1" x14ac:dyDescent="0.55000000000000004">
      <c r="A375" s="177">
        <v>62</v>
      </c>
      <c r="B375" s="177" t="s">
        <v>1277</v>
      </c>
      <c r="C375" s="177" t="s">
        <v>1019</v>
      </c>
      <c r="D375" s="178">
        <v>35661</v>
      </c>
      <c r="E375" s="120" t="s">
        <v>2774</v>
      </c>
      <c r="F375" s="131">
        <v>45</v>
      </c>
      <c r="G375" s="120">
        <v>1</v>
      </c>
      <c r="H375" s="161" t="str">
        <f>HYPERLINK("https://www.findagrave.com/memorial/142345755/vickie-marie-bunnell","0")</f>
        <v>0</v>
      </c>
      <c r="I375" s="131">
        <v>1</v>
      </c>
      <c r="J375" s="133" t="s">
        <v>2775</v>
      </c>
      <c r="K375" s="133">
        <v>5</v>
      </c>
      <c r="L375" s="117">
        <v>72.2</v>
      </c>
      <c r="M375" s="133">
        <f t="shared" si="25"/>
        <v>27.200000000000003</v>
      </c>
      <c r="N375" s="157"/>
      <c r="O375" s="158"/>
      <c r="P375" s="158"/>
      <c r="Q375" s="158"/>
      <c r="R375" s="158"/>
      <c r="S375" s="158"/>
      <c r="T375" s="158"/>
      <c r="U375" s="158"/>
      <c r="V375" s="158"/>
      <c r="W375" s="158"/>
      <c r="X375" s="158"/>
      <c r="Y375" s="158"/>
      <c r="Z375" s="158"/>
      <c r="AA375" s="158"/>
    </row>
    <row r="376" spans="1:27" ht="15.75" customHeight="1" x14ac:dyDescent="0.55000000000000004">
      <c r="A376" s="177">
        <v>62</v>
      </c>
      <c r="B376" s="177" t="s">
        <v>1277</v>
      </c>
      <c r="C376" s="177" t="s">
        <v>1019</v>
      </c>
      <c r="D376" s="178">
        <v>35661</v>
      </c>
      <c r="E376" s="120" t="s">
        <v>2776</v>
      </c>
      <c r="F376" s="131">
        <v>51</v>
      </c>
      <c r="G376" s="120">
        <v>0</v>
      </c>
      <c r="H376" s="131">
        <v>0</v>
      </c>
      <c r="I376" s="131">
        <v>1</v>
      </c>
      <c r="J376" s="133" t="s">
        <v>2775</v>
      </c>
      <c r="K376" s="133">
        <v>5</v>
      </c>
      <c r="L376" s="117">
        <v>66.5</v>
      </c>
      <c r="M376" s="133">
        <f t="shared" si="25"/>
        <v>15.5</v>
      </c>
      <c r="N376" s="157"/>
      <c r="O376" s="158"/>
      <c r="P376" s="158"/>
      <c r="Q376" s="158"/>
      <c r="R376" s="158"/>
      <c r="S376" s="158"/>
      <c r="T376" s="158"/>
      <c r="U376" s="158"/>
      <c r="V376" s="158"/>
      <c r="W376" s="158"/>
      <c r="X376" s="158"/>
      <c r="Y376" s="158"/>
      <c r="Z376" s="158"/>
      <c r="AA376" s="158"/>
    </row>
    <row r="377" spans="1:27" ht="15.75" customHeight="1" x14ac:dyDescent="0.55000000000000004">
      <c r="A377" s="177">
        <v>62</v>
      </c>
      <c r="B377" s="177" t="s">
        <v>1277</v>
      </c>
      <c r="C377" s="177" t="s">
        <v>1019</v>
      </c>
      <c r="D377" s="178">
        <v>35661</v>
      </c>
      <c r="E377" s="120" t="s">
        <v>2777</v>
      </c>
      <c r="F377" s="131">
        <v>45</v>
      </c>
      <c r="G377" s="120">
        <v>0</v>
      </c>
      <c r="H377" s="161" t="str">
        <f>HYPERLINK("https://www.findagrave.com/memorial/51256254/leslie-g_-lord","0")</f>
        <v>0</v>
      </c>
      <c r="I377" s="131">
        <v>1</v>
      </c>
      <c r="J377" s="133" t="s">
        <v>2775</v>
      </c>
      <c r="K377" s="133">
        <v>5</v>
      </c>
      <c r="L377" s="117">
        <v>66.5</v>
      </c>
      <c r="M377" s="133">
        <f t="shared" si="25"/>
        <v>21.5</v>
      </c>
      <c r="N377" s="157"/>
      <c r="O377" s="158"/>
      <c r="P377" s="158"/>
      <c r="Q377" s="158"/>
      <c r="R377" s="158"/>
      <c r="S377" s="158"/>
      <c r="T377" s="158"/>
      <c r="U377" s="158"/>
      <c r="V377" s="158"/>
      <c r="W377" s="158"/>
      <c r="X377" s="158"/>
      <c r="Y377" s="158"/>
      <c r="Z377" s="158"/>
      <c r="AA377" s="158"/>
    </row>
    <row r="378" spans="1:27" ht="15.75" customHeight="1" x14ac:dyDescent="0.55000000000000004">
      <c r="A378" s="177">
        <v>62</v>
      </c>
      <c r="B378" s="177" t="s">
        <v>1277</v>
      </c>
      <c r="C378" s="177" t="s">
        <v>1019</v>
      </c>
      <c r="D378" s="178">
        <v>35661</v>
      </c>
      <c r="E378" s="120" t="s">
        <v>2778</v>
      </c>
      <c r="F378" s="131">
        <v>32</v>
      </c>
      <c r="G378" s="120">
        <v>0</v>
      </c>
      <c r="H378" s="161" t="str">
        <f>HYPERLINK("https://www.findagrave.com/memorial/51220090/scott-e_-phillips","0")</f>
        <v>0</v>
      </c>
      <c r="I378" s="131">
        <v>1</v>
      </c>
      <c r="J378" s="133" t="s">
        <v>2775</v>
      </c>
      <c r="K378" s="133">
        <v>5</v>
      </c>
      <c r="L378" s="117">
        <v>68</v>
      </c>
      <c r="M378" s="133">
        <f t="shared" si="25"/>
        <v>36</v>
      </c>
      <c r="N378" s="157"/>
      <c r="O378" s="158"/>
      <c r="P378" s="158"/>
      <c r="Q378" s="158"/>
      <c r="R378" s="158"/>
      <c r="S378" s="158"/>
      <c r="T378" s="158"/>
      <c r="U378" s="158"/>
      <c r="V378" s="158"/>
      <c r="W378" s="158"/>
      <c r="X378" s="158"/>
      <c r="Y378" s="158"/>
      <c r="Z378" s="158"/>
      <c r="AA378" s="158"/>
    </row>
    <row r="379" spans="1:27" ht="15.75" customHeight="1" x14ac:dyDescent="0.55000000000000004">
      <c r="A379" s="169">
        <v>63</v>
      </c>
      <c r="B379" s="169" t="s">
        <v>1283</v>
      </c>
      <c r="C379" s="169" t="s">
        <v>1284</v>
      </c>
      <c r="D379" s="170">
        <v>35688</v>
      </c>
      <c r="E379" s="120" t="s">
        <v>2779</v>
      </c>
      <c r="F379" s="131">
        <v>31</v>
      </c>
      <c r="G379" s="120">
        <v>0</v>
      </c>
      <c r="H379" s="161" t="str">
        <f>HYPERLINK("https://www.findagrave.com/memorial/123988570/ernest-leonard-filyaw/photo","0")</f>
        <v>0</v>
      </c>
      <c r="I379" s="120">
        <v>1</v>
      </c>
      <c r="J379" s="133" t="s">
        <v>2595</v>
      </c>
      <c r="K379" s="133">
        <v>3</v>
      </c>
      <c r="L379" s="117">
        <v>68</v>
      </c>
      <c r="M379" s="133">
        <f t="shared" si="25"/>
        <v>37</v>
      </c>
      <c r="N379" s="157"/>
      <c r="O379" s="158"/>
      <c r="P379" s="158"/>
      <c r="Q379" s="158"/>
      <c r="R379" s="158"/>
      <c r="S379" s="158"/>
      <c r="T379" s="158"/>
      <c r="U379" s="158"/>
      <c r="V379" s="158"/>
      <c r="W379" s="158"/>
      <c r="X379" s="158"/>
      <c r="Y379" s="158"/>
      <c r="Z379" s="158"/>
      <c r="AA379" s="158"/>
    </row>
    <row r="380" spans="1:27" ht="15.75" customHeight="1" x14ac:dyDescent="0.55000000000000004">
      <c r="A380" s="169">
        <v>63</v>
      </c>
      <c r="B380" s="169" t="s">
        <v>1283</v>
      </c>
      <c r="C380" s="169" t="s">
        <v>1284</v>
      </c>
      <c r="D380" s="170">
        <v>35688</v>
      </c>
      <c r="E380" s="120" t="s">
        <v>2780</v>
      </c>
      <c r="F380" s="161" t="str">
        <f>HYPERLINK("https://www.findagrave.com/memorial/33419237/charles-bennett-griffeth","56")</f>
        <v>56</v>
      </c>
      <c r="G380" s="120">
        <v>0</v>
      </c>
      <c r="H380" s="120">
        <v>0</v>
      </c>
      <c r="I380" s="120">
        <v>1</v>
      </c>
      <c r="J380" s="133" t="s">
        <v>2595</v>
      </c>
      <c r="K380" s="133">
        <v>3</v>
      </c>
      <c r="L380" s="117">
        <v>66.5</v>
      </c>
      <c r="M380" s="133">
        <f t="shared" si="25"/>
        <v>10.5</v>
      </c>
      <c r="N380" s="157"/>
      <c r="O380" s="158"/>
      <c r="P380" s="158"/>
      <c r="Q380" s="158"/>
      <c r="R380" s="158"/>
      <c r="S380" s="158"/>
      <c r="T380" s="158"/>
      <c r="U380" s="158"/>
      <c r="V380" s="158"/>
      <c r="W380" s="158"/>
      <c r="X380" s="158"/>
      <c r="Y380" s="158"/>
      <c r="Z380" s="158"/>
      <c r="AA380" s="158"/>
    </row>
    <row r="381" spans="1:27" ht="15.75" customHeight="1" x14ac:dyDescent="0.55000000000000004">
      <c r="A381" s="169">
        <v>63</v>
      </c>
      <c r="B381" s="169" t="s">
        <v>1283</v>
      </c>
      <c r="C381" s="169" t="s">
        <v>1284</v>
      </c>
      <c r="D381" s="170">
        <v>35688</v>
      </c>
      <c r="E381" s="120" t="s">
        <v>2781</v>
      </c>
      <c r="F381" s="131">
        <v>30</v>
      </c>
      <c r="G381" s="120">
        <v>0</v>
      </c>
      <c r="H381" s="131">
        <v>0</v>
      </c>
      <c r="I381" s="120">
        <v>1</v>
      </c>
      <c r="J381" s="133" t="s">
        <v>2595</v>
      </c>
      <c r="K381" s="133">
        <v>3</v>
      </c>
      <c r="L381" s="117">
        <v>68</v>
      </c>
      <c r="M381" s="133">
        <f t="shared" si="25"/>
        <v>38</v>
      </c>
      <c r="N381" s="157"/>
      <c r="O381" s="158"/>
      <c r="P381" s="158"/>
      <c r="Q381" s="158"/>
      <c r="R381" s="158"/>
      <c r="S381" s="158"/>
      <c r="T381" s="158"/>
      <c r="U381" s="158"/>
      <c r="V381" s="158"/>
      <c r="W381" s="158"/>
      <c r="X381" s="158"/>
      <c r="Y381" s="158"/>
      <c r="Z381" s="158"/>
      <c r="AA381" s="158"/>
    </row>
    <row r="382" spans="1:27" ht="15.75" customHeight="1" x14ac:dyDescent="0.55000000000000004">
      <c r="A382" s="169">
        <v>63</v>
      </c>
      <c r="B382" s="169" t="s">
        <v>1283</v>
      </c>
      <c r="C382" s="169" t="s">
        <v>1284</v>
      </c>
      <c r="D382" s="170">
        <v>35688</v>
      </c>
      <c r="E382" s="120" t="s">
        <v>2782</v>
      </c>
      <c r="F382" s="131">
        <v>27</v>
      </c>
      <c r="G382" s="120">
        <v>1</v>
      </c>
      <c r="H382" s="161" t="str">
        <f>HYPERLINK("https://www.findagrave.com/memorial/11540449/esther-sheryl-wood","0")</f>
        <v>0</v>
      </c>
      <c r="I382" s="120">
        <v>1</v>
      </c>
      <c r="J382" s="133" t="s">
        <v>2595</v>
      </c>
      <c r="K382" s="133">
        <v>3</v>
      </c>
      <c r="L382" s="117">
        <v>75.599999999999994</v>
      </c>
      <c r="M382" s="133">
        <f t="shared" si="25"/>
        <v>48.599999999999994</v>
      </c>
      <c r="N382" s="157"/>
      <c r="O382" s="158"/>
      <c r="P382" s="158"/>
      <c r="Q382" s="158"/>
      <c r="R382" s="158"/>
      <c r="S382" s="158"/>
      <c r="T382" s="158"/>
      <c r="U382" s="158"/>
      <c r="V382" s="158"/>
      <c r="W382" s="158"/>
      <c r="X382" s="158"/>
      <c r="Y382" s="158"/>
      <c r="Z382" s="158"/>
      <c r="AA382" s="158"/>
    </row>
    <row r="383" spans="1:27" ht="15.75" customHeight="1" x14ac:dyDescent="0.55000000000000004">
      <c r="A383" s="175">
        <v>64</v>
      </c>
      <c r="B383" s="175" t="s">
        <v>1289</v>
      </c>
      <c r="C383" s="175" t="s">
        <v>1290</v>
      </c>
      <c r="D383" s="176">
        <v>35767</v>
      </c>
      <c r="E383" s="120" t="s">
        <v>2783</v>
      </c>
      <c r="F383" s="131">
        <v>35</v>
      </c>
      <c r="G383" s="120">
        <v>0</v>
      </c>
      <c r="H383" s="161" t="str">
        <f>HYPERLINK("https://www.findagrave.com/memorial/50050258/frank-dosso","0")</f>
        <v>0</v>
      </c>
      <c r="I383" s="131">
        <v>1</v>
      </c>
      <c r="J383" s="133" t="s">
        <v>2784</v>
      </c>
      <c r="K383" s="133">
        <v>3</v>
      </c>
      <c r="L383" s="117">
        <v>67.400000000000006</v>
      </c>
      <c r="M383" s="133">
        <f t="shared" si="25"/>
        <v>32.400000000000006</v>
      </c>
      <c r="N383" s="157"/>
      <c r="O383" s="158"/>
      <c r="P383" s="158"/>
      <c r="Q383" s="158"/>
      <c r="R383" s="158"/>
      <c r="S383" s="158"/>
      <c r="T383" s="158"/>
      <c r="U383" s="158"/>
      <c r="V383" s="158"/>
      <c r="W383" s="158"/>
      <c r="X383" s="158"/>
      <c r="Y383" s="158"/>
      <c r="Z383" s="158"/>
      <c r="AA383" s="158"/>
    </row>
    <row r="384" spans="1:27" ht="15.75" customHeight="1" x14ac:dyDescent="0.55000000000000004">
      <c r="A384" s="175">
        <v>64</v>
      </c>
      <c r="B384" s="175" t="s">
        <v>1289</v>
      </c>
      <c r="C384" s="175" t="s">
        <v>1290</v>
      </c>
      <c r="D384" s="176">
        <v>35767</v>
      </c>
      <c r="E384" s="120" t="s">
        <v>2785</v>
      </c>
      <c r="F384" s="131">
        <v>69</v>
      </c>
      <c r="G384" s="120">
        <v>0</v>
      </c>
      <c r="H384" s="161" t="str">
        <f>HYPERLINK("https://www.findagrave.com/memorial/50050258/frank-dosso","2")</f>
        <v>2</v>
      </c>
      <c r="I384" s="131">
        <v>1</v>
      </c>
      <c r="J384" s="133" t="s">
        <v>2786</v>
      </c>
      <c r="K384" s="133">
        <v>3</v>
      </c>
      <c r="L384" s="117">
        <v>80.599999999999994</v>
      </c>
      <c r="M384" s="133">
        <f t="shared" si="25"/>
        <v>11.599999999999994</v>
      </c>
      <c r="N384" s="157"/>
      <c r="O384" s="158"/>
      <c r="P384" s="158"/>
      <c r="Q384" s="158"/>
      <c r="R384" s="158"/>
      <c r="S384" s="158"/>
      <c r="T384" s="158"/>
      <c r="U384" s="158"/>
      <c r="V384" s="158"/>
      <c r="W384" s="158"/>
      <c r="X384" s="158"/>
      <c r="Y384" s="158"/>
      <c r="Z384" s="158"/>
      <c r="AA384" s="158"/>
    </row>
    <row r="385" spans="1:27" ht="15.75" customHeight="1" x14ac:dyDescent="0.55000000000000004">
      <c r="A385" s="175">
        <v>64</v>
      </c>
      <c r="B385" s="175" t="s">
        <v>1289</v>
      </c>
      <c r="C385" s="175" t="s">
        <v>1290</v>
      </c>
      <c r="D385" s="176">
        <v>35767</v>
      </c>
      <c r="E385" s="120" t="s">
        <v>2787</v>
      </c>
      <c r="F385" s="131">
        <v>28</v>
      </c>
      <c r="G385" s="120">
        <v>1</v>
      </c>
      <c r="H385" s="161" t="str">
        <f t="shared" ref="H385:H386" si="26">HYPERLINK("https://www.findagrave.com/memorial/50050258/frank-dosso","0")</f>
        <v>0</v>
      </c>
      <c r="I385" s="131">
        <v>1</v>
      </c>
      <c r="J385" s="133" t="s">
        <v>2784</v>
      </c>
      <c r="K385" s="133">
        <v>3</v>
      </c>
      <c r="L385" s="117">
        <v>75.599999999999994</v>
      </c>
      <c r="M385" s="133">
        <f t="shared" si="25"/>
        <v>47.599999999999994</v>
      </c>
      <c r="N385" s="157"/>
      <c r="O385" s="158"/>
      <c r="P385" s="158"/>
      <c r="Q385" s="158"/>
      <c r="R385" s="158"/>
      <c r="S385" s="158"/>
      <c r="T385" s="158"/>
      <c r="U385" s="158"/>
      <c r="V385" s="158"/>
      <c r="W385" s="158"/>
      <c r="X385" s="158"/>
      <c r="Y385" s="158"/>
      <c r="Z385" s="158"/>
      <c r="AA385" s="158"/>
    </row>
    <row r="386" spans="1:27" ht="15.75" customHeight="1" x14ac:dyDescent="0.55000000000000004">
      <c r="A386" s="175">
        <v>64</v>
      </c>
      <c r="B386" s="175" t="s">
        <v>1289</v>
      </c>
      <c r="C386" s="175" t="s">
        <v>1290</v>
      </c>
      <c r="D386" s="176">
        <v>35767</v>
      </c>
      <c r="E386" s="120" t="s">
        <v>2788</v>
      </c>
      <c r="F386" s="131">
        <v>27</v>
      </c>
      <c r="G386" s="120">
        <v>0</v>
      </c>
      <c r="H386" s="161" t="str">
        <f t="shared" si="26"/>
        <v>0</v>
      </c>
      <c r="I386" s="131">
        <v>1</v>
      </c>
      <c r="J386" s="133" t="s">
        <v>2784</v>
      </c>
      <c r="K386" s="133">
        <v>3</v>
      </c>
      <c r="L386" s="117">
        <v>68</v>
      </c>
      <c r="M386" s="133">
        <f t="shared" si="25"/>
        <v>41</v>
      </c>
      <c r="N386" s="157"/>
      <c r="O386" s="158"/>
      <c r="P386" s="158"/>
      <c r="Q386" s="158"/>
      <c r="R386" s="158"/>
      <c r="S386" s="158"/>
      <c r="T386" s="158"/>
      <c r="U386" s="158"/>
      <c r="V386" s="158"/>
      <c r="W386" s="158"/>
      <c r="X386" s="158"/>
      <c r="Y386" s="158"/>
      <c r="Z386" s="158"/>
      <c r="AA386" s="158"/>
    </row>
    <row r="387" spans="1:27" ht="15.75" customHeight="1" x14ac:dyDescent="0.55000000000000004">
      <c r="A387" s="159">
        <v>65</v>
      </c>
      <c r="B387" s="159" t="s">
        <v>1294</v>
      </c>
      <c r="C387" s="159" t="s">
        <v>1295</v>
      </c>
      <c r="D387" s="160">
        <v>35782</v>
      </c>
      <c r="E387" s="120" t="s">
        <v>2789</v>
      </c>
      <c r="F387" s="161" t="str">
        <f>HYPERLINK("https://www.findagrave.com/memorial/366114/hal-bruce-bierlein","51")</f>
        <v>51</v>
      </c>
      <c r="G387" s="120">
        <v>0</v>
      </c>
      <c r="H387" s="131">
        <v>0</v>
      </c>
      <c r="I387" s="131">
        <v>1</v>
      </c>
      <c r="J387" s="133" t="s">
        <v>2641</v>
      </c>
      <c r="K387" s="133">
        <v>3</v>
      </c>
      <c r="L387" s="117">
        <v>66.5</v>
      </c>
      <c r="M387" s="133">
        <f t="shared" si="25"/>
        <v>15.5</v>
      </c>
      <c r="N387" s="157"/>
      <c r="O387" s="158"/>
      <c r="P387" s="158"/>
      <c r="Q387" s="158"/>
      <c r="R387" s="158"/>
      <c r="S387" s="158"/>
      <c r="T387" s="158"/>
      <c r="U387" s="158"/>
      <c r="V387" s="158"/>
      <c r="W387" s="158"/>
      <c r="X387" s="158"/>
      <c r="Y387" s="158"/>
      <c r="Z387" s="158"/>
      <c r="AA387" s="158"/>
    </row>
    <row r="388" spans="1:27" ht="15.75" customHeight="1" x14ac:dyDescent="0.55000000000000004">
      <c r="A388" s="159">
        <v>65</v>
      </c>
      <c r="B388" s="159" t="s">
        <v>1294</v>
      </c>
      <c r="C388" s="159" t="s">
        <v>1295</v>
      </c>
      <c r="D388" s="160">
        <v>35782</v>
      </c>
      <c r="E388" s="120" t="s">
        <v>2790</v>
      </c>
      <c r="F388" s="161" t="str">
        <f>HYPERLINK("https://www.findagrave.com/memorial/71568754/wayne-allen-bowers","43")</f>
        <v>43</v>
      </c>
      <c r="G388" s="120">
        <v>0</v>
      </c>
      <c r="H388" s="131">
        <v>0</v>
      </c>
      <c r="I388" s="131">
        <v>1</v>
      </c>
      <c r="J388" s="133" t="s">
        <v>2595</v>
      </c>
      <c r="K388" s="133">
        <v>3</v>
      </c>
      <c r="L388" s="117">
        <v>66.5</v>
      </c>
      <c r="M388" s="133">
        <f t="shared" si="25"/>
        <v>23.5</v>
      </c>
      <c r="N388" s="157"/>
      <c r="O388" s="158"/>
      <c r="P388" s="158"/>
      <c r="Q388" s="158"/>
      <c r="R388" s="158"/>
      <c r="S388" s="158"/>
      <c r="T388" s="158"/>
      <c r="U388" s="158"/>
      <c r="V388" s="158"/>
      <c r="W388" s="158"/>
      <c r="X388" s="158"/>
      <c r="Y388" s="158"/>
      <c r="Z388" s="158"/>
      <c r="AA388" s="158"/>
    </row>
    <row r="389" spans="1:27" ht="15.75" customHeight="1" x14ac:dyDescent="0.55000000000000004">
      <c r="A389" s="159">
        <v>65</v>
      </c>
      <c r="B389" s="159" t="s">
        <v>1294</v>
      </c>
      <c r="C389" s="159" t="s">
        <v>1295</v>
      </c>
      <c r="D389" s="160">
        <v>35782</v>
      </c>
      <c r="E389" s="120" t="s">
        <v>2791</v>
      </c>
      <c r="F389" s="161" t="str">
        <f>HYPERLINK("https://www.findagrave.com/memorial/73436230/michael-james-kelley","49")</f>
        <v>49</v>
      </c>
      <c r="G389" s="120">
        <v>0</v>
      </c>
      <c r="H389" s="120">
        <v>0</v>
      </c>
      <c r="I389" s="131">
        <v>1</v>
      </c>
      <c r="J389" s="133" t="s">
        <v>2595</v>
      </c>
      <c r="K389" s="133">
        <v>3</v>
      </c>
      <c r="L389" s="117">
        <v>66.5</v>
      </c>
      <c r="M389" s="133">
        <f t="shared" si="25"/>
        <v>17.5</v>
      </c>
      <c r="N389" s="157"/>
      <c r="O389" s="158"/>
      <c r="P389" s="158"/>
      <c r="Q389" s="158"/>
      <c r="R389" s="158"/>
      <c r="S389" s="158"/>
      <c r="T389" s="158"/>
      <c r="U389" s="158"/>
      <c r="V389" s="158"/>
      <c r="W389" s="158"/>
      <c r="X389" s="158"/>
      <c r="Y389" s="158"/>
      <c r="Z389" s="158"/>
      <c r="AA389" s="158"/>
    </row>
    <row r="390" spans="1:27" ht="15.75" customHeight="1" x14ac:dyDescent="0.55000000000000004">
      <c r="A390" s="159">
        <v>65</v>
      </c>
      <c r="B390" s="159" t="s">
        <v>1294</v>
      </c>
      <c r="C390" s="159" t="s">
        <v>1295</v>
      </c>
      <c r="D390" s="160">
        <v>35782</v>
      </c>
      <c r="E390" s="120" t="s">
        <v>2792</v>
      </c>
      <c r="F390" s="131">
        <v>40</v>
      </c>
      <c r="G390" s="120">
        <v>0</v>
      </c>
      <c r="H390" s="131">
        <v>0</v>
      </c>
      <c r="I390" s="120">
        <v>1</v>
      </c>
      <c r="J390" s="133" t="s">
        <v>2595</v>
      </c>
      <c r="K390" s="133">
        <v>3</v>
      </c>
      <c r="L390" s="117">
        <v>67.400000000000006</v>
      </c>
      <c r="M390" s="133">
        <f t="shared" si="25"/>
        <v>27.400000000000006</v>
      </c>
      <c r="N390" s="157"/>
      <c r="O390" s="158"/>
      <c r="P390" s="158"/>
      <c r="Q390" s="158"/>
      <c r="R390" s="158"/>
      <c r="S390" s="158"/>
      <c r="T390" s="158"/>
      <c r="U390" s="158"/>
      <c r="V390" s="158"/>
      <c r="W390" s="158"/>
      <c r="X390" s="158"/>
      <c r="Y390" s="158"/>
      <c r="Z390" s="158"/>
      <c r="AA390" s="158"/>
    </row>
    <row r="391" spans="1:27" ht="15.75" customHeight="1" x14ac:dyDescent="0.55000000000000004">
      <c r="A391" s="162">
        <v>66</v>
      </c>
      <c r="B391" s="162" t="s">
        <v>1301</v>
      </c>
      <c r="C391" s="162" t="s">
        <v>1302</v>
      </c>
      <c r="D391" s="163">
        <v>35860</v>
      </c>
      <c r="E391" s="120" t="s">
        <v>2793</v>
      </c>
      <c r="F391" s="131">
        <v>54</v>
      </c>
      <c r="G391" s="120">
        <v>0</v>
      </c>
      <c r="H391" s="161" t="str">
        <f>HYPERLINK("https://www.findagrave.com/memorial/45139473/otho-r_-brown","0")</f>
        <v>0</v>
      </c>
      <c r="I391" s="120">
        <v>1</v>
      </c>
      <c r="J391" s="133" t="s">
        <v>2391</v>
      </c>
      <c r="K391" s="133">
        <v>3</v>
      </c>
      <c r="L391" s="117">
        <v>66.5</v>
      </c>
      <c r="M391" s="133">
        <f t="shared" si="25"/>
        <v>12.5</v>
      </c>
      <c r="N391" s="157"/>
      <c r="O391" s="158"/>
      <c r="P391" s="158"/>
      <c r="Q391" s="158"/>
      <c r="R391" s="158"/>
      <c r="S391" s="158"/>
      <c r="T391" s="158"/>
      <c r="U391" s="158"/>
      <c r="V391" s="158"/>
      <c r="W391" s="158"/>
      <c r="X391" s="158"/>
      <c r="Y391" s="158"/>
      <c r="Z391" s="158"/>
      <c r="AA391" s="158"/>
    </row>
    <row r="392" spans="1:27" ht="15.75" customHeight="1" x14ac:dyDescent="0.55000000000000004">
      <c r="A392" s="162">
        <v>66</v>
      </c>
      <c r="B392" s="162" t="s">
        <v>1301</v>
      </c>
      <c r="C392" s="162" t="s">
        <v>1302</v>
      </c>
      <c r="D392" s="163">
        <v>35860</v>
      </c>
      <c r="E392" s="120" t="s">
        <v>2794</v>
      </c>
      <c r="F392" s="131">
        <v>33</v>
      </c>
      <c r="G392" s="120">
        <v>0</v>
      </c>
      <c r="H392" s="131">
        <v>0</v>
      </c>
      <c r="I392" s="120">
        <v>1</v>
      </c>
      <c r="J392" s="133" t="s">
        <v>2391</v>
      </c>
      <c r="K392" s="133">
        <v>3</v>
      </c>
      <c r="L392" s="117">
        <v>68</v>
      </c>
      <c r="M392" s="133">
        <f t="shared" si="25"/>
        <v>35</v>
      </c>
      <c r="N392" s="157"/>
      <c r="O392" s="158"/>
      <c r="P392" s="158"/>
      <c r="Q392" s="158"/>
      <c r="R392" s="158"/>
      <c r="S392" s="158"/>
      <c r="T392" s="158"/>
      <c r="U392" s="158"/>
      <c r="V392" s="158"/>
      <c r="W392" s="158"/>
      <c r="X392" s="158"/>
      <c r="Y392" s="158"/>
      <c r="Z392" s="158"/>
      <c r="AA392" s="158"/>
    </row>
    <row r="393" spans="1:27" ht="15.75" customHeight="1" x14ac:dyDescent="0.55000000000000004">
      <c r="A393" s="162">
        <v>66</v>
      </c>
      <c r="B393" s="162" t="s">
        <v>1301</v>
      </c>
      <c r="C393" s="162" t="s">
        <v>1302</v>
      </c>
      <c r="D393" s="163">
        <v>35860</v>
      </c>
      <c r="E393" s="120" t="s">
        <v>2795</v>
      </c>
      <c r="F393" s="131">
        <v>38</v>
      </c>
      <c r="G393" s="120">
        <v>1</v>
      </c>
      <c r="H393" s="161" t="str">
        <f>HYPERLINK("https://www.findagrave.com/memorial/32001672/linda-a_-mlynarczyk","0")</f>
        <v>0</v>
      </c>
      <c r="I393" s="120">
        <v>1</v>
      </c>
      <c r="J393" s="133" t="s">
        <v>2391</v>
      </c>
      <c r="K393" s="133">
        <v>3</v>
      </c>
      <c r="L393" s="117">
        <v>74.099999999999994</v>
      </c>
      <c r="M393" s="133">
        <f t="shared" si="25"/>
        <v>36.099999999999994</v>
      </c>
      <c r="N393" s="157"/>
      <c r="O393" s="158"/>
      <c r="P393" s="158"/>
      <c r="Q393" s="158"/>
      <c r="R393" s="158"/>
      <c r="S393" s="158"/>
      <c r="T393" s="158"/>
      <c r="U393" s="158"/>
      <c r="V393" s="158"/>
      <c r="W393" s="158"/>
      <c r="X393" s="158"/>
      <c r="Y393" s="158"/>
      <c r="Z393" s="158"/>
      <c r="AA393" s="158"/>
    </row>
    <row r="394" spans="1:27" ht="15.75" customHeight="1" x14ac:dyDescent="0.55000000000000004">
      <c r="A394" s="162">
        <v>66</v>
      </c>
      <c r="B394" s="162" t="s">
        <v>1301</v>
      </c>
      <c r="C394" s="162" t="s">
        <v>1302</v>
      </c>
      <c r="D394" s="163">
        <v>35860</v>
      </c>
      <c r="E394" s="120" t="s">
        <v>2796</v>
      </c>
      <c r="F394" s="131">
        <v>40</v>
      </c>
      <c r="G394" s="120">
        <v>0</v>
      </c>
      <c r="H394" s="161" t="str">
        <f>HYPERLINK("https://www.findagrave.com/memorial/12545968/frederick-w_-rubelmann","0")</f>
        <v>0</v>
      </c>
      <c r="I394" s="120">
        <v>1</v>
      </c>
      <c r="J394" s="133" t="s">
        <v>2391</v>
      </c>
      <c r="K394" s="133">
        <v>3</v>
      </c>
      <c r="L394" s="117">
        <v>67.400000000000006</v>
      </c>
      <c r="M394" s="133">
        <f t="shared" si="25"/>
        <v>27.400000000000006</v>
      </c>
      <c r="N394" s="157"/>
      <c r="O394" s="158"/>
      <c r="P394" s="158"/>
      <c r="Q394" s="158"/>
      <c r="R394" s="158"/>
      <c r="S394" s="158"/>
      <c r="T394" s="158"/>
      <c r="U394" s="158"/>
      <c r="V394" s="158"/>
      <c r="W394" s="158"/>
      <c r="X394" s="158"/>
      <c r="Y394" s="158"/>
      <c r="Z394" s="158"/>
      <c r="AA394" s="158"/>
    </row>
    <row r="395" spans="1:27" ht="15.75" customHeight="1" x14ac:dyDescent="0.55000000000000004">
      <c r="A395" s="164" t="s">
        <v>2164</v>
      </c>
      <c r="B395" s="164" t="s">
        <v>2165</v>
      </c>
      <c r="C395" s="164" t="s">
        <v>2166</v>
      </c>
      <c r="D395" s="165">
        <v>35878</v>
      </c>
      <c r="E395" s="120" t="s">
        <v>2797</v>
      </c>
      <c r="F395" s="131">
        <v>11</v>
      </c>
      <c r="G395" s="120">
        <v>1</v>
      </c>
      <c r="H395" s="131">
        <v>0</v>
      </c>
      <c r="I395" s="120">
        <v>1</v>
      </c>
      <c r="J395" s="133" t="s">
        <v>2673</v>
      </c>
      <c r="K395" s="133">
        <v>4</v>
      </c>
      <c r="L395" s="117">
        <v>79.400000000000006</v>
      </c>
      <c r="M395" s="133">
        <f t="shared" si="25"/>
        <v>68.400000000000006</v>
      </c>
      <c r="N395" s="157"/>
      <c r="O395" s="158"/>
      <c r="P395" s="158"/>
      <c r="Q395" s="158"/>
      <c r="R395" s="158"/>
      <c r="S395" s="158"/>
      <c r="T395" s="158"/>
      <c r="U395" s="158"/>
      <c r="V395" s="158"/>
      <c r="W395" s="158"/>
      <c r="X395" s="158"/>
      <c r="Y395" s="158"/>
      <c r="Z395" s="158"/>
      <c r="AA395" s="158"/>
    </row>
    <row r="396" spans="1:27" ht="15.75" customHeight="1" x14ac:dyDescent="0.55000000000000004">
      <c r="A396" s="164" t="s">
        <v>2164</v>
      </c>
      <c r="B396" s="164" t="s">
        <v>2165</v>
      </c>
      <c r="C396" s="164" t="s">
        <v>2166</v>
      </c>
      <c r="D396" s="165">
        <v>35878</v>
      </c>
      <c r="E396" s="120" t="s">
        <v>2798</v>
      </c>
      <c r="F396" s="131">
        <v>12</v>
      </c>
      <c r="G396" s="120">
        <v>1</v>
      </c>
      <c r="H396" s="131">
        <v>0</v>
      </c>
      <c r="I396" s="120">
        <v>1</v>
      </c>
      <c r="J396" s="133" t="s">
        <v>2673</v>
      </c>
      <c r="K396" s="133">
        <v>4</v>
      </c>
      <c r="L396" s="117">
        <v>79.400000000000006</v>
      </c>
      <c r="M396" s="133">
        <f t="shared" si="25"/>
        <v>67.400000000000006</v>
      </c>
      <c r="N396" s="157"/>
      <c r="O396" s="158"/>
      <c r="P396" s="158"/>
      <c r="Q396" s="158"/>
      <c r="R396" s="158"/>
      <c r="S396" s="158"/>
      <c r="T396" s="158"/>
      <c r="U396" s="158"/>
      <c r="V396" s="158"/>
      <c r="W396" s="158"/>
      <c r="X396" s="158"/>
      <c r="Y396" s="158"/>
      <c r="Z396" s="158"/>
      <c r="AA396" s="158"/>
    </row>
    <row r="397" spans="1:27" ht="15.75" customHeight="1" x14ac:dyDescent="0.55000000000000004">
      <c r="A397" s="164" t="s">
        <v>2164</v>
      </c>
      <c r="B397" s="164" t="s">
        <v>2165</v>
      </c>
      <c r="C397" s="164" t="s">
        <v>2166</v>
      </c>
      <c r="D397" s="165">
        <v>35878</v>
      </c>
      <c r="E397" s="120" t="s">
        <v>2799</v>
      </c>
      <c r="F397" s="131">
        <v>12</v>
      </c>
      <c r="G397" s="120">
        <v>1</v>
      </c>
      <c r="H397" s="131">
        <v>0</v>
      </c>
      <c r="I397" s="120">
        <v>1</v>
      </c>
      <c r="J397" s="133" t="s">
        <v>2673</v>
      </c>
      <c r="K397" s="133">
        <v>4</v>
      </c>
      <c r="L397" s="117">
        <v>79.400000000000006</v>
      </c>
      <c r="M397" s="133">
        <f t="shared" si="25"/>
        <v>67.400000000000006</v>
      </c>
      <c r="N397" s="157"/>
      <c r="O397" s="158"/>
      <c r="P397" s="158"/>
      <c r="Q397" s="158"/>
      <c r="R397" s="158"/>
      <c r="S397" s="158"/>
      <c r="T397" s="158"/>
      <c r="U397" s="158"/>
      <c r="V397" s="158"/>
      <c r="W397" s="158"/>
      <c r="X397" s="158"/>
      <c r="Y397" s="158"/>
      <c r="Z397" s="158"/>
      <c r="AA397" s="158"/>
    </row>
    <row r="398" spans="1:27" ht="15.75" customHeight="1" x14ac:dyDescent="0.55000000000000004">
      <c r="A398" s="164" t="s">
        <v>2164</v>
      </c>
      <c r="B398" s="164" t="s">
        <v>2165</v>
      </c>
      <c r="C398" s="164" t="s">
        <v>2166</v>
      </c>
      <c r="D398" s="165">
        <v>35878</v>
      </c>
      <c r="E398" s="120" t="s">
        <v>2800</v>
      </c>
      <c r="F398" s="131">
        <v>11</v>
      </c>
      <c r="G398" s="120">
        <v>1</v>
      </c>
      <c r="H398" s="131">
        <v>0</v>
      </c>
      <c r="I398" s="120">
        <v>1</v>
      </c>
      <c r="J398" s="133" t="s">
        <v>2673</v>
      </c>
      <c r="K398" s="133">
        <v>4</v>
      </c>
      <c r="L398" s="117">
        <v>79.400000000000006</v>
      </c>
      <c r="M398" s="133">
        <f t="shared" si="25"/>
        <v>68.400000000000006</v>
      </c>
      <c r="N398" s="157"/>
      <c r="O398" s="158"/>
      <c r="P398" s="158"/>
      <c r="Q398" s="158"/>
      <c r="R398" s="158"/>
      <c r="S398" s="158"/>
      <c r="T398" s="158"/>
      <c r="U398" s="158"/>
      <c r="V398" s="158"/>
      <c r="W398" s="158"/>
      <c r="X398" s="158"/>
      <c r="Y398" s="158"/>
      <c r="Z398" s="158"/>
      <c r="AA398" s="158"/>
    </row>
    <row r="399" spans="1:27" ht="15.75" customHeight="1" x14ac:dyDescent="0.55000000000000004">
      <c r="A399" s="164" t="s">
        <v>2164</v>
      </c>
      <c r="B399" s="164" t="s">
        <v>2165</v>
      </c>
      <c r="C399" s="164" t="s">
        <v>2166</v>
      </c>
      <c r="D399" s="165">
        <v>35878</v>
      </c>
      <c r="E399" s="120" t="s">
        <v>2801</v>
      </c>
      <c r="F399" s="131">
        <v>32</v>
      </c>
      <c r="G399" s="120">
        <v>1</v>
      </c>
      <c r="H399" s="131">
        <v>0</v>
      </c>
      <c r="I399" s="120">
        <v>1</v>
      </c>
      <c r="J399" s="133" t="s">
        <v>2802</v>
      </c>
      <c r="K399" s="133">
        <v>4</v>
      </c>
      <c r="L399" s="117">
        <v>75.599999999999994</v>
      </c>
      <c r="M399" s="133">
        <f t="shared" si="25"/>
        <v>43.599999999999994</v>
      </c>
      <c r="N399" s="157"/>
      <c r="O399" s="158"/>
      <c r="P399" s="158"/>
      <c r="Q399" s="158"/>
      <c r="R399" s="158"/>
      <c r="S399" s="158"/>
      <c r="T399" s="158"/>
      <c r="U399" s="158"/>
      <c r="V399" s="158"/>
      <c r="W399" s="158"/>
      <c r="X399" s="158"/>
      <c r="Y399" s="158"/>
      <c r="Z399" s="158"/>
      <c r="AA399" s="158"/>
    </row>
    <row r="400" spans="1:27" ht="15.75" customHeight="1" x14ac:dyDescent="0.55000000000000004">
      <c r="A400" s="159">
        <v>69</v>
      </c>
      <c r="B400" s="159" t="s">
        <v>1326</v>
      </c>
      <c r="C400" s="159" t="s">
        <v>1327</v>
      </c>
      <c r="D400" s="160">
        <v>35935</v>
      </c>
      <c r="E400" s="120" t="s">
        <v>2803</v>
      </c>
      <c r="F400" s="131">
        <v>59</v>
      </c>
      <c r="G400" s="120">
        <v>0</v>
      </c>
      <c r="H400" s="131">
        <v>0</v>
      </c>
      <c r="I400" s="120">
        <v>1</v>
      </c>
      <c r="J400" s="133" t="s">
        <v>2804</v>
      </c>
      <c r="K400" s="133">
        <v>1</v>
      </c>
      <c r="L400" s="117">
        <v>66.5</v>
      </c>
      <c r="M400" s="133">
        <f t="shared" si="25"/>
        <v>7.5</v>
      </c>
      <c r="N400" s="157"/>
      <c r="O400" s="158"/>
      <c r="P400" s="158"/>
      <c r="Q400" s="158"/>
      <c r="R400" s="158"/>
      <c r="S400" s="158"/>
      <c r="T400" s="158"/>
      <c r="U400" s="158"/>
      <c r="V400" s="158"/>
      <c r="W400" s="158"/>
      <c r="X400" s="158"/>
      <c r="Y400" s="158"/>
      <c r="Z400" s="158"/>
      <c r="AA400" s="158"/>
    </row>
    <row r="401" spans="1:27" ht="15.75" customHeight="1" x14ac:dyDescent="0.55000000000000004">
      <c r="A401" s="159">
        <v>69</v>
      </c>
      <c r="B401" s="159" t="s">
        <v>1326</v>
      </c>
      <c r="C401" s="159" t="s">
        <v>1327</v>
      </c>
      <c r="D401" s="160">
        <v>35935</v>
      </c>
      <c r="E401" s="120" t="s">
        <v>2805</v>
      </c>
      <c r="F401" s="131">
        <v>57</v>
      </c>
      <c r="G401" s="120">
        <v>1</v>
      </c>
      <c r="H401" s="131">
        <v>0</v>
      </c>
      <c r="I401" s="120">
        <v>1</v>
      </c>
      <c r="J401" s="133" t="s">
        <v>2364</v>
      </c>
      <c r="K401" s="133">
        <v>1</v>
      </c>
      <c r="L401" s="117">
        <v>72.2</v>
      </c>
      <c r="M401" s="133">
        <f t="shared" si="25"/>
        <v>15.200000000000003</v>
      </c>
      <c r="N401" s="157"/>
      <c r="O401" s="158"/>
      <c r="P401" s="158"/>
      <c r="Q401" s="158"/>
      <c r="R401" s="158"/>
      <c r="S401" s="158"/>
      <c r="T401" s="158"/>
      <c r="U401" s="158"/>
      <c r="V401" s="158"/>
      <c r="W401" s="158"/>
      <c r="X401" s="158"/>
      <c r="Y401" s="158"/>
      <c r="Z401" s="158"/>
      <c r="AA401" s="158"/>
    </row>
    <row r="402" spans="1:27" ht="15.75" customHeight="1" x14ac:dyDescent="0.55000000000000004">
      <c r="A402" s="159">
        <v>69</v>
      </c>
      <c r="B402" s="159" t="s">
        <v>1326</v>
      </c>
      <c r="C402" s="159" t="s">
        <v>1327</v>
      </c>
      <c r="D402" s="160">
        <v>35935</v>
      </c>
      <c r="E402" s="120" t="s">
        <v>2806</v>
      </c>
      <c r="F402" s="131">
        <v>17</v>
      </c>
      <c r="G402" s="120">
        <v>0</v>
      </c>
      <c r="H402" s="131">
        <v>0</v>
      </c>
      <c r="I402" s="120">
        <v>1</v>
      </c>
      <c r="J402" s="133" t="s">
        <v>2673</v>
      </c>
      <c r="K402" s="133">
        <v>4</v>
      </c>
      <c r="L402" s="117">
        <v>70.7</v>
      </c>
      <c r="M402" s="133">
        <f t="shared" si="25"/>
        <v>53.7</v>
      </c>
      <c r="N402" s="157"/>
      <c r="O402" s="158"/>
      <c r="P402" s="158"/>
      <c r="Q402" s="158"/>
      <c r="R402" s="158"/>
      <c r="S402" s="158"/>
      <c r="T402" s="158"/>
      <c r="U402" s="158"/>
      <c r="V402" s="158"/>
      <c r="W402" s="158"/>
      <c r="X402" s="158"/>
      <c r="Y402" s="158"/>
      <c r="Z402" s="158"/>
      <c r="AA402" s="158"/>
    </row>
    <row r="403" spans="1:27" ht="15.75" customHeight="1" x14ac:dyDescent="0.55000000000000004">
      <c r="A403" s="159">
        <v>69</v>
      </c>
      <c r="B403" s="159" t="s">
        <v>1326</v>
      </c>
      <c r="C403" s="159" t="s">
        <v>1327</v>
      </c>
      <c r="D403" s="160">
        <v>35935</v>
      </c>
      <c r="E403" s="120" t="s">
        <v>2807</v>
      </c>
      <c r="F403" s="131">
        <v>16</v>
      </c>
      <c r="G403" s="120">
        <v>0</v>
      </c>
      <c r="H403" s="131">
        <v>0</v>
      </c>
      <c r="I403" s="120">
        <v>1</v>
      </c>
      <c r="J403" s="133" t="s">
        <v>2673</v>
      </c>
      <c r="K403" s="133">
        <v>4</v>
      </c>
      <c r="L403" s="117">
        <v>70.7</v>
      </c>
      <c r="M403" s="133">
        <f t="shared" si="25"/>
        <v>54.7</v>
      </c>
      <c r="N403" s="157"/>
      <c r="O403" s="158"/>
      <c r="P403" s="158"/>
      <c r="Q403" s="158"/>
      <c r="R403" s="158"/>
      <c r="S403" s="158"/>
      <c r="T403" s="158"/>
      <c r="U403" s="158"/>
      <c r="V403" s="158"/>
      <c r="W403" s="158"/>
      <c r="X403" s="158"/>
      <c r="Y403" s="158"/>
      <c r="Z403" s="158"/>
      <c r="AA403" s="158"/>
    </row>
    <row r="404" spans="1:27" ht="15.75" customHeight="1" x14ac:dyDescent="0.55000000000000004">
      <c r="A404" s="162">
        <v>70</v>
      </c>
      <c r="B404" s="162" t="s">
        <v>1189</v>
      </c>
      <c r="C404" s="162" t="s">
        <v>1334</v>
      </c>
      <c r="D404" s="163">
        <v>36229</v>
      </c>
      <c r="E404" s="120" t="s">
        <v>2808</v>
      </c>
      <c r="F404" s="131">
        <v>19</v>
      </c>
      <c r="G404" s="120">
        <v>0</v>
      </c>
      <c r="H404" s="120"/>
      <c r="I404" s="120">
        <v>0</v>
      </c>
      <c r="J404" s="133" t="s">
        <v>853</v>
      </c>
      <c r="K404" s="133">
        <v>0</v>
      </c>
      <c r="L404" s="117">
        <v>70</v>
      </c>
      <c r="M404" s="133">
        <f t="shared" si="25"/>
        <v>51</v>
      </c>
      <c r="N404" s="157"/>
      <c r="O404" s="158"/>
      <c r="P404" s="158"/>
      <c r="Q404" s="158"/>
      <c r="R404" s="158"/>
      <c r="S404" s="158"/>
      <c r="T404" s="158"/>
      <c r="U404" s="158"/>
      <c r="V404" s="158"/>
      <c r="W404" s="158"/>
      <c r="X404" s="158"/>
      <c r="Y404" s="158"/>
      <c r="Z404" s="158"/>
      <c r="AA404" s="158"/>
    </row>
    <row r="405" spans="1:27" ht="15.75" customHeight="1" x14ac:dyDescent="0.55000000000000004">
      <c r="A405" s="162">
        <v>70</v>
      </c>
      <c r="B405" s="162" t="s">
        <v>1189</v>
      </c>
      <c r="C405" s="162" t="s">
        <v>1334</v>
      </c>
      <c r="D405" s="163">
        <v>36229</v>
      </c>
      <c r="E405" s="120" t="s">
        <v>2809</v>
      </c>
      <c r="F405" s="131">
        <v>25</v>
      </c>
      <c r="G405" s="120">
        <v>1</v>
      </c>
      <c r="H405" s="131">
        <v>1</v>
      </c>
      <c r="I405" s="120">
        <v>1</v>
      </c>
      <c r="J405" s="133" t="s">
        <v>2677</v>
      </c>
      <c r="K405" s="133">
        <v>2</v>
      </c>
      <c r="L405" s="117">
        <v>71.3</v>
      </c>
      <c r="M405" s="133">
        <f t="shared" si="25"/>
        <v>46.3</v>
      </c>
      <c r="N405" s="157"/>
      <c r="O405" s="158"/>
      <c r="P405" s="158"/>
      <c r="Q405" s="158"/>
      <c r="R405" s="158"/>
      <c r="S405" s="158"/>
      <c r="T405" s="158"/>
      <c r="U405" s="158"/>
      <c r="V405" s="158"/>
      <c r="W405" s="158"/>
      <c r="X405" s="158"/>
      <c r="Y405" s="158"/>
      <c r="Z405" s="158"/>
      <c r="AA405" s="158"/>
    </row>
    <row r="406" spans="1:27" ht="15.75" customHeight="1" x14ac:dyDescent="0.55000000000000004">
      <c r="A406" s="162">
        <v>70</v>
      </c>
      <c r="B406" s="162" t="s">
        <v>1189</v>
      </c>
      <c r="C406" s="162" t="s">
        <v>1334</v>
      </c>
      <c r="D406" s="163">
        <v>36229</v>
      </c>
      <c r="E406" s="120" t="s">
        <v>2810</v>
      </c>
      <c r="F406" s="131">
        <v>2</v>
      </c>
      <c r="G406" s="120">
        <v>0</v>
      </c>
      <c r="H406" s="131">
        <v>1</v>
      </c>
      <c r="I406" s="120">
        <v>1</v>
      </c>
      <c r="J406" s="133" t="s">
        <v>2811</v>
      </c>
      <c r="K406" s="133">
        <v>1</v>
      </c>
      <c r="L406" s="117">
        <v>65.2</v>
      </c>
      <c r="M406" s="133">
        <f t="shared" si="25"/>
        <v>63.2</v>
      </c>
      <c r="N406" s="157"/>
      <c r="O406" s="158"/>
      <c r="P406" s="158"/>
      <c r="Q406" s="158"/>
      <c r="R406" s="158"/>
      <c r="S406" s="158"/>
      <c r="T406" s="158"/>
      <c r="U406" s="158"/>
      <c r="V406" s="158"/>
      <c r="W406" s="158"/>
      <c r="X406" s="158"/>
      <c r="Y406" s="158"/>
      <c r="Z406" s="158"/>
      <c r="AA406" s="158"/>
    </row>
    <row r="407" spans="1:27" ht="15.75" customHeight="1" x14ac:dyDescent="0.55000000000000004">
      <c r="A407" s="162">
        <v>70</v>
      </c>
      <c r="B407" s="162" t="s">
        <v>1189</v>
      </c>
      <c r="C407" s="162" t="s">
        <v>1334</v>
      </c>
      <c r="D407" s="163">
        <v>36229</v>
      </c>
      <c r="E407" s="120" t="s">
        <v>2812</v>
      </c>
      <c r="F407" s="131">
        <v>53</v>
      </c>
      <c r="G407" s="120">
        <v>1</v>
      </c>
      <c r="H407" s="131">
        <v>1</v>
      </c>
      <c r="I407" s="120">
        <v>1</v>
      </c>
      <c r="J407" s="133" t="s">
        <v>2813</v>
      </c>
      <c r="K407" s="133">
        <v>1</v>
      </c>
      <c r="L407" s="117">
        <v>62.9</v>
      </c>
      <c r="M407" s="133">
        <f t="shared" si="25"/>
        <v>9.8999999999999986</v>
      </c>
      <c r="N407" s="157"/>
      <c r="O407" s="158"/>
      <c r="P407" s="158"/>
      <c r="Q407" s="158"/>
      <c r="R407" s="158"/>
      <c r="S407" s="158"/>
      <c r="T407" s="158"/>
      <c r="U407" s="158"/>
      <c r="V407" s="158"/>
      <c r="W407" s="158"/>
      <c r="X407" s="158"/>
      <c r="Y407" s="158"/>
      <c r="Z407" s="158"/>
      <c r="AA407" s="158"/>
    </row>
    <row r="408" spans="1:27" ht="15.75" customHeight="1" x14ac:dyDescent="0.55000000000000004">
      <c r="A408" s="164" t="s">
        <v>2180</v>
      </c>
      <c r="B408" s="164" t="s">
        <v>2181</v>
      </c>
      <c r="C408" s="164" t="s">
        <v>2182</v>
      </c>
      <c r="D408" s="165">
        <v>36270</v>
      </c>
      <c r="E408" s="120" t="s">
        <v>2814</v>
      </c>
      <c r="F408" s="131">
        <v>17</v>
      </c>
      <c r="G408" s="120">
        <v>1</v>
      </c>
      <c r="H408" s="131">
        <v>0</v>
      </c>
      <c r="I408" s="120">
        <v>2</v>
      </c>
      <c r="J408" s="133" t="s">
        <v>2815</v>
      </c>
      <c r="K408" s="133">
        <v>4</v>
      </c>
      <c r="L408" s="117">
        <v>78.099999999999994</v>
      </c>
      <c r="M408" s="133">
        <f t="shared" si="25"/>
        <v>61.099999999999994</v>
      </c>
      <c r="N408" s="157"/>
      <c r="O408" s="158"/>
      <c r="P408" s="158"/>
      <c r="Q408" s="158"/>
      <c r="R408" s="158"/>
      <c r="S408" s="158"/>
      <c r="T408" s="158"/>
      <c r="U408" s="158"/>
      <c r="V408" s="158"/>
      <c r="W408" s="158"/>
      <c r="X408" s="158"/>
      <c r="Y408" s="158"/>
      <c r="Z408" s="158"/>
      <c r="AA408" s="158"/>
    </row>
    <row r="409" spans="1:27" ht="15.75" customHeight="1" x14ac:dyDescent="0.55000000000000004">
      <c r="A409" s="164" t="s">
        <v>2180</v>
      </c>
      <c r="B409" s="164" t="s">
        <v>2181</v>
      </c>
      <c r="C409" s="164" t="s">
        <v>2182</v>
      </c>
      <c r="D409" s="165">
        <v>36270</v>
      </c>
      <c r="E409" s="120" t="s">
        <v>2816</v>
      </c>
      <c r="F409" s="131">
        <v>14</v>
      </c>
      <c r="G409" s="120">
        <v>0</v>
      </c>
      <c r="H409" s="131">
        <v>0</v>
      </c>
      <c r="I409" s="120">
        <v>2</v>
      </c>
      <c r="J409" s="133" t="s">
        <v>2815</v>
      </c>
      <c r="K409" s="133">
        <v>4</v>
      </c>
      <c r="L409" s="117">
        <v>72.7</v>
      </c>
      <c r="M409" s="133">
        <f t="shared" si="25"/>
        <v>58.7</v>
      </c>
      <c r="N409" s="157"/>
      <c r="O409" s="158"/>
      <c r="P409" s="158"/>
      <c r="Q409" s="158"/>
      <c r="R409" s="158"/>
      <c r="S409" s="158"/>
      <c r="T409" s="158"/>
      <c r="U409" s="158"/>
      <c r="V409" s="158"/>
      <c r="W409" s="158"/>
      <c r="X409" s="158"/>
      <c r="Y409" s="158"/>
      <c r="Z409" s="158"/>
      <c r="AA409" s="158"/>
    </row>
    <row r="410" spans="1:27" ht="15.75" customHeight="1" x14ac:dyDescent="0.55000000000000004">
      <c r="A410" s="164" t="s">
        <v>2180</v>
      </c>
      <c r="B410" s="164" t="s">
        <v>2181</v>
      </c>
      <c r="C410" s="164" t="s">
        <v>2182</v>
      </c>
      <c r="D410" s="165">
        <v>36270</v>
      </c>
      <c r="E410" s="120" t="s">
        <v>2817</v>
      </c>
      <c r="F410" s="131">
        <v>17</v>
      </c>
      <c r="G410" s="120">
        <v>0</v>
      </c>
      <c r="H410" s="131">
        <v>0</v>
      </c>
      <c r="I410" s="120">
        <v>2</v>
      </c>
      <c r="J410" s="133" t="s">
        <v>2815</v>
      </c>
      <c r="K410" s="133">
        <v>4</v>
      </c>
      <c r="L410" s="117">
        <v>70.7</v>
      </c>
      <c r="M410" s="133">
        <f t="shared" si="25"/>
        <v>53.7</v>
      </c>
      <c r="N410" s="157"/>
      <c r="O410" s="158"/>
      <c r="P410" s="158"/>
      <c r="Q410" s="158"/>
      <c r="R410" s="158"/>
      <c r="S410" s="158"/>
      <c r="T410" s="158"/>
      <c r="U410" s="158"/>
      <c r="V410" s="158"/>
      <c r="W410" s="158"/>
      <c r="X410" s="158"/>
      <c r="Y410" s="158"/>
      <c r="Z410" s="158"/>
      <c r="AA410" s="158"/>
    </row>
    <row r="411" spans="1:27" ht="15.75" customHeight="1" x14ac:dyDescent="0.55000000000000004">
      <c r="A411" s="164" t="s">
        <v>2180</v>
      </c>
      <c r="B411" s="164" t="s">
        <v>2181</v>
      </c>
      <c r="C411" s="164" t="s">
        <v>2182</v>
      </c>
      <c r="D411" s="165">
        <v>36270</v>
      </c>
      <c r="E411" s="120" t="s">
        <v>2818</v>
      </c>
      <c r="F411" s="131">
        <v>16</v>
      </c>
      <c r="G411" s="120">
        <v>1</v>
      </c>
      <c r="H411" s="131">
        <v>0</v>
      </c>
      <c r="I411" s="120">
        <v>2</v>
      </c>
      <c r="J411" s="133" t="s">
        <v>2815</v>
      </c>
      <c r="K411" s="133">
        <v>4</v>
      </c>
      <c r="L411" s="117">
        <v>78.099999999999994</v>
      </c>
      <c r="M411" s="133">
        <f t="shared" si="25"/>
        <v>62.099999999999994</v>
      </c>
      <c r="N411" s="157"/>
      <c r="O411" s="158"/>
      <c r="P411" s="158"/>
      <c r="Q411" s="158"/>
      <c r="R411" s="158"/>
      <c r="S411" s="158"/>
      <c r="T411" s="158"/>
      <c r="U411" s="158"/>
      <c r="V411" s="158"/>
      <c r="W411" s="158"/>
      <c r="X411" s="158"/>
      <c r="Y411" s="158"/>
      <c r="Z411" s="158"/>
      <c r="AA411" s="158"/>
    </row>
    <row r="412" spans="1:27" ht="15.75" customHeight="1" x14ac:dyDescent="0.55000000000000004">
      <c r="A412" s="164" t="s">
        <v>2180</v>
      </c>
      <c r="B412" s="164" t="s">
        <v>2181</v>
      </c>
      <c r="C412" s="164" t="s">
        <v>2182</v>
      </c>
      <c r="D412" s="165">
        <v>36270</v>
      </c>
      <c r="E412" s="120" t="s">
        <v>2819</v>
      </c>
      <c r="F412" s="131">
        <v>16</v>
      </c>
      <c r="G412" s="120">
        <v>0</v>
      </c>
      <c r="H412" s="131">
        <v>0</v>
      </c>
      <c r="I412" s="120">
        <v>2</v>
      </c>
      <c r="J412" s="133" t="s">
        <v>2815</v>
      </c>
      <c r="K412" s="133">
        <v>4</v>
      </c>
      <c r="L412" s="117">
        <v>70.7</v>
      </c>
      <c r="M412" s="133">
        <f t="shared" si="25"/>
        <v>54.7</v>
      </c>
      <c r="N412" s="157"/>
      <c r="O412" s="158"/>
      <c r="P412" s="158"/>
      <c r="Q412" s="158"/>
      <c r="R412" s="158"/>
      <c r="S412" s="158"/>
      <c r="T412" s="158"/>
      <c r="U412" s="158"/>
      <c r="V412" s="158"/>
      <c r="W412" s="158"/>
      <c r="X412" s="158"/>
      <c r="Y412" s="158"/>
      <c r="Z412" s="158"/>
      <c r="AA412" s="158"/>
    </row>
    <row r="413" spans="1:27" ht="15.75" customHeight="1" x14ac:dyDescent="0.55000000000000004">
      <c r="A413" s="164" t="s">
        <v>2180</v>
      </c>
      <c r="B413" s="164" t="s">
        <v>2181</v>
      </c>
      <c r="C413" s="164" t="s">
        <v>2182</v>
      </c>
      <c r="D413" s="165">
        <v>36270</v>
      </c>
      <c r="E413" s="120" t="s">
        <v>2820</v>
      </c>
      <c r="F413" s="131">
        <v>15</v>
      </c>
      <c r="G413" s="120">
        <v>0</v>
      </c>
      <c r="H413" s="131">
        <v>0</v>
      </c>
      <c r="I413" s="120">
        <v>2</v>
      </c>
      <c r="J413" s="133" t="s">
        <v>2815</v>
      </c>
      <c r="K413" s="133">
        <v>4</v>
      </c>
      <c r="L413" s="117">
        <v>70.7</v>
      </c>
      <c r="M413" s="133">
        <f t="shared" si="25"/>
        <v>55.7</v>
      </c>
      <c r="N413" s="157"/>
      <c r="O413" s="158"/>
      <c r="P413" s="158"/>
      <c r="Q413" s="158"/>
      <c r="R413" s="158"/>
      <c r="S413" s="158"/>
      <c r="T413" s="158"/>
      <c r="U413" s="158"/>
      <c r="V413" s="158"/>
      <c r="W413" s="158"/>
      <c r="X413" s="158"/>
      <c r="Y413" s="158"/>
      <c r="Z413" s="158"/>
      <c r="AA413" s="158"/>
    </row>
    <row r="414" spans="1:27" ht="15.75" customHeight="1" x14ac:dyDescent="0.55000000000000004">
      <c r="A414" s="164" t="s">
        <v>2180</v>
      </c>
      <c r="B414" s="164" t="s">
        <v>2181</v>
      </c>
      <c r="C414" s="164" t="s">
        <v>2182</v>
      </c>
      <c r="D414" s="165">
        <v>36270</v>
      </c>
      <c r="E414" s="120" t="s">
        <v>2821</v>
      </c>
      <c r="F414" s="131">
        <v>15</v>
      </c>
      <c r="G414" s="120">
        <v>0</v>
      </c>
      <c r="H414" s="131">
        <v>0</v>
      </c>
      <c r="I414" s="131">
        <v>1</v>
      </c>
      <c r="J414" s="133" t="s">
        <v>2822</v>
      </c>
      <c r="K414" s="133">
        <v>4</v>
      </c>
      <c r="L414" s="117">
        <v>70.7</v>
      </c>
      <c r="M414" s="133">
        <f t="shared" si="25"/>
        <v>55.7</v>
      </c>
      <c r="N414" s="157"/>
      <c r="O414" s="158"/>
      <c r="P414" s="158"/>
      <c r="Q414" s="158"/>
      <c r="R414" s="158"/>
      <c r="S414" s="158"/>
      <c r="T414" s="158"/>
      <c r="U414" s="158"/>
      <c r="V414" s="158"/>
      <c r="W414" s="158"/>
      <c r="X414" s="158"/>
      <c r="Y414" s="158"/>
      <c r="Z414" s="158"/>
      <c r="AA414" s="158"/>
    </row>
    <row r="415" spans="1:27" ht="15.75" customHeight="1" x14ac:dyDescent="0.55000000000000004">
      <c r="A415" s="164" t="s">
        <v>2180</v>
      </c>
      <c r="B415" s="164" t="s">
        <v>2181</v>
      </c>
      <c r="C415" s="164" t="s">
        <v>2182</v>
      </c>
      <c r="D415" s="165">
        <v>36270</v>
      </c>
      <c r="E415" s="120" t="s">
        <v>2823</v>
      </c>
      <c r="F415" s="131">
        <v>47</v>
      </c>
      <c r="G415" s="120">
        <v>0</v>
      </c>
      <c r="H415" s="131">
        <v>0</v>
      </c>
      <c r="I415" s="120">
        <v>1</v>
      </c>
      <c r="J415" s="133" t="s">
        <v>2802</v>
      </c>
      <c r="K415" s="133">
        <v>4</v>
      </c>
      <c r="L415" s="117">
        <v>66.5</v>
      </c>
      <c r="M415" s="133">
        <f t="shared" si="25"/>
        <v>19.5</v>
      </c>
      <c r="N415" s="157"/>
      <c r="O415" s="158"/>
      <c r="P415" s="158"/>
      <c r="Q415" s="158"/>
      <c r="R415" s="158"/>
      <c r="S415" s="158"/>
      <c r="T415" s="158"/>
      <c r="U415" s="158"/>
      <c r="V415" s="158"/>
      <c r="W415" s="158"/>
      <c r="X415" s="158"/>
      <c r="Y415" s="158"/>
      <c r="Z415" s="158"/>
      <c r="AA415" s="158"/>
    </row>
    <row r="416" spans="1:27" ht="15.75" customHeight="1" x14ac:dyDescent="0.55000000000000004">
      <c r="A416" s="164" t="s">
        <v>2180</v>
      </c>
      <c r="B416" s="164" t="s">
        <v>2181</v>
      </c>
      <c r="C416" s="164" t="s">
        <v>2182</v>
      </c>
      <c r="D416" s="165">
        <v>36270</v>
      </c>
      <c r="E416" s="120" t="s">
        <v>2824</v>
      </c>
      <c r="F416" s="131">
        <v>17</v>
      </c>
      <c r="G416" s="120">
        <v>1</v>
      </c>
      <c r="H416" s="131">
        <v>0</v>
      </c>
      <c r="I416" s="131">
        <v>1</v>
      </c>
      <c r="J416" s="133" t="s">
        <v>2822</v>
      </c>
      <c r="K416" s="133">
        <v>4</v>
      </c>
      <c r="L416" s="117">
        <v>78.099999999999994</v>
      </c>
      <c r="M416" s="133">
        <f t="shared" si="25"/>
        <v>61.099999999999994</v>
      </c>
      <c r="N416" s="157"/>
      <c r="O416" s="158"/>
      <c r="P416" s="158"/>
      <c r="Q416" s="158"/>
      <c r="R416" s="158"/>
      <c r="S416" s="158"/>
      <c r="T416" s="158"/>
      <c r="U416" s="158"/>
      <c r="V416" s="158"/>
      <c r="W416" s="158"/>
      <c r="X416" s="158"/>
      <c r="Y416" s="158"/>
      <c r="Z416" s="158"/>
      <c r="AA416" s="158"/>
    </row>
    <row r="417" spans="1:27" ht="15.75" customHeight="1" x14ac:dyDescent="0.55000000000000004">
      <c r="A417" s="164" t="s">
        <v>2180</v>
      </c>
      <c r="B417" s="164" t="s">
        <v>2181</v>
      </c>
      <c r="C417" s="164" t="s">
        <v>2182</v>
      </c>
      <c r="D417" s="165">
        <v>36270</v>
      </c>
      <c r="E417" s="120" t="s">
        <v>2825</v>
      </c>
      <c r="F417" s="131">
        <v>18</v>
      </c>
      <c r="G417" s="120">
        <v>0</v>
      </c>
      <c r="H417" s="131">
        <v>1</v>
      </c>
      <c r="I417" s="120">
        <v>2</v>
      </c>
      <c r="J417" s="133" t="s">
        <v>2815</v>
      </c>
      <c r="K417" s="133">
        <v>4</v>
      </c>
      <c r="L417" s="117">
        <v>63.8</v>
      </c>
      <c r="M417" s="133">
        <f t="shared" si="25"/>
        <v>45.8</v>
      </c>
      <c r="N417" s="157"/>
      <c r="O417" s="158"/>
      <c r="P417" s="158"/>
      <c r="Q417" s="158"/>
      <c r="R417" s="158"/>
      <c r="S417" s="158"/>
      <c r="T417" s="158"/>
      <c r="U417" s="158"/>
      <c r="V417" s="158"/>
      <c r="W417" s="158"/>
      <c r="X417" s="158"/>
      <c r="Y417" s="158"/>
      <c r="Z417" s="158"/>
      <c r="AA417" s="158"/>
    </row>
    <row r="418" spans="1:27" ht="15.75" customHeight="1" x14ac:dyDescent="0.55000000000000004">
      <c r="A418" s="164" t="s">
        <v>2180</v>
      </c>
      <c r="B418" s="164" t="s">
        <v>2181</v>
      </c>
      <c r="C418" s="164" t="s">
        <v>2182</v>
      </c>
      <c r="D418" s="165">
        <v>36270</v>
      </c>
      <c r="E418" s="120" t="s">
        <v>2826</v>
      </c>
      <c r="F418" s="131">
        <v>16</v>
      </c>
      <c r="G418" s="120">
        <v>0</v>
      </c>
      <c r="H418" s="131">
        <v>0</v>
      </c>
      <c r="I418" s="120">
        <v>2</v>
      </c>
      <c r="J418" s="133" t="s">
        <v>2815</v>
      </c>
      <c r="K418" s="133">
        <v>4</v>
      </c>
      <c r="L418" s="117">
        <v>70.7</v>
      </c>
      <c r="M418" s="133">
        <f t="shared" si="25"/>
        <v>54.7</v>
      </c>
      <c r="N418" s="157"/>
      <c r="O418" s="158"/>
      <c r="P418" s="158"/>
      <c r="Q418" s="158"/>
      <c r="R418" s="158"/>
      <c r="S418" s="158"/>
      <c r="T418" s="158"/>
      <c r="U418" s="158"/>
      <c r="V418" s="158"/>
      <c r="W418" s="158"/>
      <c r="X418" s="158"/>
      <c r="Y418" s="158"/>
      <c r="Z418" s="158"/>
      <c r="AA418" s="158"/>
    </row>
    <row r="419" spans="1:27" ht="15.75" customHeight="1" x14ac:dyDescent="0.55000000000000004">
      <c r="A419" s="164" t="s">
        <v>2180</v>
      </c>
      <c r="B419" s="164" t="s">
        <v>2181</v>
      </c>
      <c r="C419" s="164" t="s">
        <v>2182</v>
      </c>
      <c r="D419" s="165">
        <v>36270</v>
      </c>
      <c r="E419" s="120" t="s">
        <v>2827</v>
      </c>
      <c r="F419" s="131">
        <v>18</v>
      </c>
      <c r="G419" s="120">
        <v>1</v>
      </c>
      <c r="H419" s="131">
        <v>0</v>
      </c>
      <c r="I419" s="120">
        <v>2</v>
      </c>
      <c r="J419" s="133" t="s">
        <v>2815</v>
      </c>
      <c r="K419" s="133">
        <v>4</v>
      </c>
      <c r="L419" s="117">
        <v>78.099999999999994</v>
      </c>
      <c r="M419" s="133">
        <f t="shared" si="25"/>
        <v>60.099999999999994</v>
      </c>
      <c r="N419" s="157"/>
      <c r="O419" s="158"/>
      <c r="P419" s="158"/>
      <c r="Q419" s="158"/>
      <c r="R419" s="158"/>
      <c r="S419" s="158"/>
      <c r="T419" s="158"/>
      <c r="U419" s="158"/>
      <c r="V419" s="158"/>
      <c r="W419" s="158"/>
      <c r="X419" s="158"/>
      <c r="Y419" s="158"/>
      <c r="Z419" s="158"/>
      <c r="AA419" s="158"/>
    </row>
    <row r="420" spans="1:27" ht="15.75" customHeight="1" x14ac:dyDescent="0.55000000000000004">
      <c r="A420" s="164" t="s">
        <v>2180</v>
      </c>
      <c r="B420" s="164" t="s">
        <v>2181</v>
      </c>
      <c r="C420" s="164" t="s">
        <v>2182</v>
      </c>
      <c r="D420" s="165">
        <v>36270</v>
      </c>
      <c r="E420" s="120" t="s">
        <v>2828</v>
      </c>
      <c r="F420" s="131">
        <v>16</v>
      </c>
      <c r="G420" s="120">
        <v>0</v>
      </c>
      <c r="H420" s="131">
        <v>2</v>
      </c>
      <c r="I420" s="120">
        <v>2</v>
      </c>
      <c r="J420" s="133" t="s">
        <v>2815</v>
      </c>
      <c r="K420" s="133">
        <v>4</v>
      </c>
      <c r="L420" s="117">
        <v>70</v>
      </c>
      <c r="M420" s="133">
        <f t="shared" si="25"/>
        <v>54</v>
      </c>
      <c r="N420" s="157"/>
      <c r="O420" s="158"/>
      <c r="P420" s="158"/>
      <c r="Q420" s="158"/>
      <c r="R420" s="158"/>
      <c r="S420" s="158"/>
      <c r="T420" s="158"/>
      <c r="U420" s="158"/>
      <c r="V420" s="158"/>
      <c r="W420" s="158"/>
      <c r="X420" s="158"/>
      <c r="Y420" s="158"/>
      <c r="Z420" s="158"/>
      <c r="AA420" s="158"/>
    </row>
    <row r="421" spans="1:27" ht="15.75" customHeight="1" x14ac:dyDescent="0.55000000000000004">
      <c r="A421" s="162">
        <v>73</v>
      </c>
      <c r="B421" s="162" t="s">
        <v>1354</v>
      </c>
      <c r="C421" s="162" t="s">
        <v>1355</v>
      </c>
      <c r="D421" s="163">
        <v>36314</v>
      </c>
      <c r="E421" s="120" t="s">
        <v>2829</v>
      </c>
      <c r="F421" s="131">
        <v>40</v>
      </c>
      <c r="G421" s="120">
        <v>0</v>
      </c>
      <c r="H421" s="131">
        <v>0</v>
      </c>
      <c r="I421" s="120">
        <v>0</v>
      </c>
      <c r="J421" s="133" t="s">
        <v>853</v>
      </c>
      <c r="K421" s="133">
        <v>0</v>
      </c>
      <c r="L421" s="117">
        <v>74.099999999999994</v>
      </c>
      <c r="M421" s="133">
        <f t="shared" si="25"/>
        <v>34.099999999999994</v>
      </c>
      <c r="N421" s="157"/>
      <c r="O421" s="158"/>
      <c r="P421" s="158"/>
      <c r="Q421" s="158"/>
      <c r="R421" s="158"/>
      <c r="S421" s="158"/>
      <c r="T421" s="158"/>
      <c r="U421" s="158"/>
      <c r="V421" s="158"/>
      <c r="W421" s="158"/>
      <c r="X421" s="158"/>
      <c r="Y421" s="158"/>
      <c r="Z421" s="158"/>
      <c r="AA421" s="158"/>
    </row>
    <row r="422" spans="1:27" ht="15.75" customHeight="1" x14ac:dyDescent="0.55000000000000004">
      <c r="A422" s="162">
        <v>73</v>
      </c>
      <c r="B422" s="162" t="s">
        <v>1354</v>
      </c>
      <c r="C422" s="162" t="s">
        <v>1355</v>
      </c>
      <c r="D422" s="163">
        <v>36314</v>
      </c>
      <c r="E422" s="131" t="s">
        <v>2830</v>
      </c>
      <c r="F422" s="131">
        <v>41</v>
      </c>
      <c r="G422" s="120">
        <v>0</v>
      </c>
      <c r="H422" s="131">
        <v>2</v>
      </c>
      <c r="I422" s="120">
        <v>0</v>
      </c>
      <c r="J422" s="133" t="s">
        <v>853</v>
      </c>
      <c r="K422" s="133">
        <v>0</v>
      </c>
      <c r="L422" s="117">
        <v>66.599999999999994</v>
      </c>
      <c r="M422" s="133">
        <f t="shared" si="25"/>
        <v>25.599999999999994</v>
      </c>
      <c r="N422" s="157"/>
      <c r="O422" s="158"/>
      <c r="P422" s="158"/>
      <c r="Q422" s="158"/>
      <c r="R422" s="158"/>
      <c r="S422" s="158"/>
      <c r="T422" s="158"/>
      <c r="U422" s="158"/>
      <c r="V422" s="158"/>
      <c r="W422" s="158"/>
      <c r="X422" s="158"/>
      <c r="Y422" s="158"/>
      <c r="Z422" s="158"/>
      <c r="AA422" s="158"/>
    </row>
    <row r="423" spans="1:27" ht="15.75" customHeight="1" x14ac:dyDescent="0.55000000000000004">
      <c r="A423" s="162">
        <v>73</v>
      </c>
      <c r="B423" s="162" t="s">
        <v>1354</v>
      </c>
      <c r="C423" s="162" t="s">
        <v>1355</v>
      </c>
      <c r="D423" s="163">
        <v>36314</v>
      </c>
      <c r="E423" s="120" t="s">
        <v>2831</v>
      </c>
      <c r="F423" s="131">
        <v>29</v>
      </c>
      <c r="G423" s="120">
        <v>0</v>
      </c>
      <c r="H423" s="131">
        <v>0</v>
      </c>
      <c r="I423" s="120">
        <v>0</v>
      </c>
      <c r="J423" s="133" t="s">
        <v>853</v>
      </c>
      <c r="K423" s="133">
        <v>0</v>
      </c>
      <c r="L423" s="117">
        <v>68</v>
      </c>
      <c r="M423" s="133">
        <f t="shared" si="25"/>
        <v>39</v>
      </c>
      <c r="N423" s="157"/>
      <c r="O423" s="158"/>
      <c r="P423" s="158"/>
      <c r="Q423" s="158"/>
      <c r="R423" s="158"/>
      <c r="S423" s="158"/>
      <c r="T423" s="158"/>
      <c r="U423" s="158"/>
      <c r="V423" s="158"/>
      <c r="W423" s="158"/>
      <c r="X423" s="158"/>
      <c r="Y423" s="158"/>
      <c r="Z423" s="158"/>
      <c r="AA423" s="158"/>
    </row>
    <row r="424" spans="1:27" ht="15.75" customHeight="1" x14ac:dyDescent="0.55000000000000004">
      <c r="A424" s="162">
        <v>73</v>
      </c>
      <c r="B424" s="162" t="s">
        <v>1354</v>
      </c>
      <c r="C424" s="162" t="s">
        <v>1355</v>
      </c>
      <c r="D424" s="163">
        <v>36314</v>
      </c>
      <c r="E424" s="120" t="s">
        <v>2832</v>
      </c>
      <c r="F424" s="131">
        <v>60</v>
      </c>
      <c r="G424" s="120">
        <v>1</v>
      </c>
      <c r="H424" s="131">
        <v>0</v>
      </c>
      <c r="I424" s="120">
        <v>0</v>
      </c>
      <c r="J424" s="133" t="s">
        <v>853</v>
      </c>
      <c r="K424" s="133">
        <v>0</v>
      </c>
      <c r="L424" s="117">
        <v>72.2</v>
      </c>
      <c r="M424" s="133">
        <f t="shared" si="25"/>
        <v>12.200000000000003</v>
      </c>
      <c r="N424" s="157"/>
      <c r="O424" s="158"/>
      <c r="P424" s="158"/>
      <c r="Q424" s="158"/>
      <c r="R424" s="158"/>
      <c r="S424" s="158"/>
      <c r="T424" s="158"/>
      <c r="U424" s="158"/>
      <c r="V424" s="158"/>
      <c r="W424" s="158"/>
      <c r="X424" s="158"/>
      <c r="Y424" s="158"/>
      <c r="Z424" s="158"/>
      <c r="AA424" s="158"/>
    </row>
    <row r="425" spans="1:27" ht="15.75" customHeight="1" x14ac:dyDescent="0.55000000000000004">
      <c r="A425" s="169">
        <v>74</v>
      </c>
      <c r="B425" s="169" t="s">
        <v>1364</v>
      </c>
      <c r="C425" s="169" t="s">
        <v>913</v>
      </c>
      <c r="D425" s="170">
        <v>36368</v>
      </c>
      <c r="E425" s="120" t="s">
        <v>2833</v>
      </c>
      <c r="F425" s="131">
        <v>27</v>
      </c>
      <c r="G425" s="120">
        <v>1</v>
      </c>
      <c r="H425" s="131">
        <v>0</v>
      </c>
      <c r="I425" s="120">
        <v>1</v>
      </c>
      <c r="J425" s="133" t="s">
        <v>2362</v>
      </c>
      <c r="K425" s="133">
        <v>2</v>
      </c>
      <c r="L425" s="117">
        <v>75.599999999999994</v>
      </c>
      <c r="M425" s="133">
        <f t="shared" si="25"/>
        <v>48.599999999999994</v>
      </c>
      <c r="N425" s="157"/>
      <c r="O425" s="158"/>
      <c r="P425" s="158"/>
      <c r="Q425" s="158"/>
      <c r="R425" s="158"/>
      <c r="S425" s="158"/>
      <c r="T425" s="158"/>
      <c r="U425" s="158"/>
      <c r="V425" s="158"/>
      <c r="W425" s="158"/>
      <c r="X425" s="158"/>
      <c r="Y425" s="158"/>
      <c r="Z425" s="158"/>
      <c r="AA425" s="158"/>
    </row>
    <row r="426" spans="1:27" ht="15.75" customHeight="1" x14ac:dyDescent="0.55000000000000004">
      <c r="A426" s="169">
        <v>74</v>
      </c>
      <c r="B426" s="169" t="s">
        <v>1364</v>
      </c>
      <c r="C426" s="169" t="s">
        <v>913</v>
      </c>
      <c r="D426" s="170">
        <v>36369</v>
      </c>
      <c r="E426" s="120" t="s">
        <v>2834</v>
      </c>
      <c r="F426" s="131">
        <v>11</v>
      </c>
      <c r="G426" s="120">
        <v>0</v>
      </c>
      <c r="H426" s="131">
        <v>0</v>
      </c>
      <c r="I426" s="120">
        <v>1</v>
      </c>
      <c r="J426" s="133" t="s">
        <v>2811</v>
      </c>
      <c r="K426" s="133">
        <v>1</v>
      </c>
      <c r="L426" s="117">
        <v>72.7</v>
      </c>
      <c r="M426" s="133">
        <f t="shared" si="25"/>
        <v>61.7</v>
      </c>
      <c r="N426" s="157"/>
      <c r="O426" s="158"/>
      <c r="P426" s="158"/>
      <c r="Q426" s="158"/>
      <c r="R426" s="158"/>
      <c r="S426" s="158"/>
      <c r="T426" s="158"/>
      <c r="U426" s="158"/>
      <c r="V426" s="158"/>
      <c r="W426" s="158"/>
      <c r="X426" s="158"/>
      <c r="Y426" s="158"/>
      <c r="Z426" s="158"/>
      <c r="AA426" s="158"/>
    </row>
    <row r="427" spans="1:27" ht="15.75" customHeight="1" x14ac:dyDescent="0.55000000000000004">
      <c r="A427" s="169">
        <v>74</v>
      </c>
      <c r="B427" s="169" t="s">
        <v>1364</v>
      </c>
      <c r="C427" s="169" t="s">
        <v>913</v>
      </c>
      <c r="D427" s="170">
        <v>36369</v>
      </c>
      <c r="E427" s="120" t="s">
        <v>2835</v>
      </c>
      <c r="F427" s="131">
        <v>8</v>
      </c>
      <c r="G427" s="120">
        <v>1</v>
      </c>
      <c r="H427" s="131">
        <v>0</v>
      </c>
      <c r="I427" s="120">
        <v>1</v>
      </c>
      <c r="J427" s="133" t="s">
        <v>2836</v>
      </c>
      <c r="K427" s="133">
        <v>1</v>
      </c>
      <c r="L427" s="117">
        <v>79.400000000000006</v>
      </c>
      <c r="M427" s="133">
        <f t="shared" si="25"/>
        <v>71.400000000000006</v>
      </c>
      <c r="N427" s="157"/>
      <c r="O427" s="158"/>
      <c r="P427" s="158"/>
      <c r="Q427" s="158"/>
      <c r="R427" s="158"/>
      <c r="S427" s="158"/>
      <c r="T427" s="158"/>
      <c r="U427" s="158"/>
      <c r="V427" s="158"/>
      <c r="W427" s="158"/>
      <c r="X427" s="158"/>
      <c r="Y427" s="158"/>
      <c r="Z427" s="158"/>
      <c r="AA427" s="158"/>
    </row>
    <row r="428" spans="1:27" ht="15.75" customHeight="1" x14ac:dyDescent="0.55000000000000004">
      <c r="A428" s="169">
        <v>74</v>
      </c>
      <c r="B428" s="169" t="s">
        <v>1364</v>
      </c>
      <c r="C428" s="169" t="s">
        <v>913</v>
      </c>
      <c r="D428" s="170">
        <v>36370</v>
      </c>
      <c r="E428" s="120" t="s">
        <v>2837</v>
      </c>
      <c r="F428" s="131">
        <v>42</v>
      </c>
      <c r="G428" s="120">
        <v>0</v>
      </c>
      <c r="H428" s="120"/>
      <c r="I428" s="131">
        <v>2</v>
      </c>
      <c r="J428" s="133" t="s">
        <v>2838</v>
      </c>
      <c r="K428" s="133">
        <v>5</v>
      </c>
      <c r="L428" s="117">
        <v>66.599999999999994</v>
      </c>
      <c r="M428" s="133">
        <f t="shared" si="25"/>
        <v>24.599999999999994</v>
      </c>
      <c r="N428" s="157"/>
      <c r="O428" s="158"/>
      <c r="P428" s="158"/>
      <c r="Q428" s="158"/>
      <c r="R428" s="158"/>
      <c r="S428" s="158"/>
      <c r="T428" s="158"/>
      <c r="U428" s="158"/>
      <c r="V428" s="158"/>
      <c r="W428" s="158"/>
      <c r="X428" s="158"/>
      <c r="Y428" s="158"/>
      <c r="Z428" s="158"/>
      <c r="AA428" s="158"/>
    </row>
    <row r="429" spans="1:27" ht="15.75" customHeight="1" x14ac:dyDescent="0.55000000000000004">
      <c r="A429" s="169">
        <v>74</v>
      </c>
      <c r="B429" s="169" t="s">
        <v>1364</v>
      </c>
      <c r="C429" s="169" t="s">
        <v>913</v>
      </c>
      <c r="D429" s="170">
        <v>36370</v>
      </c>
      <c r="E429" s="120" t="s">
        <v>2839</v>
      </c>
      <c r="F429" s="131">
        <v>52</v>
      </c>
      <c r="G429" s="120">
        <v>0</v>
      </c>
      <c r="H429" s="131">
        <v>3</v>
      </c>
      <c r="I429" s="131">
        <v>2</v>
      </c>
      <c r="J429" s="133" t="s">
        <v>2838</v>
      </c>
      <c r="K429" s="133">
        <v>5</v>
      </c>
      <c r="L429" s="117">
        <v>65.599999999999994</v>
      </c>
      <c r="M429" s="133">
        <f t="shared" si="25"/>
        <v>13.599999999999994</v>
      </c>
      <c r="N429" s="157"/>
      <c r="O429" s="158"/>
      <c r="P429" s="158"/>
      <c r="Q429" s="158"/>
      <c r="R429" s="158"/>
      <c r="S429" s="158"/>
      <c r="T429" s="158"/>
      <c r="U429" s="158"/>
      <c r="V429" s="158"/>
      <c r="W429" s="158"/>
      <c r="X429" s="158"/>
      <c r="Y429" s="158"/>
      <c r="Z429" s="158"/>
      <c r="AA429" s="158"/>
    </row>
    <row r="430" spans="1:27" ht="15.75" customHeight="1" x14ac:dyDescent="0.55000000000000004">
      <c r="A430" s="169">
        <v>74</v>
      </c>
      <c r="B430" s="169" t="s">
        <v>1364</v>
      </c>
      <c r="C430" s="169" t="s">
        <v>913</v>
      </c>
      <c r="D430" s="170">
        <v>36370</v>
      </c>
      <c r="E430" s="120" t="s">
        <v>2840</v>
      </c>
      <c r="F430" s="131">
        <v>60</v>
      </c>
      <c r="G430" s="120">
        <v>0</v>
      </c>
      <c r="H430" s="120"/>
      <c r="I430" s="131">
        <v>2</v>
      </c>
      <c r="J430" s="133" t="s">
        <v>2838</v>
      </c>
      <c r="K430" s="133">
        <v>5</v>
      </c>
      <c r="L430" s="117">
        <v>65.599999999999994</v>
      </c>
      <c r="M430" s="133">
        <f t="shared" si="25"/>
        <v>5.5999999999999943</v>
      </c>
      <c r="N430" s="157"/>
      <c r="O430" s="158"/>
      <c r="P430" s="158"/>
      <c r="Q430" s="158"/>
      <c r="R430" s="158"/>
      <c r="S430" s="158"/>
      <c r="T430" s="158"/>
      <c r="U430" s="158"/>
      <c r="V430" s="158"/>
      <c r="W430" s="158"/>
      <c r="X430" s="158"/>
      <c r="Y430" s="158"/>
      <c r="Z430" s="158"/>
      <c r="AA430" s="158"/>
    </row>
    <row r="431" spans="1:27" ht="15.75" customHeight="1" x14ac:dyDescent="0.55000000000000004">
      <c r="A431" s="169">
        <v>74</v>
      </c>
      <c r="B431" s="169" t="s">
        <v>1364</v>
      </c>
      <c r="C431" s="169" t="s">
        <v>913</v>
      </c>
      <c r="D431" s="170">
        <v>36370</v>
      </c>
      <c r="E431" s="120" t="s">
        <v>2841</v>
      </c>
      <c r="F431" s="131">
        <v>38</v>
      </c>
      <c r="G431" s="120">
        <v>0</v>
      </c>
      <c r="H431" s="131">
        <v>0</v>
      </c>
      <c r="I431" s="131">
        <v>1</v>
      </c>
      <c r="J431" s="133" t="s">
        <v>2842</v>
      </c>
      <c r="K431" s="133">
        <v>5</v>
      </c>
      <c r="L431" s="117">
        <v>67.400000000000006</v>
      </c>
      <c r="M431" s="133">
        <f t="shared" si="25"/>
        <v>29.400000000000006</v>
      </c>
      <c r="N431" s="157"/>
      <c r="O431" s="158"/>
      <c r="P431" s="158"/>
      <c r="Q431" s="158"/>
      <c r="R431" s="158"/>
      <c r="S431" s="158"/>
      <c r="T431" s="158"/>
      <c r="U431" s="158"/>
      <c r="V431" s="158"/>
      <c r="W431" s="158"/>
      <c r="X431" s="158"/>
      <c r="Y431" s="158"/>
      <c r="Z431" s="158"/>
      <c r="AA431" s="158"/>
    </row>
    <row r="432" spans="1:27" ht="15.75" customHeight="1" x14ac:dyDescent="0.55000000000000004">
      <c r="A432" s="169">
        <v>74</v>
      </c>
      <c r="B432" s="169" t="s">
        <v>1364</v>
      </c>
      <c r="C432" s="169" t="s">
        <v>913</v>
      </c>
      <c r="D432" s="170">
        <v>36370</v>
      </c>
      <c r="E432" s="120" t="s">
        <v>2843</v>
      </c>
      <c r="F432" s="131">
        <v>45</v>
      </c>
      <c r="G432" s="120">
        <v>0</v>
      </c>
      <c r="H432" s="131">
        <v>4</v>
      </c>
      <c r="I432" s="131">
        <v>2</v>
      </c>
      <c r="J432" s="133" t="s">
        <v>2838</v>
      </c>
      <c r="K432" s="133">
        <v>5</v>
      </c>
      <c r="L432" s="117">
        <v>65.599999999999994</v>
      </c>
      <c r="M432" s="133">
        <f t="shared" si="25"/>
        <v>20.599999999999994</v>
      </c>
      <c r="N432" s="157"/>
      <c r="O432" s="158"/>
      <c r="P432" s="158"/>
      <c r="Q432" s="158"/>
      <c r="R432" s="158"/>
      <c r="S432" s="158"/>
      <c r="T432" s="158"/>
      <c r="U432" s="158"/>
      <c r="V432" s="158"/>
      <c r="W432" s="158"/>
      <c r="X432" s="158"/>
      <c r="Y432" s="158"/>
      <c r="Z432" s="158"/>
      <c r="AA432" s="158"/>
    </row>
    <row r="433" spans="1:27" ht="15.75" customHeight="1" x14ac:dyDescent="0.55000000000000004">
      <c r="A433" s="169">
        <v>74</v>
      </c>
      <c r="B433" s="169" t="s">
        <v>1364</v>
      </c>
      <c r="C433" s="169" t="s">
        <v>913</v>
      </c>
      <c r="D433" s="170">
        <v>36370</v>
      </c>
      <c r="E433" s="120" t="s">
        <v>2844</v>
      </c>
      <c r="F433" s="131">
        <v>44</v>
      </c>
      <c r="G433" s="120">
        <v>1</v>
      </c>
      <c r="H433" s="131">
        <v>3</v>
      </c>
      <c r="I433" s="131">
        <v>0</v>
      </c>
      <c r="J433" s="133" t="s">
        <v>853</v>
      </c>
      <c r="K433" s="133">
        <v>0</v>
      </c>
      <c r="L433" s="117">
        <v>71.099999999999994</v>
      </c>
      <c r="M433" s="133">
        <f t="shared" si="25"/>
        <v>27.099999999999994</v>
      </c>
      <c r="N433" s="157"/>
      <c r="O433" s="158"/>
      <c r="P433" s="158"/>
      <c r="Q433" s="158"/>
      <c r="R433" s="158"/>
      <c r="S433" s="158"/>
      <c r="T433" s="158"/>
      <c r="U433" s="158"/>
      <c r="V433" s="158"/>
      <c r="W433" s="158"/>
      <c r="X433" s="158"/>
      <c r="Y433" s="158"/>
      <c r="Z433" s="158"/>
      <c r="AA433" s="158"/>
    </row>
    <row r="434" spans="1:27" ht="15.75" customHeight="1" x14ac:dyDescent="0.55000000000000004">
      <c r="A434" s="169">
        <v>74</v>
      </c>
      <c r="B434" s="169" t="s">
        <v>1364</v>
      </c>
      <c r="C434" s="169" t="s">
        <v>913</v>
      </c>
      <c r="D434" s="170">
        <v>36370</v>
      </c>
      <c r="E434" s="120" t="s">
        <v>2845</v>
      </c>
      <c r="F434" s="131">
        <v>58</v>
      </c>
      <c r="G434" s="120">
        <v>0</v>
      </c>
      <c r="H434" s="120"/>
      <c r="I434" s="131">
        <v>2</v>
      </c>
      <c r="J434" s="133" t="s">
        <v>2838</v>
      </c>
      <c r="K434" s="133">
        <v>5</v>
      </c>
      <c r="L434" s="117">
        <v>65.599999999999994</v>
      </c>
      <c r="M434" s="133">
        <f t="shared" si="25"/>
        <v>7.5999999999999943</v>
      </c>
      <c r="N434" s="157"/>
      <c r="O434" s="158"/>
      <c r="P434" s="158"/>
      <c r="Q434" s="158"/>
      <c r="R434" s="158"/>
      <c r="S434" s="158"/>
      <c r="T434" s="158"/>
      <c r="U434" s="158"/>
      <c r="V434" s="158"/>
      <c r="W434" s="158"/>
      <c r="X434" s="158"/>
      <c r="Y434" s="158"/>
      <c r="Z434" s="158"/>
      <c r="AA434" s="158"/>
    </row>
    <row r="435" spans="1:27" ht="15.75" customHeight="1" x14ac:dyDescent="0.55000000000000004">
      <c r="A435" s="169">
        <v>74</v>
      </c>
      <c r="B435" s="169" t="s">
        <v>1364</v>
      </c>
      <c r="C435" s="169" t="s">
        <v>913</v>
      </c>
      <c r="D435" s="170">
        <v>36370</v>
      </c>
      <c r="E435" s="120" t="s">
        <v>2846</v>
      </c>
      <c r="F435" s="131">
        <v>48</v>
      </c>
      <c r="G435" s="120">
        <v>0</v>
      </c>
      <c r="H435" s="131">
        <v>0</v>
      </c>
      <c r="I435" s="131">
        <v>2</v>
      </c>
      <c r="J435" s="133" t="s">
        <v>2838</v>
      </c>
      <c r="K435" s="133">
        <v>5</v>
      </c>
      <c r="L435" s="117">
        <v>66.5</v>
      </c>
      <c r="M435" s="133">
        <f t="shared" si="25"/>
        <v>18.5</v>
      </c>
      <c r="N435" s="157"/>
      <c r="O435" s="158"/>
      <c r="P435" s="158"/>
      <c r="Q435" s="158"/>
      <c r="R435" s="158"/>
      <c r="S435" s="158"/>
      <c r="T435" s="158"/>
      <c r="U435" s="158"/>
      <c r="V435" s="158"/>
      <c r="W435" s="158"/>
      <c r="X435" s="158"/>
      <c r="Y435" s="158"/>
      <c r="Z435" s="158"/>
      <c r="AA435" s="158"/>
    </row>
    <row r="436" spans="1:27" ht="15.75" customHeight="1" x14ac:dyDescent="0.55000000000000004">
      <c r="A436" s="169">
        <v>74</v>
      </c>
      <c r="B436" s="169" t="s">
        <v>1364</v>
      </c>
      <c r="C436" s="169" t="s">
        <v>913</v>
      </c>
      <c r="D436" s="170">
        <v>36370</v>
      </c>
      <c r="E436" s="120" t="s">
        <v>2847</v>
      </c>
      <c r="F436" s="131">
        <v>30</v>
      </c>
      <c r="G436" s="120">
        <v>0</v>
      </c>
      <c r="H436" s="120"/>
      <c r="I436" s="131">
        <v>2</v>
      </c>
      <c r="J436" s="133" t="s">
        <v>2838</v>
      </c>
      <c r="K436" s="133">
        <v>5</v>
      </c>
      <c r="L436" s="117">
        <v>67.099999999999994</v>
      </c>
      <c r="M436" s="133">
        <f t="shared" si="25"/>
        <v>37.099999999999994</v>
      </c>
      <c r="N436" s="157"/>
      <c r="O436" s="158"/>
      <c r="P436" s="158"/>
      <c r="Q436" s="158"/>
      <c r="R436" s="158"/>
      <c r="S436" s="158"/>
      <c r="T436" s="158"/>
      <c r="U436" s="158"/>
      <c r="V436" s="158"/>
      <c r="W436" s="158"/>
      <c r="X436" s="158"/>
      <c r="Y436" s="158"/>
      <c r="Z436" s="158"/>
      <c r="AA436" s="158"/>
    </row>
    <row r="437" spans="1:27" ht="15.75" customHeight="1" x14ac:dyDescent="0.55000000000000004">
      <c r="A437" s="175">
        <v>75</v>
      </c>
      <c r="B437" s="175" t="s">
        <v>1371</v>
      </c>
      <c r="C437" s="175" t="s">
        <v>1372</v>
      </c>
      <c r="D437" s="176">
        <v>36418</v>
      </c>
      <c r="E437" s="120" t="s">
        <v>2848</v>
      </c>
      <c r="F437" s="131">
        <v>14</v>
      </c>
      <c r="G437" s="120">
        <v>1</v>
      </c>
      <c r="H437" s="131">
        <v>0</v>
      </c>
      <c r="I437" s="120">
        <v>0</v>
      </c>
      <c r="J437" s="133" t="s">
        <v>853</v>
      </c>
      <c r="K437" s="133">
        <v>0</v>
      </c>
      <c r="L437" s="117">
        <v>79.400000000000006</v>
      </c>
      <c r="M437" s="133">
        <f t="shared" si="25"/>
        <v>65.400000000000006</v>
      </c>
      <c r="N437" s="157"/>
      <c r="O437" s="158"/>
      <c r="P437" s="158"/>
      <c r="Q437" s="158"/>
      <c r="R437" s="158"/>
      <c r="S437" s="158"/>
      <c r="T437" s="158"/>
      <c r="U437" s="158"/>
      <c r="V437" s="158"/>
      <c r="W437" s="158"/>
      <c r="X437" s="158"/>
      <c r="Y437" s="158"/>
      <c r="Z437" s="158"/>
      <c r="AA437" s="158"/>
    </row>
    <row r="438" spans="1:27" ht="15.75" customHeight="1" x14ac:dyDescent="0.55000000000000004">
      <c r="A438" s="175">
        <v>75</v>
      </c>
      <c r="B438" s="175" t="s">
        <v>1371</v>
      </c>
      <c r="C438" s="175" t="s">
        <v>1372</v>
      </c>
      <c r="D438" s="176">
        <v>36418</v>
      </c>
      <c r="E438" s="120" t="s">
        <v>2849</v>
      </c>
      <c r="F438" s="131">
        <v>23</v>
      </c>
      <c r="G438" s="120">
        <v>0</v>
      </c>
      <c r="H438" s="161" t="str">
        <f>HYPERLINK("https://www.findagrave.com/memorial/50056121/shawn-christopher-brown","0")</f>
        <v>0</v>
      </c>
      <c r="I438" s="120">
        <v>0</v>
      </c>
      <c r="J438" s="133" t="s">
        <v>853</v>
      </c>
      <c r="K438" s="133">
        <v>0</v>
      </c>
      <c r="L438" s="117">
        <v>70.7</v>
      </c>
      <c r="M438" s="133">
        <f t="shared" si="25"/>
        <v>47.7</v>
      </c>
      <c r="N438" s="157"/>
      <c r="O438" s="158"/>
      <c r="P438" s="158"/>
      <c r="Q438" s="158"/>
      <c r="R438" s="158"/>
      <c r="S438" s="158"/>
      <c r="T438" s="158"/>
      <c r="U438" s="158"/>
      <c r="V438" s="158"/>
      <c r="W438" s="158"/>
      <c r="X438" s="158"/>
      <c r="Y438" s="158"/>
      <c r="Z438" s="158"/>
      <c r="AA438" s="158"/>
    </row>
    <row r="439" spans="1:27" ht="15.75" customHeight="1" x14ac:dyDescent="0.55000000000000004">
      <c r="A439" s="175">
        <v>75</v>
      </c>
      <c r="B439" s="175" t="s">
        <v>1371</v>
      </c>
      <c r="C439" s="175" t="s">
        <v>1372</v>
      </c>
      <c r="D439" s="176">
        <v>36418</v>
      </c>
      <c r="E439" s="120" t="s">
        <v>2850</v>
      </c>
      <c r="F439" s="131">
        <v>36</v>
      </c>
      <c r="G439" s="120">
        <v>1</v>
      </c>
      <c r="H439" s="161" t="str">
        <f>HYPERLINK("https://www.findagrave.com/memorial/207376684/sydney-browning","0")</f>
        <v>0</v>
      </c>
      <c r="I439" s="120">
        <v>0</v>
      </c>
      <c r="J439" s="133" t="s">
        <v>853</v>
      </c>
      <c r="K439" s="133">
        <v>0</v>
      </c>
      <c r="L439" s="117">
        <v>74.099999999999994</v>
      </c>
      <c r="M439" s="133">
        <f t="shared" si="25"/>
        <v>38.099999999999994</v>
      </c>
      <c r="N439" s="157"/>
      <c r="O439" s="158"/>
      <c r="P439" s="158"/>
      <c r="Q439" s="158"/>
      <c r="R439" s="158"/>
      <c r="S439" s="158"/>
      <c r="T439" s="158"/>
      <c r="U439" s="158"/>
      <c r="V439" s="158"/>
      <c r="W439" s="158"/>
      <c r="X439" s="158"/>
      <c r="Y439" s="158"/>
      <c r="Z439" s="158"/>
      <c r="AA439" s="158"/>
    </row>
    <row r="440" spans="1:27" ht="15.75" customHeight="1" x14ac:dyDescent="0.55000000000000004">
      <c r="A440" s="175">
        <v>75</v>
      </c>
      <c r="B440" s="175" t="s">
        <v>1371</v>
      </c>
      <c r="C440" s="175" t="s">
        <v>1372</v>
      </c>
      <c r="D440" s="176">
        <v>36418</v>
      </c>
      <c r="E440" s="120" t="s">
        <v>2851</v>
      </c>
      <c r="F440" s="131">
        <v>14</v>
      </c>
      <c r="G440" s="120">
        <v>0</v>
      </c>
      <c r="H440" s="131">
        <v>0</v>
      </c>
      <c r="I440" s="120">
        <v>0</v>
      </c>
      <c r="J440" s="133" t="s">
        <v>853</v>
      </c>
      <c r="K440" s="133">
        <v>0</v>
      </c>
      <c r="L440" s="117">
        <v>72.7</v>
      </c>
      <c r="M440" s="133">
        <f t="shared" si="25"/>
        <v>58.7</v>
      </c>
      <c r="N440" s="157"/>
      <c r="O440" s="158"/>
      <c r="P440" s="158"/>
      <c r="Q440" s="158"/>
      <c r="R440" s="158"/>
      <c r="S440" s="158"/>
      <c r="T440" s="158"/>
      <c r="U440" s="158"/>
      <c r="V440" s="158"/>
      <c r="W440" s="158"/>
      <c r="X440" s="158"/>
      <c r="Y440" s="158"/>
      <c r="Z440" s="158"/>
      <c r="AA440" s="158"/>
    </row>
    <row r="441" spans="1:27" ht="15.75" customHeight="1" x14ac:dyDescent="0.55000000000000004">
      <c r="A441" s="175">
        <v>75</v>
      </c>
      <c r="B441" s="175" t="s">
        <v>1371</v>
      </c>
      <c r="C441" s="175" t="s">
        <v>1372</v>
      </c>
      <c r="D441" s="176">
        <v>36418</v>
      </c>
      <c r="E441" s="120" t="s">
        <v>2852</v>
      </c>
      <c r="F441" s="131">
        <v>14</v>
      </c>
      <c r="G441" s="120">
        <v>1</v>
      </c>
      <c r="H441" s="131">
        <v>0</v>
      </c>
      <c r="I441" s="120">
        <v>0</v>
      </c>
      <c r="J441" s="133" t="s">
        <v>853</v>
      </c>
      <c r="K441" s="133">
        <v>0</v>
      </c>
      <c r="L441" s="117">
        <v>79.400000000000006</v>
      </c>
      <c r="M441" s="133">
        <f t="shared" si="25"/>
        <v>65.400000000000006</v>
      </c>
      <c r="N441" s="157"/>
      <c r="O441" s="158"/>
      <c r="P441" s="158"/>
      <c r="Q441" s="158"/>
      <c r="R441" s="158"/>
      <c r="S441" s="158"/>
      <c r="T441" s="158"/>
      <c r="U441" s="158"/>
      <c r="V441" s="158"/>
      <c r="W441" s="158"/>
      <c r="X441" s="158"/>
      <c r="Y441" s="158"/>
      <c r="Z441" s="158"/>
      <c r="AA441" s="158"/>
    </row>
    <row r="442" spans="1:27" ht="15.75" customHeight="1" x14ac:dyDescent="0.55000000000000004">
      <c r="A442" s="175">
        <v>75</v>
      </c>
      <c r="B442" s="175" t="s">
        <v>1371</v>
      </c>
      <c r="C442" s="175" t="s">
        <v>1372</v>
      </c>
      <c r="D442" s="176">
        <v>36418</v>
      </c>
      <c r="E442" s="120" t="s">
        <v>2853</v>
      </c>
      <c r="F442" s="131">
        <v>23</v>
      </c>
      <c r="G442" s="120">
        <v>1</v>
      </c>
      <c r="H442" s="131">
        <v>0</v>
      </c>
      <c r="I442" s="120">
        <v>0</v>
      </c>
      <c r="J442" s="133" t="s">
        <v>853</v>
      </c>
      <c r="K442" s="133">
        <v>0</v>
      </c>
      <c r="L442" s="117">
        <v>78.099999999999994</v>
      </c>
      <c r="M442" s="133">
        <f t="shared" si="25"/>
        <v>55.099999999999994</v>
      </c>
      <c r="N442" s="157"/>
      <c r="O442" s="158"/>
      <c r="P442" s="158"/>
      <c r="Q442" s="158"/>
      <c r="R442" s="158"/>
      <c r="S442" s="158"/>
      <c r="T442" s="158"/>
      <c r="U442" s="158"/>
      <c r="V442" s="158"/>
      <c r="W442" s="158"/>
      <c r="X442" s="158"/>
      <c r="Y442" s="158"/>
      <c r="Z442" s="158"/>
      <c r="AA442" s="158"/>
    </row>
    <row r="443" spans="1:27" ht="15.75" customHeight="1" x14ac:dyDescent="0.55000000000000004">
      <c r="A443" s="175">
        <v>75</v>
      </c>
      <c r="B443" s="175" t="s">
        <v>1371</v>
      </c>
      <c r="C443" s="175" t="s">
        <v>1372</v>
      </c>
      <c r="D443" s="176">
        <v>36418</v>
      </c>
      <c r="E443" s="120" t="s">
        <v>2854</v>
      </c>
      <c r="F443" s="131">
        <v>17</v>
      </c>
      <c r="G443" s="120">
        <v>0</v>
      </c>
      <c r="H443" s="131">
        <v>0</v>
      </c>
      <c r="I443" s="120">
        <v>0</v>
      </c>
      <c r="J443" s="133" t="s">
        <v>853</v>
      </c>
      <c r="K443" s="133">
        <v>0</v>
      </c>
      <c r="L443" s="117">
        <v>70.7</v>
      </c>
      <c r="M443" s="133">
        <f t="shared" si="25"/>
        <v>53.7</v>
      </c>
      <c r="N443" s="157"/>
      <c r="O443" s="158"/>
      <c r="P443" s="158"/>
      <c r="Q443" s="158"/>
      <c r="R443" s="158"/>
      <c r="S443" s="158"/>
      <c r="T443" s="158"/>
      <c r="U443" s="158"/>
      <c r="V443" s="158"/>
      <c r="W443" s="158"/>
      <c r="X443" s="158"/>
      <c r="Y443" s="158"/>
      <c r="Z443" s="158"/>
      <c r="AA443" s="158"/>
    </row>
    <row r="444" spans="1:27" ht="15.75" customHeight="1" x14ac:dyDescent="0.55000000000000004">
      <c r="A444" s="159">
        <v>76</v>
      </c>
      <c r="B444" s="159" t="s">
        <v>1378</v>
      </c>
      <c r="C444" s="159" t="s">
        <v>1379</v>
      </c>
      <c r="D444" s="160">
        <v>36466</v>
      </c>
      <c r="E444" s="120" t="s">
        <v>2855</v>
      </c>
      <c r="F444" s="131">
        <v>33</v>
      </c>
      <c r="G444" s="120">
        <v>0</v>
      </c>
      <c r="H444" s="131">
        <v>3</v>
      </c>
      <c r="I444" s="120">
        <v>1</v>
      </c>
      <c r="J444" s="133" t="s">
        <v>2387</v>
      </c>
      <c r="K444" s="133">
        <v>3</v>
      </c>
      <c r="L444" s="117">
        <v>67.099999999999994</v>
      </c>
      <c r="M444" s="133">
        <f t="shared" si="25"/>
        <v>34.099999999999994</v>
      </c>
      <c r="N444" s="157"/>
      <c r="O444" s="158"/>
      <c r="P444" s="158"/>
      <c r="Q444" s="158"/>
      <c r="R444" s="158"/>
      <c r="S444" s="158"/>
      <c r="T444" s="158"/>
      <c r="U444" s="158"/>
      <c r="V444" s="158"/>
      <c r="W444" s="158"/>
      <c r="X444" s="158"/>
      <c r="Y444" s="158"/>
      <c r="Z444" s="158"/>
      <c r="AA444" s="158"/>
    </row>
    <row r="445" spans="1:27" ht="15.75" customHeight="1" x14ac:dyDescent="0.55000000000000004">
      <c r="A445" s="159">
        <v>76</v>
      </c>
      <c r="B445" s="159" t="s">
        <v>1378</v>
      </c>
      <c r="C445" s="159" t="s">
        <v>1379</v>
      </c>
      <c r="D445" s="160">
        <v>36466</v>
      </c>
      <c r="E445" s="120" t="s">
        <v>2856</v>
      </c>
      <c r="F445" s="131">
        <v>41</v>
      </c>
      <c r="G445" s="120">
        <v>0</v>
      </c>
      <c r="H445" s="131">
        <v>3</v>
      </c>
      <c r="I445" s="120">
        <v>1</v>
      </c>
      <c r="J445" s="133" t="s">
        <v>2387</v>
      </c>
      <c r="K445" s="133">
        <v>3</v>
      </c>
      <c r="L445" s="117">
        <v>66.599999999999994</v>
      </c>
      <c r="M445" s="133">
        <f t="shared" si="25"/>
        <v>25.599999999999994</v>
      </c>
      <c r="N445" s="157"/>
      <c r="O445" s="158"/>
      <c r="P445" s="158"/>
      <c r="Q445" s="158"/>
      <c r="R445" s="158"/>
      <c r="S445" s="158"/>
      <c r="T445" s="158"/>
      <c r="U445" s="158"/>
      <c r="V445" s="158"/>
      <c r="W445" s="158"/>
      <c r="X445" s="158"/>
      <c r="Y445" s="158"/>
      <c r="Z445" s="158"/>
      <c r="AA445" s="158"/>
    </row>
    <row r="446" spans="1:27" ht="15.75" customHeight="1" x14ac:dyDescent="0.55000000000000004">
      <c r="A446" s="159">
        <v>76</v>
      </c>
      <c r="B446" s="159" t="s">
        <v>1378</v>
      </c>
      <c r="C446" s="159" t="s">
        <v>1379</v>
      </c>
      <c r="D446" s="160">
        <v>36466</v>
      </c>
      <c r="E446" s="120" t="s">
        <v>2857</v>
      </c>
      <c r="F446" s="131">
        <v>50</v>
      </c>
      <c r="G446" s="120">
        <v>0</v>
      </c>
      <c r="H446" s="131">
        <v>3</v>
      </c>
      <c r="I446" s="120">
        <v>1</v>
      </c>
      <c r="J446" s="133" t="s">
        <v>2387</v>
      </c>
      <c r="K446" s="133">
        <v>3</v>
      </c>
      <c r="L446" s="117">
        <v>65.599999999999994</v>
      </c>
      <c r="M446" s="133">
        <f t="shared" si="25"/>
        <v>15.599999999999994</v>
      </c>
      <c r="N446" s="157"/>
      <c r="O446" s="158"/>
      <c r="P446" s="158"/>
      <c r="Q446" s="158"/>
      <c r="R446" s="158"/>
      <c r="S446" s="158"/>
      <c r="T446" s="158"/>
      <c r="U446" s="158"/>
      <c r="V446" s="158"/>
      <c r="W446" s="158"/>
      <c r="X446" s="158"/>
      <c r="Y446" s="158"/>
      <c r="Z446" s="158"/>
      <c r="AA446" s="158"/>
    </row>
    <row r="447" spans="1:27" ht="15.75" customHeight="1" x14ac:dyDescent="0.55000000000000004">
      <c r="A447" s="159">
        <v>76</v>
      </c>
      <c r="B447" s="159" t="s">
        <v>1378</v>
      </c>
      <c r="C447" s="159" t="s">
        <v>1379</v>
      </c>
      <c r="D447" s="160">
        <v>36466</v>
      </c>
      <c r="E447" s="120" t="s">
        <v>2858</v>
      </c>
      <c r="F447" s="131">
        <v>54</v>
      </c>
      <c r="G447" s="120">
        <v>0</v>
      </c>
      <c r="H447" s="131">
        <v>3</v>
      </c>
      <c r="I447" s="120">
        <v>1</v>
      </c>
      <c r="J447" s="133" t="s">
        <v>2387</v>
      </c>
      <c r="K447" s="133">
        <v>3</v>
      </c>
      <c r="L447" s="117">
        <v>65.599999999999994</v>
      </c>
      <c r="M447" s="133">
        <f t="shared" si="25"/>
        <v>11.599999999999994</v>
      </c>
      <c r="N447" s="157"/>
      <c r="O447" s="158"/>
      <c r="P447" s="158"/>
      <c r="Q447" s="158"/>
      <c r="R447" s="158"/>
      <c r="S447" s="158"/>
      <c r="T447" s="158"/>
      <c r="U447" s="158"/>
      <c r="V447" s="158"/>
      <c r="W447" s="158"/>
      <c r="X447" s="158"/>
      <c r="Y447" s="158"/>
      <c r="Z447" s="158"/>
      <c r="AA447" s="158"/>
    </row>
    <row r="448" spans="1:27" ht="15.75" customHeight="1" x14ac:dyDescent="0.55000000000000004">
      <c r="A448" s="159">
        <v>76</v>
      </c>
      <c r="B448" s="159" t="s">
        <v>1378</v>
      </c>
      <c r="C448" s="159" t="s">
        <v>1379</v>
      </c>
      <c r="D448" s="160">
        <v>36466</v>
      </c>
      <c r="E448" s="120" t="s">
        <v>2859</v>
      </c>
      <c r="F448" s="131">
        <v>58</v>
      </c>
      <c r="G448" s="120">
        <v>0</v>
      </c>
      <c r="H448" s="131">
        <v>3</v>
      </c>
      <c r="I448" s="120">
        <v>1</v>
      </c>
      <c r="J448" s="133" t="s">
        <v>2387</v>
      </c>
      <c r="K448" s="133">
        <v>3</v>
      </c>
      <c r="L448" s="117">
        <v>65.599999999999994</v>
      </c>
      <c r="M448" s="133">
        <f t="shared" si="25"/>
        <v>7.5999999999999943</v>
      </c>
      <c r="N448" s="157"/>
      <c r="O448" s="158"/>
      <c r="P448" s="158"/>
      <c r="Q448" s="158"/>
      <c r="R448" s="158"/>
      <c r="S448" s="158"/>
      <c r="T448" s="158"/>
      <c r="U448" s="158"/>
      <c r="V448" s="158"/>
      <c r="W448" s="158"/>
      <c r="X448" s="158"/>
      <c r="Y448" s="158"/>
      <c r="Z448" s="158"/>
      <c r="AA448" s="158"/>
    </row>
    <row r="449" spans="1:27" ht="15.75" customHeight="1" x14ac:dyDescent="0.55000000000000004">
      <c r="A449" s="159">
        <v>76</v>
      </c>
      <c r="B449" s="159" t="s">
        <v>1378</v>
      </c>
      <c r="C449" s="159" t="s">
        <v>1379</v>
      </c>
      <c r="D449" s="160">
        <v>36466</v>
      </c>
      <c r="E449" s="120" t="s">
        <v>2860</v>
      </c>
      <c r="F449" s="131">
        <v>46</v>
      </c>
      <c r="G449" s="120">
        <v>0</v>
      </c>
      <c r="H449" s="131">
        <v>3</v>
      </c>
      <c r="I449" s="120">
        <v>1</v>
      </c>
      <c r="J449" s="133" t="s">
        <v>2387</v>
      </c>
      <c r="K449" s="133">
        <v>3</v>
      </c>
      <c r="L449" s="117">
        <v>65.599999999999994</v>
      </c>
      <c r="M449" s="133">
        <f t="shared" si="25"/>
        <v>19.599999999999994</v>
      </c>
      <c r="N449" s="157"/>
      <c r="O449" s="158"/>
      <c r="P449" s="158"/>
      <c r="Q449" s="158"/>
      <c r="R449" s="158"/>
      <c r="S449" s="158"/>
      <c r="T449" s="158"/>
      <c r="U449" s="158"/>
      <c r="V449" s="158"/>
      <c r="W449" s="158"/>
      <c r="X449" s="158"/>
      <c r="Y449" s="158"/>
      <c r="Z449" s="158"/>
      <c r="AA449" s="158"/>
    </row>
    <row r="450" spans="1:27" ht="15.75" customHeight="1" x14ac:dyDescent="0.55000000000000004">
      <c r="A450" s="159">
        <v>76</v>
      </c>
      <c r="B450" s="159" t="s">
        <v>1378</v>
      </c>
      <c r="C450" s="159" t="s">
        <v>1379</v>
      </c>
      <c r="D450" s="160">
        <v>36466</v>
      </c>
      <c r="E450" s="120" t="s">
        <v>2861</v>
      </c>
      <c r="F450" s="131">
        <v>36</v>
      </c>
      <c r="G450" s="120">
        <v>0</v>
      </c>
      <c r="H450" s="131">
        <v>3</v>
      </c>
      <c r="I450" s="120">
        <v>1</v>
      </c>
      <c r="J450" s="133" t="s">
        <v>2387</v>
      </c>
      <c r="K450" s="133">
        <v>3</v>
      </c>
      <c r="L450" s="117">
        <v>66.599999999999994</v>
      </c>
      <c r="M450" s="133">
        <f t="shared" si="25"/>
        <v>30.599999999999994</v>
      </c>
      <c r="N450" s="157"/>
      <c r="O450" s="158"/>
      <c r="P450" s="158"/>
      <c r="Q450" s="158"/>
      <c r="R450" s="158"/>
      <c r="S450" s="158"/>
      <c r="T450" s="158"/>
      <c r="U450" s="158"/>
      <c r="V450" s="158"/>
      <c r="W450" s="158"/>
      <c r="X450" s="158"/>
      <c r="Y450" s="158"/>
      <c r="Z450" s="158"/>
      <c r="AA450" s="158"/>
    </row>
    <row r="451" spans="1:27" ht="15.75" customHeight="1" x14ac:dyDescent="0.55000000000000004">
      <c r="A451" s="173">
        <v>77</v>
      </c>
      <c r="B451" s="173" t="s">
        <v>1386</v>
      </c>
      <c r="C451" s="173" t="s">
        <v>1387</v>
      </c>
      <c r="D451" s="174">
        <v>36524</v>
      </c>
      <c r="E451" s="120" t="s">
        <v>2862</v>
      </c>
      <c r="F451" s="131">
        <v>40</v>
      </c>
      <c r="G451" s="120">
        <v>0</v>
      </c>
      <c r="H451" s="120">
        <v>2</v>
      </c>
      <c r="I451" s="120">
        <v>1</v>
      </c>
      <c r="J451" s="133" t="s">
        <v>2387</v>
      </c>
      <c r="K451" s="133">
        <v>3</v>
      </c>
      <c r="L451" s="117">
        <v>66.599999999999994</v>
      </c>
      <c r="M451" s="133">
        <f t="shared" si="25"/>
        <v>26.599999999999994</v>
      </c>
      <c r="N451" s="157"/>
      <c r="O451" s="158"/>
      <c r="P451" s="158"/>
      <c r="Q451" s="158"/>
      <c r="R451" s="158"/>
      <c r="S451" s="158"/>
      <c r="T451" s="158"/>
      <c r="U451" s="158"/>
      <c r="V451" s="158"/>
      <c r="W451" s="158"/>
      <c r="X451" s="158"/>
      <c r="Y451" s="158"/>
      <c r="Z451" s="158"/>
      <c r="AA451" s="158"/>
    </row>
    <row r="452" spans="1:27" ht="15.75" customHeight="1" x14ac:dyDescent="0.55000000000000004">
      <c r="A452" s="173">
        <v>77</v>
      </c>
      <c r="B452" s="173" t="s">
        <v>1386</v>
      </c>
      <c r="C452" s="173" t="s">
        <v>1387</v>
      </c>
      <c r="D452" s="174">
        <v>36524</v>
      </c>
      <c r="E452" s="120" t="s">
        <v>2863</v>
      </c>
      <c r="F452" s="131">
        <v>55</v>
      </c>
      <c r="G452" s="120">
        <v>1</v>
      </c>
      <c r="H452" s="120"/>
      <c r="I452" s="120">
        <v>1</v>
      </c>
      <c r="J452" s="133" t="s">
        <v>2387</v>
      </c>
      <c r="K452" s="133">
        <v>3</v>
      </c>
      <c r="L452" s="117">
        <v>71.099999999999994</v>
      </c>
      <c r="M452" s="133">
        <f t="shared" si="25"/>
        <v>16.099999999999994</v>
      </c>
      <c r="N452" s="157"/>
      <c r="O452" s="158"/>
      <c r="P452" s="158"/>
      <c r="Q452" s="158"/>
      <c r="R452" s="158"/>
      <c r="S452" s="158"/>
      <c r="T452" s="158"/>
      <c r="U452" s="158"/>
      <c r="V452" s="158"/>
      <c r="W452" s="158"/>
      <c r="X452" s="158"/>
      <c r="Y452" s="158"/>
      <c r="Z452" s="158"/>
      <c r="AA452" s="158"/>
    </row>
    <row r="453" spans="1:27" ht="15.75" customHeight="1" x14ac:dyDescent="0.55000000000000004">
      <c r="A453" s="173">
        <v>77</v>
      </c>
      <c r="B453" s="173" t="s">
        <v>1386</v>
      </c>
      <c r="C453" s="173" t="s">
        <v>1387</v>
      </c>
      <c r="D453" s="174">
        <v>36524</v>
      </c>
      <c r="E453" s="120" t="s">
        <v>2864</v>
      </c>
      <c r="F453" s="131">
        <v>43</v>
      </c>
      <c r="G453" s="120">
        <v>0</v>
      </c>
      <c r="H453" s="120"/>
      <c r="I453" s="120">
        <v>1</v>
      </c>
      <c r="J453" s="133" t="s">
        <v>2387</v>
      </c>
      <c r="K453" s="133">
        <v>3</v>
      </c>
      <c r="L453" s="117">
        <v>66.599999999999994</v>
      </c>
      <c r="M453" s="133">
        <f t="shared" si="25"/>
        <v>23.599999999999994</v>
      </c>
      <c r="N453" s="157"/>
      <c r="O453" s="158"/>
      <c r="P453" s="158"/>
      <c r="Q453" s="158"/>
      <c r="R453" s="158"/>
      <c r="S453" s="158"/>
      <c r="T453" s="158"/>
      <c r="U453" s="158"/>
      <c r="V453" s="158"/>
      <c r="W453" s="158"/>
      <c r="X453" s="158"/>
      <c r="Y453" s="158"/>
      <c r="Z453" s="158"/>
      <c r="AA453" s="158"/>
    </row>
    <row r="454" spans="1:27" ht="15.75" customHeight="1" x14ac:dyDescent="0.55000000000000004">
      <c r="A454" s="173">
        <v>77</v>
      </c>
      <c r="B454" s="173" t="s">
        <v>1386</v>
      </c>
      <c r="C454" s="173" t="s">
        <v>1387</v>
      </c>
      <c r="D454" s="174">
        <v>36524</v>
      </c>
      <c r="E454" s="120" t="s">
        <v>2865</v>
      </c>
      <c r="F454" s="131">
        <v>29</v>
      </c>
      <c r="G454" s="120">
        <v>0</v>
      </c>
      <c r="H454" s="120">
        <v>2</v>
      </c>
      <c r="I454" s="120">
        <v>1</v>
      </c>
      <c r="J454" s="133" t="s">
        <v>2387</v>
      </c>
      <c r="K454" s="133">
        <v>3</v>
      </c>
      <c r="L454" s="117">
        <v>67.099999999999994</v>
      </c>
      <c r="M454" s="133">
        <f t="shared" si="25"/>
        <v>38.099999999999994</v>
      </c>
      <c r="N454" s="157"/>
      <c r="O454" s="158"/>
      <c r="P454" s="158"/>
      <c r="Q454" s="158"/>
      <c r="R454" s="158"/>
      <c r="S454" s="158"/>
      <c r="T454" s="158"/>
      <c r="U454" s="158"/>
      <c r="V454" s="158"/>
      <c r="W454" s="158"/>
      <c r="X454" s="158"/>
      <c r="Y454" s="158"/>
      <c r="Z454" s="158"/>
      <c r="AA454" s="158"/>
    </row>
    <row r="455" spans="1:27" ht="15.75" customHeight="1" x14ac:dyDescent="0.55000000000000004">
      <c r="A455" s="173">
        <v>77</v>
      </c>
      <c r="B455" s="173" t="s">
        <v>1386</v>
      </c>
      <c r="C455" s="173" t="s">
        <v>1387</v>
      </c>
      <c r="D455" s="174">
        <v>36524</v>
      </c>
      <c r="E455" s="120" t="s">
        <v>2866</v>
      </c>
      <c r="F455" s="131">
        <v>56</v>
      </c>
      <c r="G455" s="120">
        <v>1</v>
      </c>
      <c r="H455" s="120">
        <v>2</v>
      </c>
      <c r="I455" s="120">
        <v>0</v>
      </c>
      <c r="J455" s="133" t="s">
        <v>853</v>
      </c>
      <c r="K455" s="133">
        <v>0</v>
      </c>
      <c r="L455" s="117">
        <v>71.099999999999994</v>
      </c>
      <c r="M455" s="133">
        <f t="shared" si="25"/>
        <v>15.099999999999994</v>
      </c>
      <c r="N455" s="157"/>
      <c r="O455" s="158"/>
      <c r="P455" s="158"/>
      <c r="Q455" s="158"/>
      <c r="R455" s="158"/>
      <c r="S455" s="158"/>
      <c r="T455" s="158"/>
      <c r="U455" s="158"/>
      <c r="V455" s="158"/>
      <c r="W455" s="158"/>
      <c r="X455" s="158"/>
      <c r="Y455" s="158"/>
      <c r="Z455" s="158"/>
      <c r="AA455" s="158"/>
    </row>
    <row r="456" spans="1:27" ht="15.75" customHeight="1" x14ac:dyDescent="0.55000000000000004">
      <c r="A456" s="162">
        <v>78</v>
      </c>
      <c r="B456" s="162" t="s">
        <v>1139</v>
      </c>
      <c r="C456" s="162" t="s">
        <v>859</v>
      </c>
      <c r="D456" s="163">
        <v>36605</v>
      </c>
      <c r="E456" s="120" t="s">
        <v>2867</v>
      </c>
      <c r="F456" s="131">
        <v>15</v>
      </c>
      <c r="G456" s="120">
        <v>0</v>
      </c>
      <c r="H456" s="131">
        <v>2</v>
      </c>
      <c r="I456" s="120">
        <v>1</v>
      </c>
      <c r="J456" s="133" t="s">
        <v>2595</v>
      </c>
      <c r="K456" s="133">
        <v>3</v>
      </c>
      <c r="L456" s="117">
        <v>71.8</v>
      </c>
      <c r="M456" s="133">
        <f t="shared" si="25"/>
        <v>56.8</v>
      </c>
      <c r="N456" s="157"/>
      <c r="O456" s="158"/>
      <c r="P456" s="158"/>
      <c r="Q456" s="158"/>
      <c r="R456" s="158"/>
      <c r="S456" s="158"/>
      <c r="T456" s="158"/>
      <c r="U456" s="158"/>
      <c r="V456" s="158"/>
      <c r="W456" s="158"/>
      <c r="X456" s="158"/>
      <c r="Y456" s="158"/>
      <c r="Z456" s="158"/>
      <c r="AA456" s="158"/>
    </row>
    <row r="457" spans="1:27" ht="15.75" customHeight="1" x14ac:dyDescent="0.55000000000000004">
      <c r="A457" s="162">
        <v>78</v>
      </c>
      <c r="B457" s="162" t="s">
        <v>1139</v>
      </c>
      <c r="C457" s="162" t="s">
        <v>859</v>
      </c>
      <c r="D457" s="163">
        <v>36605</v>
      </c>
      <c r="E457" s="120" t="s">
        <v>2868</v>
      </c>
      <c r="F457" s="131">
        <v>48</v>
      </c>
      <c r="G457" s="120">
        <v>0</v>
      </c>
      <c r="H457" s="131">
        <v>0</v>
      </c>
      <c r="I457" s="120">
        <v>1</v>
      </c>
      <c r="J457" s="133" t="s">
        <v>2641</v>
      </c>
      <c r="K457" s="133">
        <v>3</v>
      </c>
      <c r="L457" s="117">
        <v>66.5</v>
      </c>
      <c r="M457" s="133">
        <f t="shared" si="25"/>
        <v>18.5</v>
      </c>
      <c r="N457" s="157"/>
      <c r="O457" s="158"/>
      <c r="P457" s="158"/>
      <c r="Q457" s="158"/>
      <c r="R457" s="158"/>
      <c r="S457" s="158"/>
      <c r="T457" s="158"/>
      <c r="U457" s="158"/>
      <c r="V457" s="158"/>
      <c r="W457" s="158"/>
      <c r="X457" s="158"/>
      <c r="Y457" s="158"/>
      <c r="Z457" s="158"/>
      <c r="AA457" s="158"/>
    </row>
    <row r="458" spans="1:27" ht="15.75" customHeight="1" x14ac:dyDescent="0.55000000000000004">
      <c r="A458" s="162">
        <v>78</v>
      </c>
      <c r="B458" s="162" t="s">
        <v>1139</v>
      </c>
      <c r="C458" s="162" t="s">
        <v>859</v>
      </c>
      <c r="D458" s="163">
        <v>36605</v>
      </c>
      <c r="E458" s="120" t="s">
        <v>2869</v>
      </c>
      <c r="F458" s="131">
        <v>36</v>
      </c>
      <c r="G458" s="120">
        <v>0</v>
      </c>
      <c r="H458" s="131">
        <v>2</v>
      </c>
      <c r="I458" s="120">
        <v>1</v>
      </c>
      <c r="J458" s="133" t="s">
        <v>2641</v>
      </c>
      <c r="K458" s="133">
        <v>3</v>
      </c>
      <c r="L458" s="117">
        <v>66.599999999999994</v>
      </c>
      <c r="M458" s="133">
        <f t="shared" si="25"/>
        <v>30.599999999999994</v>
      </c>
      <c r="N458" s="157"/>
      <c r="O458" s="158"/>
      <c r="P458" s="158"/>
      <c r="Q458" s="158"/>
      <c r="R458" s="158"/>
      <c r="S458" s="158"/>
      <c r="T458" s="158"/>
      <c r="U458" s="158"/>
      <c r="V458" s="158"/>
      <c r="W458" s="158"/>
      <c r="X458" s="158"/>
      <c r="Y458" s="158"/>
      <c r="Z458" s="158"/>
      <c r="AA458" s="158"/>
    </row>
    <row r="459" spans="1:27" ht="15.75" customHeight="1" x14ac:dyDescent="0.55000000000000004">
      <c r="A459" s="162">
        <v>78</v>
      </c>
      <c r="B459" s="162" t="s">
        <v>1139</v>
      </c>
      <c r="C459" s="162" t="s">
        <v>859</v>
      </c>
      <c r="D459" s="163">
        <v>36605</v>
      </c>
      <c r="E459" s="120" t="s">
        <v>2870</v>
      </c>
      <c r="F459" s="131">
        <v>32</v>
      </c>
      <c r="G459" s="120">
        <v>0</v>
      </c>
      <c r="H459" s="131">
        <v>2</v>
      </c>
      <c r="I459" s="120">
        <v>1</v>
      </c>
      <c r="J459" s="133" t="s">
        <v>2595</v>
      </c>
      <c r="K459" s="133">
        <v>3</v>
      </c>
      <c r="L459" s="117">
        <v>67.099999999999994</v>
      </c>
      <c r="M459" s="133">
        <f t="shared" si="25"/>
        <v>35.099999999999994</v>
      </c>
      <c r="N459" s="157"/>
      <c r="O459" s="158"/>
      <c r="P459" s="158"/>
      <c r="Q459" s="158"/>
      <c r="R459" s="158"/>
      <c r="S459" s="158"/>
      <c r="T459" s="158"/>
      <c r="U459" s="158"/>
      <c r="V459" s="158"/>
      <c r="W459" s="158"/>
      <c r="X459" s="158"/>
      <c r="Y459" s="158"/>
      <c r="Z459" s="158"/>
      <c r="AA459" s="158"/>
    </row>
    <row r="460" spans="1:27" ht="15.75" customHeight="1" x14ac:dyDescent="0.55000000000000004">
      <c r="A460" s="162">
        <v>78</v>
      </c>
      <c r="B460" s="162" t="s">
        <v>1139</v>
      </c>
      <c r="C460" s="162" t="s">
        <v>859</v>
      </c>
      <c r="D460" s="163">
        <v>36605</v>
      </c>
      <c r="E460" s="120" t="s">
        <v>2871</v>
      </c>
      <c r="F460" s="131">
        <v>46</v>
      </c>
      <c r="G460" s="120">
        <v>1</v>
      </c>
      <c r="H460" s="131">
        <v>0</v>
      </c>
      <c r="I460" s="120">
        <v>1</v>
      </c>
      <c r="J460" s="133" t="s">
        <v>2595</v>
      </c>
      <c r="K460" s="133">
        <v>3</v>
      </c>
      <c r="L460" s="117">
        <v>72.2</v>
      </c>
      <c r="M460" s="133">
        <f t="shared" si="25"/>
        <v>26.200000000000003</v>
      </c>
      <c r="N460" s="157"/>
      <c r="O460" s="158"/>
      <c r="P460" s="158"/>
      <c r="Q460" s="158"/>
      <c r="R460" s="158"/>
      <c r="S460" s="158"/>
      <c r="T460" s="158"/>
      <c r="U460" s="158"/>
      <c r="V460" s="158"/>
      <c r="W460" s="158"/>
      <c r="X460" s="158"/>
      <c r="Y460" s="158"/>
      <c r="Z460" s="158"/>
      <c r="AA460" s="158"/>
    </row>
    <row r="461" spans="1:27" ht="15.75" customHeight="1" x14ac:dyDescent="0.55000000000000004">
      <c r="A461" s="164">
        <v>79</v>
      </c>
      <c r="B461" s="164" t="s">
        <v>1394</v>
      </c>
      <c r="C461" s="164" t="s">
        <v>1095</v>
      </c>
      <c r="D461" s="165">
        <v>36644</v>
      </c>
      <c r="E461" s="120" t="s">
        <v>2872</v>
      </c>
      <c r="F461" s="131">
        <v>63</v>
      </c>
      <c r="G461" s="120">
        <v>1</v>
      </c>
      <c r="H461" s="131">
        <v>0</v>
      </c>
      <c r="I461" s="120">
        <v>1</v>
      </c>
      <c r="J461" s="133" t="s">
        <v>2394</v>
      </c>
      <c r="K461" s="133">
        <v>5</v>
      </c>
      <c r="L461" s="117">
        <v>72.2</v>
      </c>
      <c r="M461" s="133">
        <f t="shared" si="25"/>
        <v>9.2000000000000028</v>
      </c>
      <c r="N461" s="157"/>
      <c r="O461" s="158"/>
      <c r="P461" s="158"/>
      <c r="Q461" s="158"/>
      <c r="R461" s="158"/>
      <c r="S461" s="158"/>
      <c r="T461" s="158"/>
      <c r="U461" s="158"/>
      <c r="V461" s="158"/>
      <c r="W461" s="158"/>
      <c r="X461" s="158"/>
      <c r="Y461" s="158"/>
      <c r="Z461" s="158"/>
      <c r="AA461" s="158"/>
    </row>
    <row r="462" spans="1:27" ht="15.75" customHeight="1" x14ac:dyDescent="0.55000000000000004">
      <c r="A462" s="164">
        <v>79</v>
      </c>
      <c r="B462" s="164" t="s">
        <v>1394</v>
      </c>
      <c r="C462" s="164" t="s">
        <v>1095</v>
      </c>
      <c r="D462" s="165">
        <v>36644</v>
      </c>
      <c r="E462" s="131" t="s">
        <v>2873</v>
      </c>
      <c r="F462" s="131">
        <v>22</v>
      </c>
      <c r="G462" s="120">
        <v>0</v>
      </c>
      <c r="H462" s="131">
        <v>1</v>
      </c>
      <c r="I462" s="120">
        <v>0</v>
      </c>
      <c r="J462" s="133" t="s">
        <v>853</v>
      </c>
      <c r="K462" s="133">
        <v>0</v>
      </c>
      <c r="L462" s="117">
        <v>63.8</v>
      </c>
      <c r="M462" s="133">
        <f t="shared" si="25"/>
        <v>41.8</v>
      </c>
      <c r="N462" s="157"/>
      <c r="O462" s="158"/>
      <c r="P462" s="158"/>
      <c r="Q462" s="158"/>
      <c r="R462" s="158"/>
      <c r="S462" s="158"/>
      <c r="T462" s="158"/>
      <c r="U462" s="158"/>
      <c r="V462" s="158"/>
      <c r="W462" s="158"/>
      <c r="X462" s="158"/>
      <c r="Y462" s="158"/>
      <c r="Z462" s="158"/>
      <c r="AA462" s="158"/>
    </row>
    <row r="463" spans="1:27" ht="15.75" customHeight="1" x14ac:dyDescent="0.55000000000000004">
      <c r="A463" s="164">
        <v>79</v>
      </c>
      <c r="B463" s="164" t="s">
        <v>1394</v>
      </c>
      <c r="C463" s="164" t="s">
        <v>1095</v>
      </c>
      <c r="D463" s="165">
        <v>36644</v>
      </c>
      <c r="E463" s="120" t="s">
        <v>2874</v>
      </c>
      <c r="F463" s="131">
        <v>27</v>
      </c>
      <c r="G463" s="120">
        <v>0</v>
      </c>
      <c r="H463" s="131">
        <v>3</v>
      </c>
      <c r="I463" s="131">
        <v>0</v>
      </c>
      <c r="J463" s="133" t="s">
        <v>853</v>
      </c>
      <c r="K463" s="133">
        <v>0</v>
      </c>
      <c r="L463" s="117">
        <v>68.8</v>
      </c>
      <c r="M463" s="133">
        <f t="shared" si="25"/>
        <v>41.8</v>
      </c>
      <c r="N463" s="157"/>
      <c r="O463" s="158"/>
      <c r="P463" s="158"/>
      <c r="Q463" s="158"/>
      <c r="R463" s="158"/>
      <c r="S463" s="158"/>
      <c r="T463" s="158"/>
      <c r="U463" s="158"/>
      <c r="V463" s="158"/>
      <c r="W463" s="158"/>
      <c r="X463" s="158"/>
      <c r="Y463" s="158"/>
      <c r="Z463" s="158"/>
      <c r="AA463" s="158"/>
    </row>
    <row r="464" spans="1:27" ht="15.75" customHeight="1" x14ac:dyDescent="0.55000000000000004">
      <c r="A464" s="164">
        <v>79</v>
      </c>
      <c r="B464" s="164" t="s">
        <v>1394</v>
      </c>
      <c r="C464" s="164" t="s">
        <v>1095</v>
      </c>
      <c r="D464" s="165">
        <v>36644</v>
      </c>
      <c r="E464" s="120" t="s">
        <v>2875</v>
      </c>
      <c r="F464" s="131">
        <v>34</v>
      </c>
      <c r="G464" s="120">
        <v>0</v>
      </c>
      <c r="H464" s="131">
        <v>3</v>
      </c>
      <c r="I464" s="131">
        <v>0</v>
      </c>
      <c r="J464" s="133" t="s">
        <v>853</v>
      </c>
      <c r="K464" s="133">
        <v>0</v>
      </c>
      <c r="L464" s="117">
        <v>67.099999999999994</v>
      </c>
      <c r="M464" s="133">
        <f t="shared" si="25"/>
        <v>33.099999999999994</v>
      </c>
      <c r="N464" s="157"/>
      <c r="O464" s="158"/>
      <c r="P464" s="158"/>
      <c r="Q464" s="158"/>
      <c r="R464" s="158"/>
      <c r="S464" s="158"/>
      <c r="T464" s="158"/>
      <c r="U464" s="158"/>
      <c r="V464" s="158"/>
      <c r="W464" s="158"/>
      <c r="X464" s="158"/>
      <c r="Y464" s="158"/>
      <c r="Z464" s="158"/>
      <c r="AA464" s="158"/>
    </row>
    <row r="465" spans="1:27" ht="15.75" customHeight="1" x14ac:dyDescent="0.55000000000000004">
      <c r="A465" s="164">
        <v>79</v>
      </c>
      <c r="B465" s="164" t="s">
        <v>1394</v>
      </c>
      <c r="C465" s="164" t="s">
        <v>1095</v>
      </c>
      <c r="D465" s="165">
        <v>36644</v>
      </c>
      <c r="E465" s="120" t="s">
        <v>2876</v>
      </c>
      <c r="F465" s="131">
        <v>31</v>
      </c>
      <c r="G465" s="120">
        <v>0</v>
      </c>
      <c r="H465" s="131">
        <v>3</v>
      </c>
      <c r="I465" s="120">
        <v>0</v>
      </c>
      <c r="J465" s="133" t="s">
        <v>853</v>
      </c>
      <c r="K465" s="133">
        <v>0</v>
      </c>
      <c r="L465" s="117">
        <v>67.099999999999994</v>
      </c>
      <c r="M465" s="133">
        <f t="shared" si="25"/>
        <v>36.099999999999994</v>
      </c>
      <c r="N465" s="157"/>
      <c r="O465" s="158"/>
      <c r="P465" s="158"/>
      <c r="Q465" s="158"/>
      <c r="R465" s="158"/>
      <c r="S465" s="158"/>
      <c r="T465" s="158"/>
      <c r="U465" s="158"/>
      <c r="V465" s="158"/>
      <c r="W465" s="158"/>
      <c r="X465" s="158"/>
      <c r="Y465" s="158"/>
      <c r="Z465" s="158"/>
      <c r="AA465" s="158"/>
    </row>
    <row r="466" spans="1:27" ht="15.75" customHeight="1" x14ac:dyDescent="0.55000000000000004">
      <c r="A466" s="166">
        <v>80</v>
      </c>
      <c r="B466" s="166" t="s">
        <v>1401</v>
      </c>
      <c r="C466" s="166" t="s">
        <v>1046</v>
      </c>
      <c r="D466" s="167">
        <v>36886</v>
      </c>
      <c r="E466" s="120" t="s">
        <v>2877</v>
      </c>
      <c r="F466" s="131">
        <v>29</v>
      </c>
      <c r="G466" s="120">
        <v>1</v>
      </c>
      <c r="H466" s="131">
        <v>0</v>
      </c>
      <c r="I466" s="120">
        <v>1</v>
      </c>
      <c r="J466" s="133" t="s">
        <v>2387</v>
      </c>
      <c r="K466" s="133">
        <v>3</v>
      </c>
      <c r="L466" s="117">
        <v>75.599999999999994</v>
      </c>
      <c r="M466" s="133">
        <f t="shared" si="25"/>
        <v>46.599999999999994</v>
      </c>
      <c r="N466" s="157"/>
      <c r="O466" s="158"/>
      <c r="P466" s="158"/>
      <c r="Q466" s="158"/>
      <c r="R466" s="158"/>
      <c r="S466" s="158"/>
      <c r="T466" s="158"/>
      <c r="U466" s="158"/>
      <c r="V466" s="158"/>
      <c r="W466" s="158"/>
      <c r="X466" s="158"/>
      <c r="Y466" s="158"/>
      <c r="Z466" s="158"/>
      <c r="AA466" s="158"/>
    </row>
    <row r="467" spans="1:27" ht="15.75" customHeight="1" x14ac:dyDescent="0.55000000000000004">
      <c r="A467" s="166">
        <v>80</v>
      </c>
      <c r="B467" s="166" t="s">
        <v>1401</v>
      </c>
      <c r="C467" s="166" t="s">
        <v>1046</v>
      </c>
      <c r="D467" s="167">
        <v>36886</v>
      </c>
      <c r="E467" s="120" t="s">
        <v>2878</v>
      </c>
      <c r="F467" s="131">
        <v>46</v>
      </c>
      <c r="G467" s="120">
        <v>1</v>
      </c>
      <c r="H467" s="120"/>
      <c r="I467" s="120">
        <v>1</v>
      </c>
      <c r="J467" s="133" t="s">
        <v>2387</v>
      </c>
      <c r="K467" s="133">
        <v>3</v>
      </c>
      <c r="L467" s="117">
        <v>71.099999999999994</v>
      </c>
      <c r="M467" s="133">
        <f t="shared" si="25"/>
        <v>25.099999999999994</v>
      </c>
      <c r="N467" s="157"/>
      <c r="O467" s="158"/>
      <c r="P467" s="158"/>
      <c r="Q467" s="158"/>
      <c r="R467" s="158"/>
      <c r="S467" s="158"/>
      <c r="T467" s="158"/>
      <c r="U467" s="158"/>
      <c r="V467" s="158"/>
      <c r="W467" s="158"/>
      <c r="X467" s="158"/>
      <c r="Y467" s="158"/>
      <c r="Z467" s="158"/>
      <c r="AA467" s="158"/>
    </row>
    <row r="468" spans="1:27" ht="15.75" customHeight="1" x14ac:dyDescent="0.55000000000000004">
      <c r="A468" s="166">
        <v>80</v>
      </c>
      <c r="B468" s="166" t="s">
        <v>1401</v>
      </c>
      <c r="C468" s="166" t="s">
        <v>1046</v>
      </c>
      <c r="D468" s="167">
        <v>36886</v>
      </c>
      <c r="E468" s="120" t="s">
        <v>2879</v>
      </c>
      <c r="F468" s="131">
        <v>58</v>
      </c>
      <c r="G468" s="120">
        <v>0</v>
      </c>
      <c r="H468" s="131">
        <v>0</v>
      </c>
      <c r="I468" s="120">
        <v>1</v>
      </c>
      <c r="J468" s="133" t="s">
        <v>2387</v>
      </c>
      <c r="K468" s="133">
        <v>3</v>
      </c>
      <c r="L468" s="117">
        <v>66.5</v>
      </c>
      <c r="M468" s="133">
        <f t="shared" si="25"/>
        <v>8.5</v>
      </c>
      <c r="N468" s="157"/>
      <c r="O468" s="158"/>
      <c r="P468" s="158"/>
      <c r="Q468" s="158"/>
      <c r="R468" s="158"/>
      <c r="S468" s="158"/>
      <c r="T468" s="158"/>
      <c r="U468" s="158"/>
      <c r="V468" s="158"/>
      <c r="W468" s="158"/>
      <c r="X468" s="158"/>
      <c r="Y468" s="158"/>
      <c r="Z468" s="158"/>
      <c r="AA468" s="158"/>
    </row>
    <row r="469" spans="1:27" ht="15.75" customHeight="1" x14ac:dyDescent="0.55000000000000004">
      <c r="A469" s="166">
        <v>80</v>
      </c>
      <c r="B469" s="166" t="s">
        <v>1401</v>
      </c>
      <c r="C469" s="166" t="s">
        <v>1046</v>
      </c>
      <c r="D469" s="167">
        <v>36886</v>
      </c>
      <c r="E469" s="131" t="s">
        <v>2880</v>
      </c>
      <c r="F469" s="131">
        <v>48</v>
      </c>
      <c r="G469" s="120">
        <v>1</v>
      </c>
      <c r="H469" s="131">
        <v>0</v>
      </c>
      <c r="I469" s="120">
        <v>1</v>
      </c>
      <c r="J469" s="133" t="s">
        <v>2387</v>
      </c>
      <c r="K469" s="133">
        <v>3</v>
      </c>
      <c r="L469" s="117">
        <v>72.2</v>
      </c>
      <c r="M469" s="133">
        <f t="shared" si="25"/>
        <v>24.200000000000003</v>
      </c>
      <c r="N469" s="157"/>
      <c r="O469" s="158"/>
      <c r="P469" s="158"/>
      <c r="Q469" s="158"/>
      <c r="R469" s="158"/>
      <c r="S469" s="158"/>
      <c r="T469" s="158"/>
      <c r="U469" s="158"/>
      <c r="V469" s="158"/>
      <c r="W469" s="158"/>
      <c r="X469" s="158"/>
      <c r="Y469" s="158"/>
      <c r="Z469" s="158"/>
      <c r="AA469" s="158"/>
    </row>
    <row r="470" spans="1:27" ht="15.75" customHeight="1" x14ac:dyDescent="0.55000000000000004">
      <c r="A470" s="166">
        <v>80</v>
      </c>
      <c r="B470" s="166" t="s">
        <v>1401</v>
      </c>
      <c r="C470" s="166" t="s">
        <v>1046</v>
      </c>
      <c r="D470" s="167">
        <v>36886</v>
      </c>
      <c r="E470" s="120" t="s">
        <v>2881</v>
      </c>
      <c r="F470" s="131">
        <v>36</v>
      </c>
      <c r="G470" s="120">
        <v>0</v>
      </c>
      <c r="H470" s="131">
        <v>0</v>
      </c>
      <c r="I470" s="120">
        <v>1</v>
      </c>
      <c r="J470" s="133" t="s">
        <v>2387</v>
      </c>
      <c r="K470" s="133">
        <v>3</v>
      </c>
      <c r="L470" s="117">
        <v>67.400000000000006</v>
      </c>
      <c r="M470" s="133">
        <f t="shared" si="25"/>
        <v>31.400000000000006</v>
      </c>
      <c r="N470" s="157"/>
      <c r="O470" s="158"/>
      <c r="P470" s="158"/>
      <c r="Q470" s="158"/>
      <c r="R470" s="158"/>
      <c r="S470" s="158"/>
      <c r="T470" s="158"/>
      <c r="U470" s="158"/>
      <c r="V470" s="158"/>
      <c r="W470" s="158"/>
      <c r="X470" s="158"/>
      <c r="Y470" s="158"/>
      <c r="Z470" s="158"/>
      <c r="AA470" s="158"/>
    </row>
    <row r="471" spans="1:27" ht="15.75" customHeight="1" x14ac:dyDescent="0.55000000000000004">
      <c r="A471" s="166">
        <v>80</v>
      </c>
      <c r="B471" s="166" t="s">
        <v>1401</v>
      </c>
      <c r="C471" s="166" t="s">
        <v>1046</v>
      </c>
      <c r="D471" s="167">
        <v>36886</v>
      </c>
      <c r="E471" s="120" t="s">
        <v>2882</v>
      </c>
      <c r="F471" s="131">
        <v>50</v>
      </c>
      <c r="G471" s="120">
        <v>1</v>
      </c>
      <c r="H471" s="131">
        <v>0</v>
      </c>
      <c r="I471" s="120">
        <v>1</v>
      </c>
      <c r="J471" s="133" t="s">
        <v>2387</v>
      </c>
      <c r="K471" s="133">
        <v>3</v>
      </c>
      <c r="L471" s="117">
        <v>72.2</v>
      </c>
      <c r="M471" s="133">
        <f t="shared" si="25"/>
        <v>22.200000000000003</v>
      </c>
      <c r="N471" s="157"/>
      <c r="O471" s="158"/>
      <c r="P471" s="158"/>
      <c r="Q471" s="158"/>
      <c r="R471" s="158"/>
      <c r="S471" s="158"/>
      <c r="T471" s="158"/>
      <c r="U471" s="158"/>
      <c r="V471" s="158"/>
      <c r="W471" s="158"/>
      <c r="X471" s="158"/>
      <c r="Y471" s="158"/>
      <c r="Z471" s="158"/>
      <c r="AA471" s="158"/>
    </row>
    <row r="472" spans="1:27" ht="15.75" customHeight="1" x14ac:dyDescent="0.55000000000000004">
      <c r="A472" s="166">
        <v>80</v>
      </c>
      <c r="B472" s="166" t="s">
        <v>1401</v>
      </c>
      <c r="C472" s="166" t="s">
        <v>1046</v>
      </c>
      <c r="D472" s="167">
        <v>36886</v>
      </c>
      <c r="E472" s="120" t="s">
        <v>2883</v>
      </c>
      <c r="F472" s="131">
        <v>29</v>
      </c>
      <c r="G472" s="120">
        <v>0</v>
      </c>
      <c r="H472" s="131">
        <v>0</v>
      </c>
      <c r="I472" s="120">
        <v>1</v>
      </c>
      <c r="J472" s="133" t="s">
        <v>2387</v>
      </c>
      <c r="K472" s="133">
        <v>3</v>
      </c>
      <c r="L472" s="117">
        <v>68</v>
      </c>
      <c r="M472" s="133">
        <f t="shared" si="25"/>
        <v>39</v>
      </c>
      <c r="N472" s="157"/>
      <c r="O472" s="158"/>
      <c r="P472" s="158"/>
      <c r="Q472" s="158"/>
      <c r="R472" s="158"/>
      <c r="S472" s="158"/>
      <c r="T472" s="158"/>
      <c r="U472" s="158"/>
      <c r="V472" s="158"/>
      <c r="W472" s="158"/>
      <c r="X472" s="158"/>
      <c r="Y472" s="158"/>
      <c r="Z472" s="158"/>
      <c r="AA472" s="158"/>
    </row>
    <row r="473" spans="1:27" ht="15.75" customHeight="1" x14ac:dyDescent="0.55000000000000004">
      <c r="A473" s="177">
        <v>81</v>
      </c>
      <c r="B473" s="177" t="s">
        <v>1410</v>
      </c>
      <c r="C473" s="177" t="s">
        <v>1411</v>
      </c>
      <c r="D473" s="178">
        <v>36900</v>
      </c>
      <c r="E473" s="120" t="s">
        <v>2884</v>
      </c>
      <c r="F473" s="131">
        <v>58</v>
      </c>
      <c r="G473" s="120">
        <v>0</v>
      </c>
      <c r="H473" s="120">
        <v>3</v>
      </c>
      <c r="I473" s="120">
        <v>1</v>
      </c>
      <c r="J473" s="133" t="s">
        <v>2885</v>
      </c>
      <c r="K473" s="133">
        <v>3</v>
      </c>
      <c r="L473" s="117">
        <v>65.599999999999994</v>
      </c>
      <c r="M473" s="133">
        <f t="shared" si="25"/>
        <v>7.5999999999999943</v>
      </c>
      <c r="N473" s="157"/>
      <c r="O473" s="158"/>
      <c r="P473" s="158"/>
      <c r="Q473" s="158"/>
      <c r="R473" s="158"/>
      <c r="S473" s="158"/>
      <c r="T473" s="158"/>
      <c r="U473" s="158"/>
      <c r="V473" s="158"/>
      <c r="W473" s="158"/>
      <c r="X473" s="158"/>
      <c r="Y473" s="158"/>
      <c r="Z473" s="158"/>
      <c r="AA473" s="158"/>
    </row>
    <row r="474" spans="1:27" ht="15.75" customHeight="1" x14ac:dyDescent="0.55000000000000004">
      <c r="A474" s="177">
        <v>81</v>
      </c>
      <c r="B474" s="177" t="s">
        <v>1410</v>
      </c>
      <c r="C474" s="177" t="s">
        <v>1411</v>
      </c>
      <c r="D474" s="178">
        <v>36900</v>
      </c>
      <c r="E474" s="120" t="s">
        <v>2886</v>
      </c>
      <c r="F474" s="131">
        <v>54</v>
      </c>
      <c r="G474" s="120">
        <v>1</v>
      </c>
      <c r="H474" s="120">
        <v>3</v>
      </c>
      <c r="I474" s="120">
        <v>1</v>
      </c>
      <c r="J474" s="133" t="s">
        <v>2885</v>
      </c>
      <c r="K474" s="133">
        <v>3</v>
      </c>
      <c r="L474" s="117">
        <v>71.099999999999994</v>
      </c>
      <c r="M474" s="133">
        <f t="shared" si="25"/>
        <v>17.099999999999994</v>
      </c>
      <c r="N474" s="157"/>
      <c r="O474" s="158"/>
      <c r="P474" s="158"/>
      <c r="Q474" s="158"/>
      <c r="R474" s="158"/>
      <c r="S474" s="158"/>
      <c r="T474" s="158"/>
      <c r="U474" s="158"/>
      <c r="V474" s="158"/>
      <c r="W474" s="158"/>
      <c r="X474" s="158"/>
      <c r="Y474" s="158"/>
      <c r="Z474" s="158"/>
      <c r="AA474" s="158"/>
    </row>
    <row r="475" spans="1:27" ht="15.75" customHeight="1" x14ac:dyDescent="0.55000000000000004">
      <c r="A475" s="177">
        <v>81</v>
      </c>
      <c r="B475" s="177" t="s">
        <v>1410</v>
      </c>
      <c r="C475" s="177" t="s">
        <v>1411</v>
      </c>
      <c r="D475" s="178">
        <v>36900</v>
      </c>
      <c r="E475" s="120" t="s">
        <v>2887</v>
      </c>
      <c r="F475" s="131">
        <v>23</v>
      </c>
      <c r="G475" s="120">
        <v>1</v>
      </c>
      <c r="H475" s="120">
        <v>3</v>
      </c>
      <c r="I475" s="120">
        <v>1</v>
      </c>
      <c r="J475" s="133" t="s">
        <v>2885</v>
      </c>
      <c r="K475" s="133">
        <v>3</v>
      </c>
      <c r="L475" s="117">
        <v>77.400000000000006</v>
      </c>
      <c r="M475" s="133">
        <f t="shared" si="25"/>
        <v>54.400000000000006</v>
      </c>
      <c r="N475" s="157"/>
      <c r="O475" s="158"/>
      <c r="P475" s="158"/>
      <c r="Q475" s="158"/>
      <c r="R475" s="158"/>
      <c r="S475" s="158"/>
      <c r="T475" s="158"/>
      <c r="U475" s="158"/>
      <c r="V475" s="158"/>
      <c r="W475" s="158"/>
      <c r="X475" s="158"/>
      <c r="Y475" s="158"/>
      <c r="Z475" s="158"/>
      <c r="AA475" s="158"/>
    </row>
    <row r="476" spans="1:27" ht="15.75" customHeight="1" x14ac:dyDescent="0.55000000000000004">
      <c r="A476" s="177">
        <v>81</v>
      </c>
      <c r="B476" s="177" t="s">
        <v>1410</v>
      </c>
      <c r="C476" s="177" t="s">
        <v>1411</v>
      </c>
      <c r="D476" s="178">
        <v>36900</v>
      </c>
      <c r="E476" s="120" t="s">
        <v>2888</v>
      </c>
      <c r="F476" s="131">
        <v>42</v>
      </c>
      <c r="G476" s="120">
        <v>1</v>
      </c>
      <c r="H476" s="120">
        <v>3</v>
      </c>
      <c r="I476" s="120">
        <v>1</v>
      </c>
      <c r="J476" s="133" t="s">
        <v>2677</v>
      </c>
      <c r="K476" s="133">
        <v>2</v>
      </c>
      <c r="L476" s="117">
        <v>73.099999999999994</v>
      </c>
      <c r="M476" s="133">
        <f t="shared" si="25"/>
        <v>31.099999999999994</v>
      </c>
      <c r="N476" s="157"/>
      <c r="O476" s="158"/>
      <c r="P476" s="158"/>
      <c r="Q476" s="158"/>
      <c r="R476" s="158"/>
      <c r="S476" s="158"/>
      <c r="T476" s="158"/>
      <c r="U476" s="158"/>
      <c r="V476" s="158"/>
      <c r="W476" s="158"/>
      <c r="X476" s="158"/>
      <c r="Y476" s="158"/>
      <c r="Z476" s="158"/>
      <c r="AA476" s="158"/>
    </row>
    <row r="477" spans="1:27" ht="15.75" customHeight="1" x14ac:dyDescent="0.55000000000000004">
      <c r="A477" s="175">
        <v>82</v>
      </c>
      <c r="B477" s="175" t="s">
        <v>1414</v>
      </c>
      <c r="C477" s="175" t="s">
        <v>999</v>
      </c>
      <c r="D477" s="176">
        <v>36927</v>
      </c>
      <c r="E477" s="120" t="s">
        <v>2889</v>
      </c>
      <c r="F477" s="131">
        <v>48</v>
      </c>
      <c r="G477" s="120">
        <v>0</v>
      </c>
      <c r="H477" s="161" t="str">
        <f>HYPERLINK("https://www.findagrave.com/memorial/96898574/michael-victor-brus","0")</f>
        <v>0</v>
      </c>
      <c r="I477" s="131">
        <v>1</v>
      </c>
      <c r="J477" s="133" t="s">
        <v>2595</v>
      </c>
      <c r="K477" s="133">
        <v>3</v>
      </c>
      <c r="L477" s="117">
        <v>66.5</v>
      </c>
      <c r="M477" s="133">
        <f t="shared" si="25"/>
        <v>18.5</v>
      </c>
      <c r="N477" s="157"/>
      <c r="O477" s="158"/>
      <c r="P477" s="158"/>
      <c r="Q477" s="158"/>
      <c r="R477" s="158"/>
      <c r="S477" s="158"/>
      <c r="T477" s="158"/>
      <c r="U477" s="158"/>
      <c r="V477" s="158"/>
      <c r="W477" s="158"/>
      <c r="X477" s="158"/>
      <c r="Y477" s="158"/>
      <c r="Z477" s="158"/>
      <c r="AA477" s="158"/>
    </row>
    <row r="478" spans="1:27" ht="15.75" customHeight="1" x14ac:dyDescent="0.55000000000000004">
      <c r="A478" s="175">
        <v>82</v>
      </c>
      <c r="B478" s="175" t="s">
        <v>1414</v>
      </c>
      <c r="C478" s="175" t="s">
        <v>999</v>
      </c>
      <c r="D478" s="176">
        <v>36927</v>
      </c>
      <c r="E478" s="131" t="s">
        <v>2890</v>
      </c>
      <c r="F478" s="131">
        <v>52</v>
      </c>
      <c r="G478" s="120">
        <v>0</v>
      </c>
      <c r="H478" s="120"/>
      <c r="I478" s="131">
        <v>1</v>
      </c>
      <c r="J478" s="133" t="s">
        <v>2595</v>
      </c>
      <c r="K478" s="133">
        <v>3</v>
      </c>
      <c r="L478" s="117">
        <v>65.599999999999994</v>
      </c>
      <c r="M478" s="133">
        <f t="shared" si="25"/>
        <v>13.599999999999994</v>
      </c>
      <c r="N478" s="157"/>
      <c r="O478" s="158"/>
      <c r="P478" s="158"/>
      <c r="Q478" s="158"/>
      <c r="R478" s="158"/>
      <c r="S478" s="158"/>
      <c r="T478" s="158"/>
      <c r="U478" s="158"/>
      <c r="V478" s="158"/>
      <c r="W478" s="158"/>
      <c r="X478" s="158"/>
      <c r="Y478" s="158"/>
      <c r="Z478" s="158"/>
      <c r="AA478" s="158"/>
    </row>
    <row r="479" spans="1:27" ht="15.75" customHeight="1" x14ac:dyDescent="0.55000000000000004">
      <c r="A479" s="175">
        <v>82</v>
      </c>
      <c r="B479" s="175" t="s">
        <v>1414</v>
      </c>
      <c r="C479" s="175" t="s">
        <v>999</v>
      </c>
      <c r="D479" s="176">
        <v>36927</v>
      </c>
      <c r="E479" s="131" t="s">
        <v>2891</v>
      </c>
      <c r="F479" s="131">
        <v>44</v>
      </c>
      <c r="G479" s="120">
        <v>0</v>
      </c>
      <c r="H479" s="120"/>
      <c r="I479" s="131">
        <v>1</v>
      </c>
      <c r="J479" s="133" t="s">
        <v>2595</v>
      </c>
      <c r="K479" s="133">
        <v>3</v>
      </c>
      <c r="L479" s="117">
        <v>66.599999999999994</v>
      </c>
      <c r="M479" s="133">
        <f t="shared" si="25"/>
        <v>22.599999999999994</v>
      </c>
      <c r="N479" s="157"/>
      <c r="O479" s="158"/>
      <c r="P479" s="158"/>
      <c r="Q479" s="158"/>
      <c r="R479" s="158"/>
      <c r="S479" s="158"/>
      <c r="T479" s="158"/>
      <c r="U479" s="158"/>
      <c r="V479" s="158"/>
      <c r="W479" s="158"/>
      <c r="X479" s="158"/>
      <c r="Y479" s="158"/>
      <c r="Z479" s="158"/>
      <c r="AA479" s="158"/>
    </row>
    <row r="480" spans="1:27" ht="15.75" customHeight="1" x14ac:dyDescent="0.55000000000000004">
      <c r="A480" s="175">
        <v>82</v>
      </c>
      <c r="B480" s="175" t="s">
        <v>1414</v>
      </c>
      <c r="C480" s="175" t="s">
        <v>999</v>
      </c>
      <c r="D480" s="176">
        <v>36927</v>
      </c>
      <c r="E480" s="131" t="s">
        <v>2892</v>
      </c>
      <c r="F480" s="131">
        <v>47</v>
      </c>
      <c r="G480" s="120">
        <v>0</v>
      </c>
      <c r="H480" s="120"/>
      <c r="I480" s="131">
        <v>0</v>
      </c>
      <c r="J480" s="133" t="s">
        <v>853</v>
      </c>
      <c r="K480" s="133">
        <v>0</v>
      </c>
      <c r="L480" s="117">
        <v>65.599999999999994</v>
      </c>
      <c r="M480" s="133">
        <f t="shared" si="25"/>
        <v>18.599999999999994</v>
      </c>
      <c r="N480" s="157"/>
      <c r="O480" s="158"/>
      <c r="P480" s="158"/>
      <c r="Q480" s="158"/>
      <c r="R480" s="158"/>
      <c r="S480" s="158"/>
      <c r="T480" s="158"/>
      <c r="U480" s="158"/>
      <c r="V480" s="158"/>
      <c r="W480" s="158"/>
      <c r="X480" s="158"/>
      <c r="Y480" s="158"/>
      <c r="Z480" s="158"/>
      <c r="AA480" s="158"/>
    </row>
    <row r="481" spans="1:27" ht="15.75" customHeight="1" x14ac:dyDescent="0.55000000000000004">
      <c r="A481" s="159">
        <v>83</v>
      </c>
      <c r="B481" s="159" t="s">
        <v>1418</v>
      </c>
      <c r="C481" s="159" t="s">
        <v>1419</v>
      </c>
      <c r="D481" s="160">
        <v>37075</v>
      </c>
      <c r="E481" s="120" t="s">
        <v>2893</v>
      </c>
      <c r="F481" s="131">
        <v>44</v>
      </c>
      <c r="G481" s="120">
        <v>0</v>
      </c>
      <c r="H481" s="120">
        <v>2</v>
      </c>
      <c r="I481" s="120">
        <v>0</v>
      </c>
      <c r="J481" s="133" t="s">
        <v>853</v>
      </c>
      <c r="K481" s="133">
        <v>0</v>
      </c>
      <c r="L481" s="117">
        <v>66.599999999999994</v>
      </c>
      <c r="M481" s="133">
        <f t="shared" si="25"/>
        <v>22.599999999999994</v>
      </c>
      <c r="N481" s="157"/>
      <c r="O481" s="158"/>
      <c r="P481" s="158"/>
      <c r="Q481" s="158"/>
      <c r="R481" s="158"/>
      <c r="S481" s="158"/>
      <c r="T481" s="158"/>
      <c r="U481" s="158"/>
      <c r="V481" s="158"/>
      <c r="W481" s="158"/>
      <c r="X481" s="158"/>
      <c r="Y481" s="158"/>
      <c r="Z481" s="158"/>
      <c r="AA481" s="158"/>
    </row>
    <row r="482" spans="1:27" ht="15.75" customHeight="1" x14ac:dyDescent="0.55000000000000004">
      <c r="A482" s="159">
        <v>83</v>
      </c>
      <c r="B482" s="159" t="s">
        <v>1418</v>
      </c>
      <c r="C482" s="159" t="s">
        <v>1419</v>
      </c>
      <c r="D482" s="160">
        <v>37075</v>
      </c>
      <c r="E482" s="120" t="s">
        <v>2894</v>
      </c>
      <c r="F482" s="131">
        <v>23</v>
      </c>
      <c r="G482" s="120">
        <v>0</v>
      </c>
      <c r="H482" s="120">
        <v>2</v>
      </c>
      <c r="I482" s="120">
        <v>0</v>
      </c>
      <c r="J482" s="133" t="s">
        <v>853</v>
      </c>
      <c r="K482" s="133">
        <v>0</v>
      </c>
      <c r="L482" s="117">
        <v>70</v>
      </c>
      <c r="M482" s="133">
        <f t="shared" si="25"/>
        <v>47</v>
      </c>
      <c r="N482" s="157"/>
      <c r="O482" s="158"/>
      <c r="P482" s="158"/>
      <c r="Q482" s="158"/>
      <c r="R482" s="158"/>
      <c r="S482" s="158"/>
      <c r="T482" s="158"/>
      <c r="U482" s="158"/>
      <c r="V482" s="158"/>
      <c r="W482" s="158"/>
      <c r="X482" s="158"/>
      <c r="Y482" s="158"/>
      <c r="Z482" s="158"/>
      <c r="AA482" s="158"/>
    </row>
    <row r="483" spans="1:27" ht="15.75" customHeight="1" x14ac:dyDescent="0.55000000000000004">
      <c r="A483" s="159">
        <v>83</v>
      </c>
      <c r="B483" s="159" t="s">
        <v>1418</v>
      </c>
      <c r="C483" s="159" t="s">
        <v>1419</v>
      </c>
      <c r="D483" s="160">
        <v>37075</v>
      </c>
      <c r="E483" s="120" t="s">
        <v>2895</v>
      </c>
      <c r="F483" s="131">
        <v>22</v>
      </c>
      <c r="G483" s="120">
        <v>0</v>
      </c>
      <c r="H483" s="120">
        <v>2</v>
      </c>
      <c r="I483" s="120">
        <v>0</v>
      </c>
      <c r="J483" s="133" t="s">
        <v>853</v>
      </c>
      <c r="K483" s="133">
        <v>0</v>
      </c>
      <c r="L483" s="117">
        <v>70</v>
      </c>
      <c r="M483" s="133">
        <f t="shared" si="25"/>
        <v>48</v>
      </c>
      <c r="N483" s="157"/>
      <c r="O483" s="158"/>
      <c r="P483" s="158"/>
      <c r="Q483" s="158"/>
      <c r="R483" s="158"/>
      <c r="S483" s="158"/>
      <c r="T483" s="158"/>
      <c r="U483" s="158"/>
      <c r="V483" s="158"/>
      <c r="W483" s="158"/>
      <c r="X483" s="158"/>
      <c r="Y483" s="158"/>
      <c r="Z483" s="158"/>
      <c r="AA483" s="158"/>
    </row>
    <row r="484" spans="1:27" ht="15.75" customHeight="1" x14ac:dyDescent="0.55000000000000004">
      <c r="A484" s="159">
        <v>83</v>
      </c>
      <c r="B484" s="159" t="s">
        <v>1418</v>
      </c>
      <c r="C484" s="159" t="s">
        <v>1419</v>
      </c>
      <c r="D484" s="160">
        <v>37075</v>
      </c>
      <c r="E484" s="120" t="s">
        <v>2896</v>
      </c>
      <c r="F484" s="131">
        <v>19</v>
      </c>
      <c r="G484" s="120">
        <v>1</v>
      </c>
      <c r="H484" s="120">
        <v>2</v>
      </c>
      <c r="I484" s="120">
        <v>0</v>
      </c>
      <c r="J484" s="133" t="s">
        <v>853</v>
      </c>
      <c r="K484" s="133">
        <v>0</v>
      </c>
      <c r="L484" s="117">
        <v>77.400000000000006</v>
      </c>
      <c r="M484" s="133">
        <f t="shared" si="25"/>
        <v>58.400000000000006</v>
      </c>
      <c r="N484" s="157"/>
      <c r="O484" s="158"/>
      <c r="P484" s="158"/>
      <c r="Q484" s="158"/>
      <c r="R484" s="158"/>
      <c r="S484" s="158"/>
      <c r="T484" s="158"/>
      <c r="U484" s="158"/>
      <c r="V484" s="158"/>
      <c r="W484" s="158"/>
      <c r="X484" s="158"/>
      <c r="Y484" s="158"/>
      <c r="Z484" s="158"/>
      <c r="AA484" s="158"/>
    </row>
    <row r="485" spans="1:27" ht="15.75" customHeight="1" x14ac:dyDescent="0.55000000000000004">
      <c r="A485" s="162">
        <v>84</v>
      </c>
      <c r="B485" s="162" t="s">
        <v>1226</v>
      </c>
      <c r="C485" s="162" t="s">
        <v>890</v>
      </c>
      <c r="D485" s="163">
        <v>37142</v>
      </c>
      <c r="E485" s="120" t="s">
        <v>2897</v>
      </c>
      <c r="F485" s="131">
        <v>48</v>
      </c>
      <c r="G485" s="120">
        <v>0</v>
      </c>
      <c r="H485" s="131">
        <v>3</v>
      </c>
      <c r="I485" s="120">
        <v>1</v>
      </c>
      <c r="J485" s="133" t="s">
        <v>2387</v>
      </c>
      <c r="K485" s="133">
        <v>3</v>
      </c>
      <c r="L485" s="117">
        <v>65.599999999999994</v>
      </c>
      <c r="M485" s="133">
        <f t="shared" si="25"/>
        <v>17.599999999999994</v>
      </c>
      <c r="N485" s="157"/>
      <c r="O485" s="158"/>
      <c r="P485" s="158"/>
      <c r="Q485" s="158"/>
      <c r="R485" s="158"/>
      <c r="S485" s="158"/>
      <c r="T485" s="158"/>
      <c r="U485" s="158"/>
      <c r="V485" s="158"/>
      <c r="W485" s="158"/>
      <c r="X485" s="158"/>
      <c r="Y485" s="158"/>
      <c r="Z485" s="158"/>
      <c r="AA485" s="158"/>
    </row>
    <row r="486" spans="1:27" ht="15.75" customHeight="1" x14ac:dyDescent="0.55000000000000004">
      <c r="A486" s="162">
        <v>84</v>
      </c>
      <c r="B486" s="162" t="s">
        <v>1226</v>
      </c>
      <c r="C486" s="162" t="s">
        <v>890</v>
      </c>
      <c r="D486" s="163">
        <v>37142</v>
      </c>
      <c r="E486" s="120" t="s">
        <v>2898</v>
      </c>
      <c r="F486" s="131">
        <v>19</v>
      </c>
      <c r="G486" s="120">
        <v>0</v>
      </c>
      <c r="H486" s="161" t="str">
        <f>HYPERLINK("https://www.findagrave.com/memorial/156986991/john-derek-glimstad","0")</f>
        <v>0</v>
      </c>
      <c r="I486" s="120">
        <v>0</v>
      </c>
      <c r="J486" s="133" t="s">
        <v>853</v>
      </c>
      <c r="K486" s="133">
        <v>0</v>
      </c>
      <c r="L486" s="117">
        <v>70.7</v>
      </c>
      <c r="M486" s="133">
        <f t="shared" si="25"/>
        <v>51.7</v>
      </c>
      <c r="N486" s="157"/>
      <c r="O486" s="158"/>
      <c r="P486" s="158"/>
      <c r="Q486" s="158"/>
      <c r="R486" s="158"/>
      <c r="S486" s="158"/>
      <c r="T486" s="158"/>
      <c r="U486" s="158"/>
      <c r="V486" s="158"/>
      <c r="W486" s="158"/>
      <c r="X486" s="158"/>
      <c r="Y486" s="158"/>
      <c r="Z486" s="158"/>
      <c r="AA486" s="158"/>
    </row>
    <row r="487" spans="1:27" ht="15.75" customHeight="1" x14ac:dyDescent="0.55000000000000004">
      <c r="A487" s="162">
        <v>84</v>
      </c>
      <c r="B487" s="162" t="s">
        <v>1226</v>
      </c>
      <c r="C487" s="162" t="s">
        <v>890</v>
      </c>
      <c r="D487" s="163">
        <v>37142</v>
      </c>
      <c r="E487" s="131" t="s">
        <v>2899</v>
      </c>
      <c r="F487" s="131">
        <v>32</v>
      </c>
      <c r="G487" s="120">
        <v>1</v>
      </c>
      <c r="H487" s="131">
        <v>1</v>
      </c>
      <c r="I487" s="120">
        <v>1</v>
      </c>
      <c r="J487" s="133" t="s">
        <v>2387</v>
      </c>
      <c r="K487" s="133">
        <v>3</v>
      </c>
      <c r="L487" s="117">
        <v>68.3</v>
      </c>
      <c r="M487" s="133">
        <f t="shared" si="25"/>
        <v>36.299999999999997</v>
      </c>
      <c r="N487" s="157"/>
      <c r="O487" s="158"/>
      <c r="P487" s="158"/>
      <c r="Q487" s="158"/>
      <c r="R487" s="158"/>
      <c r="S487" s="158"/>
      <c r="T487" s="158"/>
      <c r="U487" s="158"/>
      <c r="V487" s="158"/>
      <c r="W487" s="158"/>
      <c r="X487" s="158"/>
      <c r="Y487" s="158"/>
      <c r="Z487" s="158"/>
      <c r="AA487" s="158"/>
    </row>
    <row r="488" spans="1:27" ht="15.75" customHeight="1" x14ac:dyDescent="0.55000000000000004">
      <c r="A488" s="162">
        <v>84</v>
      </c>
      <c r="B488" s="162" t="s">
        <v>1226</v>
      </c>
      <c r="C488" s="162" t="s">
        <v>890</v>
      </c>
      <c r="D488" s="163">
        <v>37142</v>
      </c>
      <c r="E488" s="120" t="s">
        <v>2900</v>
      </c>
      <c r="F488" s="131">
        <v>20</v>
      </c>
      <c r="G488" s="120">
        <v>1</v>
      </c>
      <c r="H488" s="131">
        <v>0</v>
      </c>
      <c r="I488" s="120">
        <v>1</v>
      </c>
      <c r="J488" s="133" t="s">
        <v>2537</v>
      </c>
      <c r="K488" s="133">
        <v>2</v>
      </c>
      <c r="L488" s="117">
        <v>78.099999999999994</v>
      </c>
      <c r="M488" s="133">
        <f t="shared" si="25"/>
        <v>58.099999999999994</v>
      </c>
      <c r="N488" s="157"/>
      <c r="O488" s="158"/>
      <c r="P488" s="158"/>
      <c r="Q488" s="158"/>
      <c r="R488" s="158"/>
      <c r="S488" s="158"/>
      <c r="T488" s="158"/>
      <c r="U488" s="158"/>
      <c r="V488" s="158"/>
      <c r="W488" s="158"/>
      <c r="X488" s="158"/>
      <c r="Y488" s="158"/>
      <c r="Z488" s="158"/>
      <c r="AA488" s="158"/>
    </row>
    <row r="489" spans="1:27" ht="15.75" customHeight="1" x14ac:dyDescent="0.55000000000000004">
      <c r="A489" s="162">
        <v>84</v>
      </c>
      <c r="B489" s="162" t="s">
        <v>1226</v>
      </c>
      <c r="C489" s="162" t="s">
        <v>890</v>
      </c>
      <c r="D489" s="163">
        <v>37143</v>
      </c>
      <c r="E489" s="120" t="s">
        <v>2901</v>
      </c>
      <c r="F489" s="131">
        <v>28</v>
      </c>
      <c r="G489" s="120">
        <v>0</v>
      </c>
      <c r="H489" s="131">
        <v>0</v>
      </c>
      <c r="I489" s="120">
        <v>1</v>
      </c>
      <c r="J489" s="133" t="s">
        <v>2391</v>
      </c>
      <c r="K489" s="133">
        <v>3</v>
      </c>
      <c r="L489" s="117">
        <v>69.5</v>
      </c>
      <c r="M489" s="133">
        <f t="shared" si="25"/>
        <v>41.5</v>
      </c>
      <c r="N489" s="157"/>
      <c r="O489" s="158"/>
      <c r="P489" s="158"/>
      <c r="Q489" s="158"/>
      <c r="R489" s="158"/>
      <c r="S489" s="158"/>
      <c r="T489" s="158"/>
      <c r="U489" s="158"/>
      <c r="V489" s="158"/>
      <c r="W489" s="158"/>
      <c r="X489" s="158"/>
      <c r="Y489" s="158"/>
      <c r="Z489" s="158"/>
      <c r="AA489" s="158"/>
    </row>
    <row r="490" spans="1:27" ht="15.75" customHeight="1" x14ac:dyDescent="0.55000000000000004">
      <c r="A490" s="171">
        <v>85</v>
      </c>
      <c r="B490" s="171" t="s">
        <v>1430</v>
      </c>
      <c r="C490" s="171" t="s">
        <v>999</v>
      </c>
      <c r="D490" s="172">
        <v>37337</v>
      </c>
      <c r="E490" s="120" t="s">
        <v>2902</v>
      </c>
      <c r="F490" s="131">
        <v>73</v>
      </c>
      <c r="G490" s="120">
        <v>0</v>
      </c>
      <c r="H490" s="120"/>
      <c r="I490" s="120">
        <v>1</v>
      </c>
      <c r="J490" s="133" t="s">
        <v>2903</v>
      </c>
      <c r="K490" s="133">
        <v>3</v>
      </c>
      <c r="L490" s="117">
        <v>80.599999999999994</v>
      </c>
      <c r="M490" s="133">
        <f t="shared" si="25"/>
        <v>7.5999999999999943</v>
      </c>
      <c r="N490" s="157"/>
      <c r="O490" s="158"/>
      <c r="P490" s="158"/>
      <c r="Q490" s="158"/>
      <c r="R490" s="158"/>
      <c r="S490" s="158"/>
      <c r="T490" s="158"/>
      <c r="U490" s="158"/>
      <c r="V490" s="158"/>
      <c r="W490" s="158"/>
      <c r="X490" s="158"/>
      <c r="Y490" s="158"/>
      <c r="Z490" s="158"/>
      <c r="AA490" s="158"/>
    </row>
    <row r="491" spans="1:27" ht="15.75" customHeight="1" x14ac:dyDescent="0.55000000000000004">
      <c r="A491" s="171">
        <v>85</v>
      </c>
      <c r="B491" s="171" t="s">
        <v>1430</v>
      </c>
      <c r="C491" s="171" t="s">
        <v>999</v>
      </c>
      <c r="D491" s="172">
        <v>37337</v>
      </c>
      <c r="E491" s="120" t="s">
        <v>2904</v>
      </c>
      <c r="F491" s="131">
        <v>47</v>
      </c>
      <c r="G491" s="120">
        <v>0</v>
      </c>
      <c r="H491" s="120"/>
      <c r="I491" s="120">
        <v>1</v>
      </c>
      <c r="J491" s="133" t="s">
        <v>2903</v>
      </c>
      <c r="K491" s="133">
        <v>3</v>
      </c>
      <c r="L491" s="117">
        <v>66.599999999999994</v>
      </c>
      <c r="M491" s="133">
        <f t="shared" si="25"/>
        <v>19.599999999999994</v>
      </c>
      <c r="N491" s="157"/>
      <c r="O491" s="158"/>
      <c r="P491" s="158"/>
      <c r="Q491" s="158"/>
      <c r="R491" s="158"/>
      <c r="S491" s="158"/>
      <c r="T491" s="158"/>
      <c r="U491" s="158"/>
      <c r="V491" s="158"/>
      <c r="W491" s="158"/>
      <c r="X491" s="158"/>
      <c r="Y491" s="158"/>
      <c r="Z491" s="158"/>
      <c r="AA491" s="158"/>
    </row>
    <row r="492" spans="1:27" ht="15.75" customHeight="1" x14ac:dyDescent="0.55000000000000004">
      <c r="A492" s="171">
        <v>85</v>
      </c>
      <c r="B492" s="171" t="s">
        <v>1430</v>
      </c>
      <c r="C492" s="171" t="s">
        <v>999</v>
      </c>
      <c r="D492" s="172">
        <v>37337</v>
      </c>
      <c r="E492" s="120" t="s">
        <v>2905</v>
      </c>
      <c r="F492" s="131">
        <v>42</v>
      </c>
      <c r="G492" s="120">
        <v>0</v>
      </c>
      <c r="H492" s="161" t="str">
        <f>HYPERLINK("https://www.findagrave.com/memorial/53673919/robert-c_-downs","0")</f>
        <v>0</v>
      </c>
      <c r="I492" s="120">
        <v>1</v>
      </c>
      <c r="J492" s="133" t="s">
        <v>2903</v>
      </c>
      <c r="K492" s="133">
        <v>3</v>
      </c>
      <c r="L492" s="117">
        <v>67.400000000000006</v>
      </c>
      <c r="M492" s="133">
        <f t="shared" si="25"/>
        <v>25.400000000000006</v>
      </c>
      <c r="N492" s="157"/>
      <c r="O492" s="158"/>
      <c r="P492" s="158"/>
      <c r="Q492" s="158"/>
      <c r="R492" s="158"/>
      <c r="S492" s="158"/>
      <c r="T492" s="158"/>
      <c r="U492" s="158"/>
      <c r="V492" s="158"/>
      <c r="W492" s="158"/>
      <c r="X492" s="158"/>
      <c r="Y492" s="158"/>
      <c r="Z492" s="158"/>
      <c r="AA492" s="158"/>
    </row>
    <row r="493" spans="1:27" ht="15.75" customHeight="1" x14ac:dyDescent="0.55000000000000004">
      <c r="A493" s="171">
        <v>85</v>
      </c>
      <c r="B493" s="171" t="s">
        <v>1430</v>
      </c>
      <c r="C493" s="171" t="s">
        <v>999</v>
      </c>
      <c r="D493" s="172">
        <v>37337</v>
      </c>
      <c r="E493" s="120" t="s">
        <v>2906</v>
      </c>
      <c r="F493" s="131">
        <v>51</v>
      </c>
      <c r="G493" s="120">
        <v>0</v>
      </c>
      <c r="H493" s="120"/>
      <c r="I493" s="120">
        <v>1</v>
      </c>
      <c r="J493" s="133" t="s">
        <v>2903</v>
      </c>
      <c r="K493" s="133">
        <v>3</v>
      </c>
      <c r="L493" s="117">
        <v>65.599999999999994</v>
      </c>
      <c r="M493" s="133">
        <f t="shared" si="25"/>
        <v>14.599999999999994</v>
      </c>
      <c r="N493" s="157"/>
      <c r="O493" s="158"/>
      <c r="P493" s="158"/>
      <c r="Q493" s="158"/>
      <c r="R493" s="158"/>
      <c r="S493" s="158"/>
      <c r="T493" s="158"/>
      <c r="U493" s="158"/>
      <c r="V493" s="158"/>
      <c r="W493" s="158"/>
      <c r="X493" s="158"/>
      <c r="Y493" s="158"/>
      <c r="Z493" s="158"/>
      <c r="AA493" s="158"/>
    </row>
    <row r="494" spans="1:27" ht="15.75" customHeight="1" x14ac:dyDescent="0.55000000000000004">
      <c r="A494" s="180">
        <v>86</v>
      </c>
      <c r="B494" s="180" t="s">
        <v>1435</v>
      </c>
      <c r="C494" s="180" t="s">
        <v>1436</v>
      </c>
      <c r="D494" s="179">
        <v>37677</v>
      </c>
      <c r="E494" s="120" t="s">
        <v>2907</v>
      </c>
      <c r="F494" s="131">
        <v>47</v>
      </c>
      <c r="G494" s="120">
        <v>0</v>
      </c>
      <c r="H494" s="120"/>
      <c r="I494" s="131">
        <v>1</v>
      </c>
      <c r="J494" s="133" t="s">
        <v>2908</v>
      </c>
      <c r="K494" s="133">
        <v>5</v>
      </c>
      <c r="L494" s="117">
        <v>66.599999999999994</v>
      </c>
      <c r="M494" s="133">
        <f t="shared" si="25"/>
        <v>19.599999999999994</v>
      </c>
      <c r="N494" s="157"/>
      <c r="O494" s="158"/>
      <c r="P494" s="158"/>
      <c r="Q494" s="158"/>
      <c r="R494" s="158"/>
      <c r="S494" s="158"/>
      <c r="T494" s="158"/>
      <c r="U494" s="158"/>
      <c r="V494" s="158"/>
      <c r="W494" s="158"/>
      <c r="X494" s="158"/>
      <c r="Y494" s="158"/>
      <c r="Z494" s="158"/>
      <c r="AA494" s="158"/>
    </row>
    <row r="495" spans="1:27" ht="15.75" customHeight="1" x14ac:dyDescent="0.55000000000000004">
      <c r="A495" s="180">
        <v>86</v>
      </c>
      <c r="B495" s="180" t="s">
        <v>1435</v>
      </c>
      <c r="C495" s="180" t="s">
        <v>1436</v>
      </c>
      <c r="D495" s="179">
        <v>37677</v>
      </c>
      <c r="E495" s="120" t="s">
        <v>2909</v>
      </c>
      <c r="F495" s="131">
        <v>61</v>
      </c>
      <c r="G495" s="120">
        <v>0</v>
      </c>
      <c r="H495" s="120"/>
      <c r="I495" s="131">
        <v>1</v>
      </c>
      <c r="J495" s="133" t="s">
        <v>2908</v>
      </c>
      <c r="K495" s="133">
        <v>5</v>
      </c>
      <c r="L495" s="117">
        <v>65.599999999999994</v>
      </c>
      <c r="M495" s="133">
        <f t="shared" si="25"/>
        <v>4.5999999999999943</v>
      </c>
      <c r="N495" s="157"/>
      <c r="O495" s="158"/>
      <c r="P495" s="158"/>
      <c r="Q495" s="158"/>
      <c r="R495" s="158"/>
      <c r="S495" s="158"/>
      <c r="T495" s="158"/>
      <c r="U495" s="158"/>
      <c r="V495" s="158"/>
      <c r="W495" s="158"/>
      <c r="X495" s="158"/>
      <c r="Y495" s="158"/>
      <c r="Z495" s="158"/>
      <c r="AA495" s="158"/>
    </row>
    <row r="496" spans="1:27" ht="15.75" customHeight="1" x14ac:dyDescent="0.55000000000000004">
      <c r="A496" s="180">
        <v>86</v>
      </c>
      <c r="B496" s="180" t="s">
        <v>1435</v>
      </c>
      <c r="C496" s="180" t="s">
        <v>1436</v>
      </c>
      <c r="D496" s="179">
        <v>37677</v>
      </c>
      <c r="E496" s="131" t="s">
        <v>2910</v>
      </c>
      <c r="F496" s="131">
        <v>22</v>
      </c>
      <c r="G496" s="120">
        <v>0</v>
      </c>
      <c r="H496" s="120"/>
      <c r="I496" s="131">
        <v>1</v>
      </c>
      <c r="J496" s="133" t="s">
        <v>2908</v>
      </c>
      <c r="K496" s="133">
        <v>5</v>
      </c>
      <c r="L496" s="117">
        <v>70</v>
      </c>
      <c r="M496" s="133">
        <f t="shared" si="25"/>
        <v>48</v>
      </c>
      <c r="N496" s="157"/>
      <c r="O496" s="158"/>
      <c r="P496" s="158"/>
      <c r="Q496" s="158"/>
      <c r="R496" s="158"/>
      <c r="S496" s="158"/>
      <c r="T496" s="158"/>
      <c r="U496" s="158"/>
      <c r="V496" s="158"/>
      <c r="W496" s="158"/>
      <c r="X496" s="158"/>
      <c r="Y496" s="158"/>
      <c r="Z496" s="158"/>
      <c r="AA496" s="158"/>
    </row>
    <row r="497" spans="1:27" ht="15.75" customHeight="1" x14ac:dyDescent="0.55000000000000004">
      <c r="A497" s="180">
        <v>86</v>
      </c>
      <c r="B497" s="180" t="s">
        <v>1435</v>
      </c>
      <c r="C497" s="180" t="s">
        <v>1436</v>
      </c>
      <c r="D497" s="179">
        <v>37677</v>
      </c>
      <c r="E497" s="120" t="s">
        <v>2911</v>
      </c>
      <c r="F497" s="131">
        <v>46</v>
      </c>
      <c r="G497" s="120">
        <v>0</v>
      </c>
      <c r="H497" s="120"/>
      <c r="I497" s="131">
        <v>1</v>
      </c>
      <c r="J497" s="133" t="s">
        <v>2908</v>
      </c>
      <c r="K497" s="133">
        <v>5</v>
      </c>
      <c r="L497" s="117">
        <v>66.599999999999994</v>
      </c>
      <c r="M497" s="133">
        <f t="shared" si="25"/>
        <v>20.599999999999994</v>
      </c>
      <c r="N497" s="157"/>
      <c r="O497" s="158"/>
      <c r="P497" s="158"/>
      <c r="Q497" s="158"/>
      <c r="R497" s="158"/>
      <c r="S497" s="158"/>
      <c r="T497" s="158"/>
      <c r="U497" s="158"/>
      <c r="V497" s="158"/>
      <c r="W497" s="158"/>
      <c r="X497" s="158"/>
      <c r="Y497" s="158"/>
      <c r="Z497" s="158"/>
      <c r="AA497" s="158"/>
    </row>
    <row r="498" spans="1:27" ht="15.75" customHeight="1" x14ac:dyDescent="0.55000000000000004">
      <c r="A498" s="166">
        <v>87</v>
      </c>
      <c r="B498" s="166" t="s">
        <v>1441</v>
      </c>
      <c r="C498" s="166" t="s">
        <v>1442</v>
      </c>
      <c r="D498" s="167">
        <v>37810</v>
      </c>
      <c r="E498" s="120" t="s">
        <v>2912</v>
      </c>
      <c r="F498" s="131">
        <v>53</v>
      </c>
      <c r="G498" s="131">
        <v>1</v>
      </c>
      <c r="H498" s="131">
        <v>1</v>
      </c>
      <c r="I498" s="120">
        <v>1</v>
      </c>
      <c r="J498" s="133" t="s">
        <v>2387</v>
      </c>
      <c r="K498" s="133">
        <v>3</v>
      </c>
      <c r="L498" s="117">
        <v>62.9</v>
      </c>
      <c r="M498" s="133">
        <f t="shared" si="25"/>
        <v>9.8999999999999986</v>
      </c>
      <c r="N498" s="157"/>
      <c r="O498" s="158"/>
      <c r="P498" s="158"/>
      <c r="Q498" s="158"/>
      <c r="R498" s="158"/>
      <c r="S498" s="158"/>
      <c r="T498" s="158"/>
      <c r="U498" s="158"/>
      <c r="V498" s="158"/>
      <c r="W498" s="158"/>
      <c r="X498" s="158"/>
      <c r="Y498" s="158"/>
      <c r="Z498" s="158"/>
      <c r="AA498" s="158"/>
    </row>
    <row r="499" spans="1:27" ht="15.75" customHeight="1" x14ac:dyDescent="0.55000000000000004">
      <c r="A499" s="166">
        <v>87</v>
      </c>
      <c r="B499" s="166" t="s">
        <v>1441</v>
      </c>
      <c r="C499" s="166" t="s">
        <v>1442</v>
      </c>
      <c r="D499" s="167">
        <v>37810</v>
      </c>
      <c r="E499" s="120" t="s">
        <v>2913</v>
      </c>
      <c r="F499" s="131">
        <v>46</v>
      </c>
      <c r="G499" s="131">
        <v>0</v>
      </c>
      <c r="H499" s="131">
        <v>1</v>
      </c>
      <c r="I499" s="120">
        <v>1</v>
      </c>
      <c r="J499" s="133" t="s">
        <v>2387</v>
      </c>
      <c r="K499" s="133">
        <v>3</v>
      </c>
      <c r="L499" s="117">
        <v>61.1</v>
      </c>
      <c r="M499" s="133">
        <f t="shared" si="25"/>
        <v>15.100000000000001</v>
      </c>
      <c r="N499" s="157"/>
      <c r="O499" s="158"/>
      <c r="P499" s="158"/>
      <c r="Q499" s="158"/>
      <c r="R499" s="158"/>
      <c r="S499" s="158"/>
      <c r="T499" s="158"/>
      <c r="U499" s="158"/>
      <c r="V499" s="158"/>
      <c r="W499" s="158"/>
      <c r="X499" s="158"/>
      <c r="Y499" s="158"/>
      <c r="Z499" s="158"/>
      <c r="AA499" s="158"/>
    </row>
    <row r="500" spans="1:27" ht="15.75" customHeight="1" x14ac:dyDescent="0.55000000000000004">
      <c r="A500" s="166">
        <v>87</v>
      </c>
      <c r="B500" s="166" t="s">
        <v>1441</v>
      </c>
      <c r="C500" s="166" t="s">
        <v>1442</v>
      </c>
      <c r="D500" s="167">
        <v>37810</v>
      </c>
      <c r="E500" s="120" t="s">
        <v>2914</v>
      </c>
      <c r="F500" s="131">
        <v>45</v>
      </c>
      <c r="G500" s="120">
        <v>0</v>
      </c>
      <c r="H500" s="131">
        <v>0</v>
      </c>
      <c r="I500" s="120">
        <v>1</v>
      </c>
      <c r="J500" s="133" t="s">
        <v>2387</v>
      </c>
      <c r="K500" s="133">
        <v>3</v>
      </c>
      <c r="L500" s="117">
        <v>67.400000000000006</v>
      </c>
      <c r="M500" s="133">
        <f t="shared" si="25"/>
        <v>22.400000000000006</v>
      </c>
      <c r="N500" s="157"/>
      <c r="O500" s="158"/>
      <c r="P500" s="158"/>
      <c r="Q500" s="158"/>
      <c r="R500" s="158"/>
      <c r="S500" s="158"/>
      <c r="T500" s="158"/>
      <c r="U500" s="158"/>
      <c r="V500" s="158"/>
      <c r="W500" s="158"/>
      <c r="X500" s="158"/>
      <c r="Y500" s="158"/>
      <c r="Z500" s="158"/>
      <c r="AA500" s="158"/>
    </row>
    <row r="501" spans="1:27" ht="15.75" customHeight="1" x14ac:dyDescent="0.55000000000000004">
      <c r="A501" s="166">
        <v>87</v>
      </c>
      <c r="B501" s="166" t="s">
        <v>1441</v>
      </c>
      <c r="C501" s="166" t="s">
        <v>1442</v>
      </c>
      <c r="D501" s="167">
        <v>37810</v>
      </c>
      <c r="E501" s="120" t="s">
        <v>2915</v>
      </c>
      <c r="F501" s="131">
        <v>47</v>
      </c>
      <c r="G501" s="120">
        <v>1</v>
      </c>
      <c r="H501" s="120">
        <v>1</v>
      </c>
      <c r="I501" s="120">
        <v>1</v>
      </c>
      <c r="J501" s="133" t="s">
        <v>2387</v>
      </c>
      <c r="K501" s="133">
        <v>3</v>
      </c>
      <c r="L501" s="117">
        <v>66.3</v>
      </c>
      <c r="M501" s="133">
        <f t="shared" si="25"/>
        <v>19.299999999999997</v>
      </c>
      <c r="N501" s="157"/>
      <c r="O501" s="158"/>
      <c r="P501" s="158"/>
      <c r="Q501" s="158"/>
      <c r="R501" s="158"/>
      <c r="S501" s="158"/>
      <c r="T501" s="158"/>
      <c r="U501" s="158"/>
      <c r="V501" s="158"/>
      <c r="W501" s="158"/>
      <c r="X501" s="158"/>
      <c r="Y501" s="158"/>
      <c r="Z501" s="158"/>
      <c r="AA501" s="158"/>
    </row>
    <row r="502" spans="1:27" ht="15.75" customHeight="1" x14ac:dyDescent="0.55000000000000004">
      <c r="A502" s="166">
        <v>87</v>
      </c>
      <c r="B502" s="166" t="s">
        <v>1441</v>
      </c>
      <c r="C502" s="166" t="s">
        <v>1442</v>
      </c>
      <c r="D502" s="167">
        <v>37810</v>
      </c>
      <c r="E502" s="120" t="s">
        <v>2916</v>
      </c>
      <c r="F502" s="131">
        <v>58</v>
      </c>
      <c r="G502" s="120">
        <v>0</v>
      </c>
      <c r="H502" s="131">
        <v>1</v>
      </c>
      <c r="I502" s="120">
        <v>1</v>
      </c>
      <c r="J502" s="133" t="s">
        <v>2387</v>
      </c>
      <c r="K502" s="133">
        <v>3</v>
      </c>
      <c r="L502" s="117">
        <v>59.1</v>
      </c>
      <c r="M502" s="133">
        <f t="shared" si="25"/>
        <v>1.1000000000000014</v>
      </c>
      <c r="N502" s="157"/>
      <c r="O502" s="158"/>
      <c r="P502" s="158"/>
      <c r="Q502" s="158"/>
      <c r="R502" s="158"/>
      <c r="S502" s="158"/>
      <c r="T502" s="158"/>
      <c r="U502" s="158"/>
      <c r="V502" s="158"/>
      <c r="W502" s="158"/>
      <c r="X502" s="158"/>
      <c r="Y502" s="158"/>
      <c r="Z502" s="158"/>
      <c r="AA502" s="158"/>
    </row>
    <row r="503" spans="1:27" ht="15.75" customHeight="1" x14ac:dyDescent="0.55000000000000004">
      <c r="A503" s="166">
        <v>87</v>
      </c>
      <c r="B503" s="166" t="s">
        <v>1441</v>
      </c>
      <c r="C503" s="166" t="s">
        <v>1442</v>
      </c>
      <c r="D503" s="167">
        <v>37810</v>
      </c>
      <c r="E503" s="120" t="s">
        <v>2917</v>
      </c>
      <c r="F503" s="131">
        <v>57</v>
      </c>
      <c r="G503" s="120">
        <v>0</v>
      </c>
      <c r="H503" s="131">
        <v>1</v>
      </c>
      <c r="I503" s="120">
        <v>1</v>
      </c>
      <c r="J503" s="133" t="s">
        <v>2387</v>
      </c>
      <c r="K503" s="133">
        <v>3</v>
      </c>
      <c r="L503" s="117">
        <v>59.1</v>
      </c>
      <c r="M503" s="133">
        <f t="shared" si="25"/>
        <v>2.1000000000000014</v>
      </c>
      <c r="N503" s="157"/>
      <c r="O503" s="158"/>
      <c r="P503" s="158"/>
      <c r="Q503" s="158"/>
      <c r="R503" s="158"/>
      <c r="S503" s="158"/>
      <c r="T503" s="158"/>
      <c r="U503" s="158"/>
      <c r="V503" s="158"/>
      <c r="W503" s="158"/>
      <c r="X503" s="158"/>
      <c r="Y503" s="158"/>
      <c r="Z503" s="158"/>
      <c r="AA503" s="158"/>
    </row>
    <row r="504" spans="1:27" ht="15.75" customHeight="1" x14ac:dyDescent="0.55000000000000004">
      <c r="A504" s="177">
        <v>88</v>
      </c>
      <c r="B504" s="177" t="s">
        <v>1448</v>
      </c>
      <c r="C504" s="177" t="s">
        <v>1449</v>
      </c>
      <c r="D504" s="178">
        <v>37860</v>
      </c>
      <c r="E504" s="120" t="s">
        <v>2918</v>
      </c>
      <c r="F504" s="131">
        <v>44</v>
      </c>
      <c r="G504" s="120">
        <v>0</v>
      </c>
      <c r="H504" s="120"/>
      <c r="I504" s="120">
        <v>1</v>
      </c>
      <c r="J504" s="133" t="s">
        <v>2595</v>
      </c>
      <c r="K504" s="133">
        <v>3</v>
      </c>
      <c r="L504" s="117">
        <v>66.599999999999994</v>
      </c>
      <c r="M504" s="133">
        <f t="shared" si="25"/>
        <v>22.599999999999994</v>
      </c>
      <c r="N504" s="157"/>
      <c r="O504" s="158"/>
      <c r="P504" s="158"/>
      <c r="Q504" s="158"/>
      <c r="R504" s="158"/>
      <c r="S504" s="158"/>
      <c r="T504" s="158"/>
      <c r="U504" s="158"/>
      <c r="V504" s="158"/>
      <c r="W504" s="158"/>
      <c r="X504" s="158"/>
      <c r="Y504" s="158"/>
      <c r="Z504" s="158"/>
      <c r="AA504" s="158"/>
    </row>
    <row r="505" spans="1:27" ht="15.75" customHeight="1" x14ac:dyDescent="0.55000000000000004">
      <c r="A505" s="177">
        <v>88</v>
      </c>
      <c r="B505" s="177" t="s">
        <v>1448</v>
      </c>
      <c r="C505" s="177" t="s">
        <v>1449</v>
      </c>
      <c r="D505" s="178">
        <v>37860</v>
      </c>
      <c r="E505" s="120" t="s">
        <v>2919</v>
      </c>
      <c r="F505" s="131">
        <v>53</v>
      </c>
      <c r="G505" s="120">
        <v>0</v>
      </c>
      <c r="H505" s="120"/>
      <c r="I505" s="120">
        <v>1</v>
      </c>
      <c r="J505" s="133" t="s">
        <v>2595</v>
      </c>
      <c r="K505" s="133">
        <v>3</v>
      </c>
      <c r="L505" s="117">
        <v>65.599999999999994</v>
      </c>
      <c r="M505" s="133">
        <f t="shared" si="25"/>
        <v>12.599999999999994</v>
      </c>
      <c r="N505" s="157"/>
      <c r="O505" s="158"/>
      <c r="P505" s="158"/>
      <c r="Q505" s="158"/>
      <c r="R505" s="158"/>
      <c r="S505" s="158"/>
      <c r="T505" s="158"/>
      <c r="U505" s="158"/>
      <c r="V505" s="158"/>
      <c r="W505" s="158"/>
      <c r="X505" s="158"/>
      <c r="Y505" s="158"/>
      <c r="Z505" s="158"/>
      <c r="AA505" s="158"/>
    </row>
    <row r="506" spans="1:27" ht="15.75" customHeight="1" x14ac:dyDescent="0.55000000000000004">
      <c r="A506" s="177">
        <v>88</v>
      </c>
      <c r="B506" s="177" t="s">
        <v>1448</v>
      </c>
      <c r="C506" s="177" t="s">
        <v>1449</v>
      </c>
      <c r="D506" s="178">
        <v>37860</v>
      </c>
      <c r="E506" s="120" t="s">
        <v>2920</v>
      </c>
      <c r="F506" s="131">
        <v>34</v>
      </c>
      <c r="G506" s="120">
        <v>0</v>
      </c>
      <c r="H506" s="131">
        <v>2</v>
      </c>
      <c r="I506" s="120">
        <v>1</v>
      </c>
      <c r="J506" s="133" t="s">
        <v>2595</v>
      </c>
      <c r="K506" s="133">
        <v>3</v>
      </c>
      <c r="L506" s="117">
        <v>67.099999999999994</v>
      </c>
      <c r="M506" s="133">
        <f t="shared" si="25"/>
        <v>33.099999999999994</v>
      </c>
      <c r="N506" s="157"/>
      <c r="O506" s="158"/>
      <c r="P506" s="158"/>
      <c r="Q506" s="158"/>
      <c r="R506" s="158"/>
      <c r="S506" s="158"/>
      <c r="T506" s="158"/>
      <c r="U506" s="158"/>
      <c r="V506" s="158"/>
      <c r="W506" s="158"/>
      <c r="X506" s="158"/>
      <c r="Y506" s="158"/>
      <c r="Z506" s="158"/>
      <c r="AA506" s="158"/>
    </row>
    <row r="507" spans="1:27" ht="15.75" customHeight="1" x14ac:dyDescent="0.55000000000000004">
      <c r="A507" s="177">
        <v>88</v>
      </c>
      <c r="B507" s="177" t="s">
        <v>1448</v>
      </c>
      <c r="C507" s="177" t="s">
        <v>1449</v>
      </c>
      <c r="D507" s="178">
        <v>37860</v>
      </c>
      <c r="E507" s="131" t="s">
        <v>2921</v>
      </c>
      <c r="F507" s="131">
        <v>50</v>
      </c>
      <c r="G507" s="120">
        <v>0</v>
      </c>
      <c r="H507" s="120"/>
      <c r="I507" s="120">
        <v>1</v>
      </c>
      <c r="J507" s="133" t="s">
        <v>2595</v>
      </c>
      <c r="K507" s="133">
        <v>3</v>
      </c>
      <c r="L507" s="117">
        <v>65.599999999999994</v>
      </c>
      <c r="M507" s="133">
        <f t="shared" si="25"/>
        <v>15.599999999999994</v>
      </c>
      <c r="N507" s="157"/>
      <c r="O507" s="158"/>
      <c r="P507" s="158"/>
      <c r="Q507" s="158"/>
      <c r="R507" s="158"/>
      <c r="S507" s="158"/>
      <c r="T507" s="158"/>
      <c r="U507" s="158"/>
      <c r="V507" s="158"/>
      <c r="W507" s="158"/>
      <c r="X507" s="158"/>
      <c r="Y507" s="158"/>
      <c r="Z507" s="158"/>
      <c r="AA507" s="158"/>
    </row>
    <row r="508" spans="1:27" ht="15.75" customHeight="1" x14ac:dyDescent="0.55000000000000004">
      <c r="A508" s="177">
        <v>88</v>
      </c>
      <c r="B508" s="177" t="s">
        <v>1448</v>
      </c>
      <c r="C508" s="177" t="s">
        <v>1449</v>
      </c>
      <c r="D508" s="178">
        <v>37860</v>
      </c>
      <c r="E508" s="120" t="s">
        <v>2922</v>
      </c>
      <c r="F508" s="131">
        <v>30</v>
      </c>
      <c r="G508" s="120">
        <v>0</v>
      </c>
      <c r="H508" s="120"/>
      <c r="I508" s="120">
        <v>1</v>
      </c>
      <c r="J508" s="133" t="s">
        <v>2595</v>
      </c>
      <c r="K508" s="133">
        <v>3</v>
      </c>
      <c r="L508" s="117">
        <v>68.8</v>
      </c>
      <c r="M508" s="133">
        <f t="shared" si="25"/>
        <v>38.799999999999997</v>
      </c>
      <c r="N508" s="157"/>
      <c r="O508" s="158"/>
      <c r="P508" s="158"/>
      <c r="Q508" s="158"/>
      <c r="R508" s="158"/>
      <c r="S508" s="158"/>
      <c r="T508" s="158"/>
      <c r="U508" s="158"/>
      <c r="V508" s="158"/>
      <c r="W508" s="158"/>
      <c r="X508" s="158"/>
      <c r="Y508" s="158"/>
      <c r="Z508" s="158"/>
      <c r="AA508" s="158"/>
    </row>
    <row r="509" spans="1:27" ht="15.75" customHeight="1" x14ac:dyDescent="0.55000000000000004">
      <c r="A509" s="177">
        <v>88</v>
      </c>
      <c r="B509" s="177" t="s">
        <v>1448</v>
      </c>
      <c r="C509" s="177" t="s">
        <v>1449</v>
      </c>
      <c r="D509" s="178">
        <v>37860</v>
      </c>
      <c r="E509" s="120" t="s">
        <v>2923</v>
      </c>
      <c r="F509" s="131">
        <v>59</v>
      </c>
      <c r="G509" s="120">
        <v>0</v>
      </c>
      <c r="H509" s="120"/>
      <c r="I509" s="120">
        <v>1</v>
      </c>
      <c r="J509" s="133" t="s">
        <v>2595</v>
      </c>
      <c r="K509" s="133">
        <v>3</v>
      </c>
      <c r="L509" s="117">
        <v>65.599999999999994</v>
      </c>
      <c r="M509" s="133">
        <f t="shared" si="25"/>
        <v>6.5999999999999943</v>
      </c>
      <c r="N509" s="157"/>
      <c r="O509" s="158"/>
      <c r="P509" s="158"/>
      <c r="Q509" s="158"/>
      <c r="R509" s="158"/>
      <c r="S509" s="158"/>
      <c r="T509" s="158"/>
      <c r="U509" s="158"/>
      <c r="V509" s="158"/>
      <c r="W509" s="158"/>
      <c r="X509" s="158"/>
      <c r="Y509" s="158"/>
      <c r="Z509" s="158"/>
      <c r="AA509" s="158"/>
    </row>
    <row r="510" spans="1:27" ht="15.75" customHeight="1" x14ac:dyDescent="0.55000000000000004">
      <c r="A510" s="175">
        <v>89</v>
      </c>
      <c r="B510" s="175" t="s">
        <v>1454</v>
      </c>
      <c r="C510" s="175" t="s">
        <v>1455</v>
      </c>
      <c r="D510" s="176">
        <v>37918</v>
      </c>
      <c r="E510" s="120" t="s">
        <v>2924</v>
      </c>
      <c r="F510" s="131">
        <v>62</v>
      </c>
      <c r="G510" s="120">
        <v>0</v>
      </c>
      <c r="H510" s="120"/>
      <c r="I510" s="120">
        <v>0</v>
      </c>
      <c r="J510" s="133" t="s">
        <v>853</v>
      </c>
      <c r="K510" s="133">
        <v>0</v>
      </c>
      <c r="L510" s="117">
        <v>65.599999999999994</v>
      </c>
      <c r="M510" s="133">
        <f t="shared" ref="M510:M651" si="27">L510-F510</f>
        <v>3.5999999999999943</v>
      </c>
      <c r="N510" s="157"/>
      <c r="O510" s="158"/>
      <c r="P510" s="158"/>
      <c r="Q510" s="158"/>
      <c r="R510" s="158"/>
      <c r="S510" s="158"/>
      <c r="T510" s="158"/>
      <c r="U510" s="158"/>
      <c r="V510" s="158"/>
      <c r="W510" s="158"/>
      <c r="X510" s="158"/>
      <c r="Y510" s="158"/>
      <c r="Z510" s="158"/>
      <c r="AA510" s="158"/>
    </row>
    <row r="511" spans="1:27" ht="15.75" customHeight="1" x14ac:dyDescent="0.55000000000000004">
      <c r="A511" s="175">
        <v>89</v>
      </c>
      <c r="B511" s="175" t="s">
        <v>1454</v>
      </c>
      <c r="C511" s="175" t="s">
        <v>1455</v>
      </c>
      <c r="D511" s="176">
        <v>37918</v>
      </c>
      <c r="E511" s="131" t="s">
        <v>2925</v>
      </c>
      <c r="F511" s="131">
        <v>63</v>
      </c>
      <c r="G511" s="120">
        <v>0</v>
      </c>
      <c r="H511" s="120"/>
      <c r="I511" s="120">
        <v>0</v>
      </c>
      <c r="J511" s="133" t="s">
        <v>853</v>
      </c>
      <c r="K511" s="133">
        <v>0</v>
      </c>
      <c r="L511" s="117">
        <v>65.599999999999994</v>
      </c>
      <c r="M511" s="133">
        <f t="shared" si="27"/>
        <v>2.5999999999999943</v>
      </c>
      <c r="N511" s="157"/>
      <c r="O511" s="158"/>
      <c r="P511" s="158"/>
      <c r="Q511" s="158"/>
      <c r="R511" s="158"/>
      <c r="S511" s="158"/>
      <c r="T511" s="158"/>
      <c r="U511" s="158"/>
      <c r="V511" s="158"/>
      <c r="W511" s="158"/>
      <c r="X511" s="158"/>
      <c r="Y511" s="158"/>
      <c r="Z511" s="158"/>
      <c r="AA511" s="158"/>
    </row>
    <row r="512" spans="1:27" ht="15.75" customHeight="1" x14ac:dyDescent="0.55000000000000004">
      <c r="A512" s="175">
        <v>89</v>
      </c>
      <c r="B512" s="175" t="s">
        <v>1454</v>
      </c>
      <c r="C512" s="175" t="s">
        <v>1455</v>
      </c>
      <c r="D512" s="176">
        <v>37918</v>
      </c>
      <c r="E512" s="120" t="s">
        <v>2926</v>
      </c>
      <c r="F512" s="131">
        <v>84</v>
      </c>
      <c r="G512" s="120">
        <v>0</v>
      </c>
      <c r="H512" s="120"/>
      <c r="I512" s="120">
        <v>0</v>
      </c>
      <c r="J512" s="133" t="s">
        <v>853</v>
      </c>
      <c r="K512" s="133">
        <v>0</v>
      </c>
      <c r="L512" s="117">
        <v>84.7</v>
      </c>
      <c r="M512" s="133">
        <f t="shared" si="27"/>
        <v>0.70000000000000284</v>
      </c>
      <c r="N512" s="157"/>
      <c r="O512" s="158"/>
      <c r="P512" s="158"/>
      <c r="Q512" s="158"/>
      <c r="R512" s="158"/>
      <c r="S512" s="158"/>
      <c r="T512" s="158"/>
      <c r="U512" s="158"/>
      <c r="V512" s="158"/>
      <c r="W512" s="158"/>
      <c r="X512" s="158"/>
      <c r="Y512" s="158"/>
      <c r="Z512" s="158"/>
      <c r="AA512" s="158"/>
    </row>
    <row r="513" spans="1:27" ht="15.75" customHeight="1" x14ac:dyDescent="0.55000000000000004">
      <c r="A513" s="175">
        <v>89</v>
      </c>
      <c r="B513" s="175" t="s">
        <v>1454</v>
      </c>
      <c r="C513" s="175" t="s">
        <v>1455</v>
      </c>
      <c r="D513" s="176">
        <v>37918</v>
      </c>
      <c r="E513" s="131" t="s">
        <v>2927</v>
      </c>
      <c r="F513" s="131">
        <v>41</v>
      </c>
      <c r="G513" s="120">
        <v>1</v>
      </c>
      <c r="H513" s="120"/>
      <c r="I513" s="120">
        <v>1</v>
      </c>
      <c r="J513" s="133" t="s">
        <v>2537</v>
      </c>
      <c r="K513" s="133">
        <v>2</v>
      </c>
      <c r="L513" s="117">
        <v>73.099999999999994</v>
      </c>
      <c r="M513" s="133">
        <f t="shared" si="27"/>
        <v>32.099999999999994</v>
      </c>
      <c r="N513" s="157"/>
      <c r="O513" s="158"/>
      <c r="P513" s="158"/>
      <c r="Q513" s="158"/>
      <c r="R513" s="158"/>
      <c r="S513" s="158"/>
      <c r="T513" s="158"/>
      <c r="U513" s="158"/>
      <c r="V513" s="158"/>
      <c r="W513" s="158"/>
      <c r="X513" s="158"/>
      <c r="Y513" s="158"/>
      <c r="Z513" s="158"/>
      <c r="AA513" s="158"/>
    </row>
    <row r="514" spans="1:27" ht="15.75" customHeight="1" x14ac:dyDescent="0.55000000000000004">
      <c r="A514" s="159">
        <v>90</v>
      </c>
      <c r="B514" s="159" t="s">
        <v>1018</v>
      </c>
      <c r="C514" s="159" t="s">
        <v>1461</v>
      </c>
      <c r="D514" s="160">
        <v>38170</v>
      </c>
      <c r="E514" s="120" t="s">
        <v>2928</v>
      </c>
      <c r="F514" s="131">
        <v>55</v>
      </c>
      <c r="G514" s="120">
        <v>0</v>
      </c>
      <c r="H514" s="131">
        <v>1</v>
      </c>
      <c r="I514" s="120">
        <v>1</v>
      </c>
      <c r="J514" s="133" t="s">
        <v>2387</v>
      </c>
      <c r="K514" s="133">
        <v>3</v>
      </c>
      <c r="L514" s="117">
        <v>59.1</v>
      </c>
      <c r="M514" s="133">
        <f t="shared" si="27"/>
        <v>4.1000000000000014</v>
      </c>
      <c r="N514" s="157"/>
      <c r="O514" s="158"/>
      <c r="P514" s="158"/>
      <c r="Q514" s="158"/>
      <c r="R514" s="158"/>
      <c r="S514" s="158"/>
      <c r="T514" s="158"/>
      <c r="U514" s="158"/>
      <c r="V514" s="158"/>
      <c r="W514" s="158"/>
      <c r="X514" s="158"/>
      <c r="Y514" s="158"/>
      <c r="Z514" s="158"/>
      <c r="AA514" s="158"/>
    </row>
    <row r="515" spans="1:27" ht="15.75" customHeight="1" x14ac:dyDescent="0.55000000000000004">
      <c r="A515" s="159">
        <v>90</v>
      </c>
      <c r="B515" s="159" t="s">
        <v>1018</v>
      </c>
      <c r="C515" s="159" t="s">
        <v>1461</v>
      </c>
      <c r="D515" s="160">
        <v>38170</v>
      </c>
      <c r="E515" s="120" t="s">
        <v>2929</v>
      </c>
      <c r="F515" s="131">
        <v>46</v>
      </c>
      <c r="G515" s="120">
        <v>0</v>
      </c>
      <c r="H515" s="131">
        <v>1</v>
      </c>
      <c r="I515" s="120">
        <v>1</v>
      </c>
      <c r="J515" s="133" t="s">
        <v>2387</v>
      </c>
      <c r="K515" s="133">
        <v>3</v>
      </c>
      <c r="L515" s="117">
        <v>61.1</v>
      </c>
      <c r="M515" s="133">
        <f t="shared" si="27"/>
        <v>15.100000000000001</v>
      </c>
      <c r="N515" s="157"/>
      <c r="O515" s="158"/>
      <c r="P515" s="158"/>
      <c r="Q515" s="158"/>
      <c r="R515" s="158"/>
      <c r="S515" s="158"/>
      <c r="T515" s="158"/>
      <c r="U515" s="158"/>
      <c r="V515" s="158"/>
      <c r="W515" s="158"/>
      <c r="X515" s="158"/>
      <c r="Y515" s="158"/>
      <c r="Z515" s="158"/>
      <c r="AA515" s="158"/>
    </row>
    <row r="516" spans="1:27" ht="15.75" customHeight="1" x14ac:dyDescent="0.55000000000000004">
      <c r="A516" s="159">
        <v>90</v>
      </c>
      <c r="B516" s="159" t="s">
        <v>1018</v>
      </c>
      <c r="C516" s="159" t="s">
        <v>1461</v>
      </c>
      <c r="D516" s="160">
        <v>38170</v>
      </c>
      <c r="E516" s="120" t="s">
        <v>2930</v>
      </c>
      <c r="F516" s="131">
        <v>45</v>
      </c>
      <c r="G516" s="120">
        <v>0</v>
      </c>
      <c r="H516" s="131">
        <v>2</v>
      </c>
      <c r="I516" s="120">
        <v>1</v>
      </c>
      <c r="J516" s="133" t="s">
        <v>2387</v>
      </c>
      <c r="K516" s="133">
        <v>3</v>
      </c>
      <c r="L516" s="117">
        <v>66.599999999999994</v>
      </c>
      <c r="M516" s="133">
        <f t="shared" si="27"/>
        <v>21.599999999999994</v>
      </c>
      <c r="N516" s="157"/>
      <c r="O516" s="158"/>
      <c r="P516" s="158"/>
      <c r="Q516" s="158"/>
      <c r="R516" s="158"/>
      <c r="S516" s="158"/>
      <c r="T516" s="158"/>
      <c r="U516" s="158"/>
      <c r="V516" s="158"/>
      <c r="W516" s="158"/>
      <c r="X516" s="158"/>
      <c r="Y516" s="158"/>
      <c r="Z516" s="158"/>
      <c r="AA516" s="158"/>
    </row>
    <row r="517" spans="1:27" ht="15.75" customHeight="1" x14ac:dyDescent="0.55000000000000004">
      <c r="A517" s="159">
        <v>90</v>
      </c>
      <c r="B517" s="159" t="s">
        <v>1018</v>
      </c>
      <c r="C517" s="159" t="s">
        <v>1461</v>
      </c>
      <c r="D517" s="160">
        <v>38170</v>
      </c>
      <c r="E517" s="120" t="s">
        <v>2931</v>
      </c>
      <c r="F517" s="131">
        <v>23</v>
      </c>
      <c r="G517" s="120">
        <v>0</v>
      </c>
      <c r="H517" s="161" t="str">
        <f>HYPERLINK("https://www.findagrave.com/memorial/9256944/travis-lamont-nelson","1")</f>
        <v>1</v>
      </c>
      <c r="I517" s="120">
        <v>1</v>
      </c>
      <c r="J517" s="133" t="s">
        <v>2387</v>
      </c>
      <c r="K517" s="133">
        <v>3</v>
      </c>
      <c r="L517" s="117">
        <v>63.8</v>
      </c>
      <c r="M517" s="133">
        <f t="shared" si="27"/>
        <v>40.799999999999997</v>
      </c>
      <c r="N517" s="157"/>
      <c r="O517" s="158"/>
      <c r="P517" s="158"/>
      <c r="Q517" s="158"/>
      <c r="R517" s="158"/>
      <c r="S517" s="158"/>
      <c r="T517" s="158"/>
      <c r="U517" s="158"/>
      <c r="V517" s="158"/>
      <c r="W517" s="158"/>
      <c r="X517" s="158"/>
      <c r="Y517" s="158"/>
      <c r="Z517" s="158"/>
      <c r="AA517" s="158"/>
    </row>
    <row r="518" spans="1:27" ht="15.75" customHeight="1" x14ac:dyDescent="0.55000000000000004">
      <c r="A518" s="159">
        <v>90</v>
      </c>
      <c r="B518" s="159" t="s">
        <v>1018</v>
      </c>
      <c r="C518" s="159" t="s">
        <v>1461</v>
      </c>
      <c r="D518" s="160">
        <v>38170</v>
      </c>
      <c r="E518" s="120" t="s">
        <v>2932</v>
      </c>
      <c r="F518" s="131">
        <v>49</v>
      </c>
      <c r="G518" s="120">
        <v>0</v>
      </c>
      <c r="H518" s="131">
        <v>2</v>
      </c>
      <c r="I518" s="120">
        <v>1</v>
      </c>
      <c r="J518" s="133" t="s">
        <v>2387</v>
      </c>
      <c r="K518" s="133">
        <v>3</v>
      </c>
      <c r="L518" s="117">
        <v>66.599999999999994</v>
      </c>
      <c r="M518" s="133">
        <f t="shared" si="27"/>
        <v>17.599999999999994</v>
      </c>
      <c r="N518" s="157"/>
      <c r="O518" s="158"/>
      <c r="P518" s="158"/>
      <c r="Q518" s="158"/>
      <c r="R518" s="158"/>
      <c r="S518" s="158"/>
      <c r="T518" s="158"/>
      <c r="U518" s="158"/>
      <c r="V518" s="158"/>
      <c r="W518" s="158"/>
      <c r="X518" s="158"/>
      <c r="Y518" s="158"/>
      <c r="Z518" s="158"/>
      <c r="AA518" s="158"/>
    </row>
    <row r="519" spans="1:27" ht="15.75" customHeight="1" x14ac:dyDescent="0.55000000000000004">
      <c r="A519" s="162">
        <v>91</v>
      </c>
      <c r="B519" s="162" t="s">
        <v>1467</v>
      </c>
      <c r="C519" s="162" t="s">
        <v>1468</v>
      </c>
      <c r="D519" s="163">
        <v>38312</v>
      </c>
      <c r="E519" s="131" t="s">
        <v>2933</v>
      </c>
      <c r="F519" s="131">
        <v>42</v>
      </c>
      <c r="G519" s="120">
        <v>0</v>
      </c>
      <c r="H519" s="131">
        <v>0</v>
      </c>
      <c r="I519" s="120">
        <v>0</v>
      </c>
      <c r="J519" s="133" t="s">
        <v>853</v>
      </c>
      <c r="K519" s="133">
        <v>0</v>
      </c>
      <c r="L519" s="117">
        <v>67.400000000000006</v>
      </c>
      <c r="M519" s="133">
        <f t="shared" si="27"/>
        <v>25.400000000000006</v>
      </c>
      <c r="N519" s="157"/>
      <c r="O519" s="158"/>
      <c r="P519" s="158"/>
      <c r="Q519" s="158"/>
      <c r="R519" s="158"/>
      <c r="S519" s="158"/>
      <c r="T519" s="158"/>
      <c r="U519" s="158"/>
      <c r="V519" s="158"/>
      <c r="W519" s="158"/>
      <c r="X519" s="158"/>
      <c r="Y519" s="158"/>
      <c r="Z519" s="158"/>
      <c r="AA519" s="158"/>
    </row>
    <row r="520" spans="1:27" ht="15.75" customHeight="1" x14ac:dyDescent="0.55000000000000004">
      <c r="A520" s="162">
        <v>91</v>
      </c>
      <c r="B520" s="162" t="s">
        <v>1467</v>
      </c>
      <c r="C520" s="162" t="s">
        <v>1468</v>
      </c>
      <c r="D520" s="163">
        <v>38312</v>
      </c>
      <c r="E520" s="120" t="s">
        <v>2934</v>
      </c>
      <c r="F520" s="131">
        <v>20</v>
      </c>
      <c r="G520" s="120">
        <v>0</v>
      </c>
      <c r="H520" s="131">
        <v>0</v>
      </c>
      <c r="I520" s="120">
        <v>0</v>
      </c>
      <c r="J520" s="133" t="s">
        <v>853</v>
      </c>
      <c r="K520" s="133">
        <v>0</v>
      </c>
      <c r="L520" s="117">
        <v>70.7</v>
      </c>
      <c r="M520" s="133">
        <f t="shared" si="27"/>
        <v>50.7</v>
      </c>
      <c r="N520" s="157"/>
      <c r="O520" s="158"/>
      <c r="P520" s="158"/>
      <c r="Q520" s="158"/>
      <c r="R520" s="158"/>
      <c r="S520" s="158"/>
      <c r="T520" s="158"/>
      <c r="U520" s="158"/>
      <c r="V520" s="158"/>
      <c r="W520" s="158"/>
      <c r="X520" s="158"/>
      <c r="Y520" s="158"/>
      <c r="Z520" s="158"/>
      <c r="AA520" s="158"/>
    </row>
    <row r="521" spans="1:27" ht="15.75" customHeight="1" x14ac:dyDescent="0.55000000000000004">
      <c r="A521" s="162">
        <v>91</v>
      </c>
      <c r="B521" s="162" t="s">
        <v>1467</v>
      </c>
      <c r="C521" s="162" t="s">
        <v>1468</v>
      </c>
      <c r="D521" s="163">
        <v>38312</v>
      </c>
      <c r="E521" s="120" t="s">
        <v>2935</v>
      </c>
      <c r="F521" s="131">
        <v>55</v>
      </c>
      <c r="G521" s="120">
        <v>0</v>
      </c>
      <c r="H521" s="131">
        <v>0</v>
      </c>
      <c r="I521" s="120">
        <v>0</v>
      </c>
      <c r="J521" s="133" t="s">
        <v>853</v>
      </c>
      <c r="K521" s="133">
        <v>0</v>
      </c>
      <c r="L521" s="117">
        <v>66.5</v>
      </c>
      <c r="M521" s="133">
        <f t="shared" si="27"/>
        <v>11.5</v>
      </c>
      <c r="N521" s="157"/>
      <c r="O521" s="158"/>
      <c r="P521" s="158"/>
      <c r="Q521" s="158"/>
      <c r="R521" s="158"/>
      <c r="S521" s="158"/>
      <c r="T521" s="158"/>
      <c r="U521" s="158"/>
      <c r="V521" s="158"/>
      <c r="W521" s="158"/>
      <c r="X521" s="158"/>
      <c r="Y521" s="158"/>
      <c r="Z521" s="158"/>
      <c r="AA521" s="158"/>
    </row>
    <row r="522" spans="1:27" ht="15.75" customHeight="1" x14ac:dyDescent="0.55000000000000004">
      <c r="A522" s="162">
        <v>91</v>
      </c>
      <c r="B522" s="162" t="s">
        <v>1467</v>
      </c>
      <c r="C522" s="162" t="s">
        <v>1468</v>
      </c>
      <c r="D522" s="163">
        <v>38312</v>
      </c>
      <c r="E522" s="131" t="s">
        <v>2936</v>
      </c>
      <c r="F522" s="131">
        <v>43</v>
      </c>
      <c r="G522" s="120">
        <v>0</v>
      </c>
      <c r="H522" s="131">
        <v>0</v>
      </c>
      <c r="I522" s="120">
        <v>0</v>
      </c>
      <c r="J522" s="133" t="s">
        <v>853</v>
      </c>
      <c r="K522" s="133">
        <v>0</v>
      </c>
      <c r="L522" s="117">
        <v>67.400000000000006</v>
      </c>
      <c r="M522" s="133">
        <f t="shared" si="27"/>
        <v>24.400000000000006</v>
      </c>
      <c r="N522" s="157"/>
      <c r="O522" s="158"/>
      <c r="P522" s="158"/>
      <c r="Q522" s="158"/>
      <c r="R522" s="158"/>
      <c r="S522" s="158"/>
      <c r="T522" s="158"/>
      <c r="U522" s="158"/>
      <c r="V522" s="158"/>
      <c r="W522" s="158"/>
      <c r="X522" s="158"/>
      <c r="Y522" s="158"/>
      <c r="Z522" s="158"/>
      <c r="AA522" s="158"/>
    </row>
    <row r="523" spans="1:27" ht="15.75" customHeight="1" x14ac:dyDescent="0.55000000000000004">
      <c r="A523" s="162">
        <v>91</v>
      </c>
      <c r="B523" s="162" t="s">
        <v>1467</v>
      </c>
      <c r="C523" s="162" t="s">
        <v>1468</v>
      </c>
      <c r="D523" s="163">
        <v>38312</v>
      </c>
      <c r="E523" s="120" t="s">
        <v>2937</v>
      </c>
      <c r="F523" s="131">
        <v>28</v>
      </c>
      <c r="G523" s="120">
        <v>0</v>
      </c>
      <c r="H523" s="131">
        <v>0</v>
      </c>
      <c r="I523" s="120">
        <v>0</v>
      </c>
      <c r="J523" s="133" t="s">
        <v>853</v>
      </c>
      <c r="K523" s="133">
        <v>0</v>
      </c>
      <c r="L523" s="117">
        <v>69.5</v>
      </c>
      <c r="M523" s="133">
        <f t="shared" si="27"/>
        <v>41.5</v>
      </c>
      <c r="N523" s="157"/>
      <c r="O523" s="158"/>
      <c r="P523" s="158"/>
      <c r="Q523" s="158"/>
      <c r="R523" s="158"/>
      <c r="S523" s="158"/>
      <c r="T523" s="158"/>
      <c r="U523" s="158"/>
      <c r="V523" s="158"/>
      <c r="W523" s="158"/>
      <c r="X523" s="158"/>
      <c r="Y523" s="158"/>
      <c r="Z523" s="158"/>
      <c r="AA523" s="158"/>
    </row>
    <row r="524" spans="1:27" ht="15.75" customHeight="1" x14ac:dyDescent="0.55000000000000004">
      <c r="A524" s="162">
        <v>91</v>
      </c>
      <c r="B524" s="162" t="s">
        <v>1467</v>
      </c>
      <c r="C524" s="162" t="s">
        <v>1468</v>
      </c>
      <c r="D524" s="163">
        <v>38312</v>
      </c>
      <c r="E524" s="120" t="s">
        <v>2938</v>
      </c>
      <c r="F524" s="131">
        <v>27</v>
      </c>
      <c r="G524" s="120">
        <v>1</v>
      </c>
      <c r="H524" s="131">
        <v>0</v>
      </c>
      <c r="I524" s="120">
        <v>0</v>
      </c>
      <c r="J524" s="133" t="s">
        <v>853</v>
      </c>
      <c r="K524" s="133">
        <v>0</v>
      </c>
      <c r="L524" s="117">
        <v>77.3</v>
      </c>
      <c r="M524" s="133">
        <f t="shared" si="27"/>
        <v>50.3</v>
      </c>
      <c r="N524" s="157"/>
      <c r="O524" s="158"/>
      <c r="P524" s="158"/>
      <c r="Q524" s="158"/>
      <c r="R524" s="158"/>
      <c r="S524" s="158"/>
      <c r="T524" s="158"/>
      <c r="U524" s="158"/>
      <c r="V524" s="158"/>
      <c r="W524" s="158"/>
      <c r="X524" s="158"/>
      <c r="Y524" s="158"/>
      <c r="Z524" s="158"/>
      <c r="AA524" s="158"/>
    </row>
    <row r="525" spans="1:27" ht="15.75" customHeight="1" x14ac:dyDescent="0.55000000000000004">
      <c r="A525" s="164">
        <v>92</v>
      </c>
      <c r="B525" s="164" t="s">
        <v>1475</v>
      </c>
      <c r="C525" s="164" t="s">
        <v>1234</v>
      </c>
      <c r="D525" s="165">
        <v>38329</v>
      </c>
      <c r="E525" s="120" t="s">
        <v>2939</v>
      </c>
      <c r="F525" s="131">
        <v>38</v>
      </c>
      <c r="G525" s="120">
        <v>0</v>
      </c>
      <c r="H525" s="131">
        <v>0</v>
      </c>
      <c r="I525" s="120">
        <v>0</v>
      </c>
      <c r="J525" s="133" t="s">
        <v>2940</v>
      </c>
      <c r="K525" s="133">
        <v>5</v>
      </c>
      <c r="L525" s="117">
        <v>68</v>
      </c>
      <c r="M525" s="133">
        <f t="shared" si="27"/>
        <v>30</v>
      </c>
      <c r="N525" s="157"/>
      <c r="O525" s="158"/>
      <c r="P525" s="158"/>
      <c r="Q525" s="158"/>
      <c r="R525" s="158"/>
      <c r="S525" s="158"/>
      <c r="T525" s="158"/>
      <c r="U525" s="158"/>
      <c r="V525" s="158"/>
      <c r="W525" s="158"/>
      <c r="X525" s="158"/>
      <c r="Y525" s="158"/>
      <c r="Z525" s="158"/>
      <c r="AA525" s="158"/>
    </row>
    <row r="526" spans="1:27" ht="15.75" customHeight="1" x14ac:dyDescent="0.55000000000000004">
      <c r="A526" s="164">
        <v>92</v>
      </c>
      <c r="B526" s="164" t="s">
        <v>1475</v>
      </c>
      <c r="C526" s="164" t="s">
        <v>1234</v>
      </c>
      <c r="D526" s="165">
        <v>38329</v>
      </c>
      <c r="E526" s="120" t="s">
        <v>2941</v>
      </c>
      <c r="F526" s="131">
        <v>29</v>
      </c>
      <c r="G526" s="120">
        <v>0</v>
      </c>
      <c r="H526" s="161" t="str">
        <f>HYPERLINK("https://www.findagrave.com/memorial/75699073/erin-alexander-halk/photo","0")</f>
        <v>0</v>
      </c>
      <c r="I526" s="120">
        <v>0</v>
      </c>
      <c r="J526" s="133" t="s">
        <v>853</v>
      </c>
      <c r="K526" s="133">
        <v>0</v>
      </c>
      <c r="L526" s="117">
        <v>69.5</v>
      </c>
      <c r="M526" s="133">
        <f t="shared" si="27"/>
        <v>40.5</v>
      </c>
      <c r="N526" s="157"/>
      <c r="O526" s="158"/>
      <c r="P526" s="158"/>
      <c r="Q526" s="158"/>
      <c r="R526" s="158"/>
      <c r="S526" s="158"/>
      <c r="T526" s="158"/>
      <c r="U526" s="158"/>
      <c r="V526" s="158"/>
      <c r="W526" s="158"/>
      <c r="X526" s="158"/>
      <c r="Y526" s="158"/>
      <c r="Z526" s="158"/>
      <c r="AA526" s="158"/>
    </row>
    <row r="527" spans="1:27" ht="15.75" customHeight="1" x14ac:dyDescent="0.55000000000000004">
      <c r="A527" s="164">
        <v>92</v>
      </c>
      <c r="B527" s="164" t="s">
        <v>1475</v>
      </c>
      <c r="C527" s="164" t="s">
        <v>1234</v>
      </c>
      <c r="D527" s="165">
        <v>38329</v>
      </c>
      <c r="E527" s="120" t="s">
        <v>2942</v>
      </c>
      <c r="F527" s="131">
        <v>23</v>
      </c>
      <c r="G527" s="120">
        <v>0</v>
      </c>
      <c r="H527" s="161" t="str">
        <f>HYPERLINK("https://www.findagrave.com/memorial/75699582/nathan-anthony-bray","0")</f>
        <v>0</v>
      </c>
      <c r="I527" s="120">
        <v>0</v>
      </c>
      <c r="J527" s="133" t="s">
        <v>853</v>
      </c>
      <c r="K527" s="133">
        <v>0</v>
      </c>
      <c r="L527" s="117">
        <v>70.7</v>
      </c>
      <c r="M527" s="133">
        <f t="shared" si="27"/>
        <v>47.7</v>
      </c>
      <c r="N527" s="157"/>
      <c r="O527" s="158"/>
      <c r="P527" s="158"/>
      <c r="Q527" s="158"/>
      <c r="R527" s="158"/>
      <c r="S527" s="158"/>
      <c r="T527" s="158"/>
      <c r="U527" s="158"/>
      <c r="V527" s="158"/>
      <c r="W527" s="158"/>
      <c r="X527" s="158"/>
      <c r="Y527" s="158"/>
      <c r="Z527" s="158"/>
      <c r="AA527" s="158"/>
    </row>
    <row r="528" spans="1:27" ht="15.75" customHeight="1" x14ac:dyDescent="0.55000000000000004">
      <c r="A528" s="164">
        <v>92</v>
      </c>
      <c r="B528" s="164" t="s">
        <v>1475</v>
      </c>
      <c r="C528" s="164" t="s">
        <v>1234</v>
      </c>
      <c r="D528" s="165">
        <v>38329</v>
      </c>
      <c r="E528" s="120" t="s">
        <v>2943</v>
      </c>
      <c r="F528" s="131">
        <v>40</v>
      </c>
      <c r="G528" s="120">
        <v>0</v>
      </c>
      <c r="H528" s="161" t="str">
        <f>HYPERLINK("https://www.findagrave.com/memorial/57023089/jeffery-allan-thompson","0")</f>
        <v>0</v>
      </c>
      <c r="I528" s="120">
        <v>0</v>
      </c>
      <c r="J528" s="133" t="s">
        <v>853</v>
      </c>
      <c r="K528" s="133">
        <v>0</v>
      </c>
      <c r="L528" s="117">
        <v>67.400000000000006</v>
      </c>
      <c r="M528" s="133">
        <f t="shared" si="27"/>
        <v>27.400000000000006</v>
      </c>
      <c r="N528" s="157"/>
      <c r="O528" s="158"/>
      <c r="P528" s="158"/>
      <c r="Q528" s="158"/>
      <c r="R528" s="158"/>
      <c r="S528" s="158"/>
      <c r="T528" s="158"/>
      <c r="U528" s="158"/>
      <c r="V528" s="158"/>
      <c r="W528" s="158"/>
      <c r="X528" s="158"/>
      <c r="Y528" s="158"/>
      <c r="Z528" s="158"/>
      <c r="AA528" s="158"/>
    </row>
    <row r="529" spans="1:27" ht="15.75" customHeight="1" x14ac:dyDescent="0.55000000000000004">
      <c r="A529" s="166">
        <v>93</v>
      </c>
      <c r="B529" s="166" t="s">
        <v>1484</v>
      </c>
      <c r="C529" s="166" t="s">
        <v>1485</v>
      </c>
      <c r="D529" s="167">
        <v>38422</v>
      </c>
      <c r="E529" s="120" t="s">
        <v>2944</v>
      </c>
      <c r="F529" s="131">
        <v>64</v>
      </c>
      <c r="G529" s="120">
        <v>0</v>
      </c>
      <c r="H529" s="161" t="str">
        <f>HYPERLINK("https://www.findagrave.com/memorial/10605004/rowland-wayne-barnes","0")</f>
        <v>0</v>
      </c>
      <c r="I529" s="131">
        <v>1</v>
      </c>
      <c r="J529" s="133" t="s">
        <v>2945</v>
      </c>
      <c r="K529" s="133">
        <v>5</v>
      </c>
      <c r="L529" s="117">
        <v>66.5</v>
      </c>
      <c r="M529" s="133">
        <f t="shared" si="27"/>
        <v>2.5</v>
      </c>
      <c r="N529" s="157"/>
      <c r="O529" s="158"/>
      <c r="P529" s="158"/>
      <c r="Q529" s="158"/>
      <c r="R529" s="158"/>
      <c r="S529" s="158"/>
      <c r="T529" s="158"/>
      <c r="U529" s="158"/>
      <c r="V529" s="158"/>
      <c r="W529" s="158"/>
      <c r="X529" s="158"/>
      <c r="Y529" s="158"/>
      <c r="Z529" s="158"/>
      <c r="AA529" s="158"/>
    </row>
    <row r="530" spans="1:27" ht="15.75" customHeight="1" x14ac:dyDescent="0.55000000000000004">
      <c r="A530" s="166">
        <v>93</v>
      </c>
      <c r="B530" s="166" t="s">
        <v>1484</v>
      </c>
      <c r="C530" s="166" t="s">
        <v>1485</v>
      </c>
      <c r="D530" s="167">
        <v>38422</v>
      </c>
      <c r="E530" s="120" t="s">
        <v>2946</v>
      </c>
      <c r="F530" s="131">
        <v>46</v>
      </c>
      <c r="G530" s="120">
        <v>1</v>
      </c>
      <c r="H530" s="161" t="str">
        <f>HYPERLINK("https://www.findagrave.com/memorial/25203386/julie-ann-brandau","0")</f>
        <v>0</v>
      </c>
      <c r="I530" s="120">
        <v>0</v>
      </c>
      <c r="J530" s="133" t="s">
        <v>853</v>
      </c>
      <c r="K530" s="133">
        <v>0</v>
      </c>
      <c r="L530" s="117">
        <v>74.099999999999994</v>
      </c>
      <c r="M530" s="133">
        <f t="shared" si="27"/>
        <v>28.099999999999994</v>
      </c>
      <c r="N530" s="157"/>
      <c r="O530" s="158"/>
      <c r="P530" s="158"/>
      <c r="Q530" s="158"/>
      <c r="R530" s="158"/>
      <c r="S530" s="158"/>
      <c r="T530" s="158"/>
      <c r="U530" s="158"/>
      <c r="V530" s="158"/>
      <c r="W530" s="158"/>
      <c r="X530" s="158"/>
      <c r="Y530" s="158"/>
      <c r="Z530" s="158"/>
      <c r="AA530" s="158"/>
    </row>
    <row r="531" spans="1:27" ht="15.75" customHeight="1" x14ac:dyDescent="0.55000000000000004">
      <c r="A531" s="166">
        <v>93</v>
      </c>
      <c r="B531" s="166" t="s">
        <v>1484</v>
      </c>
      <c r="C531" s="166" t="s">
        <v>1485</v>
      </c>
      <c r="D531" s="167">
        <v>38422</v>
      </c>
      <c r="E531" s="120" t="s">
        <v>2947</v>
      </c>
      <c r="F531" s="131">
        <v>43</v>
      </c>
      <c r="G531" s="120">
        <v>0</v>
      </c>
      <c r="H531" s="161" t="str">
        <f>HYPERLINK("https://www.findagrave.com/memorial/10605344/hoyt-keith-teasley","1")</f>
        <v>1</v>
      </c>
      <c r="I531" s="120">
        <v>0</v>
      </c>
      <c r="J531" s="133" t="s">
        <v>853</v>
      </c>
      <c r="K531" s="133">
        <v>0</v>
      </c>
      <c r="L531" s="117">
        <v>61.1</v>
      </c>
      <c r="M531" s="133">
        <f t="shared" si="27"/>
        <v>18.100000000000001</v>
      </c>
      <c r="N531" s="157"/>
      <c r="O531" s="158"/>
      <c r="P531" s="158"/>
      <c r="Q531" s="158"/>
      <c r="R531" s="158"/>
      <c r="S531" s="158"/>
      <c r="T531" s="158"/>
      <c r="U531" s="158"/>
      <c r="V531" s="158"/>
      <c r="W531" s="158"/>
      <c r="X531" s="158"/>
      <c r="Y531" s="158"/>
      <c r="Z531" s="158"/>
      <c r="AA531" s="158"/>
    </row>
    <row r="532" spans="1:27" ht="15.75" customHeight="1" x14ac:dyDescent="0.55000000000000004">
      <c r="A532" s="166">
        <v>93</v>
      </c>
      <c r="B532" s="166" t="s">
        <v>1484</v>
      </c>
      <c r="C532" s="166" t="s">
        <v>1485</v>
      </c>
      <c r="D532" s="167">
        <v>38422</v>
      </c>
      <c r="E532" s="120" t="s">
        <v>2948</v>
      </c>
      <c r="F532" s="131">
        <v>40</v>
      </c>
      <c r="G532" s="120">
        <v>0</v>
      </c>
      <c r="H532" s="161" t="str">
        <f>HYPERLINK("https://www.findagrave.com/memorial/11283129/david-gray-wilhelm","0")</f>
        <v>0</v>
      </c>
      <c r="I532" s="120">
        <v>0</v>
      </c>
      <c r="J532" s="133" t="s">
        <v>853</v>
      </c>
      <c r="K532" s="133">
        <v>0</v>
      </c>
      <c r="L532" s="117">
        <v>68</v>
      </c>
      <c r="M532" s="133">
        <f t="shared" si="27"/>
        <v>28</v>
      </c>
      <c r="N532" s="157"/>
      <c r="O532" s="158"/>
      <c r="P532" s="158"/>
      <c r="Q532" s="158"/>
      <c r="R532" s="158"/>
      <c r="S532" s="158"/>
      <c r="T532" s="158"/>
      <c r="U532" s="158"/>
      <c r="V532" s="158"/>
      <c r="W532" s="158"/>
      <c r="X532" s="158"/>
      <c r="Y532" s="158"/>
      <c r="Z532" s="158"/>
      <c r="AA532" s="158"/>
    </row>
    <row r="533" spans="1:27" ht="15.75" customHeight="1" x14ac:dyDescent="0.55000000000000004">
      <c r="A533" s="177">
        <v>94</v>
      </c>
      <c r="B533" s="177" t="s">
        <v>1489</v>
      </c>
      <c r="C533" s="177" t="s">
        <v>1490</v>
      </c>
      <c r="D533" s="178">
        <v>38423</v>
      </c>
      <c r="E533" s="131" t="s">
        <v>2949</v>
      </c>
      <c r="F533" s="131">
        <v>55</v>
      </c>
      <c r="G533" s="120">
        <v>1</v>
      </c>
      <c r="H533" s="120"/>
      <c r="I533" s="120">
        <v>1</v>
      </c>
      <c r="J533" s="133" t="s">
        <v>2950</v>
      </c>
      <c r="K533" s="133">
        <v>5</v>
      </c>
      <c r="L533" s="117">
        <v>71.099999999999994</v>
      </c>
      <c r="M533" s="133">
        <f t="shared" si="27"/>
        <v>16.099999999999994</v>
      </c>
      <c r="N533" s="157"/>
      <c r="O533" s="158"/>
      <c r="P533" s="158"/>
      <c r="Q533" s="158"/>
      <c r="R533" s="158"/>
      <c r="S533" s="158"/>
      <c r="T533" s="158"/>
      <c r="U533" s="158"/>
      <c r="V533" s="158"/>
      <c r="W533" s="158"/>
      <c r="X533" s="158"/>
      <c r="Y533" s="158"/>
      <c r="Z533" s="158"/>
      <c r="AA533" s="158"/>
    </row>
    <row r="534" spans="1:27" ht="15.75" customHeight="1" x14ac:dyDescent="0.55000000000000004">
      <c r="A534" s="177">
        <v>94</v>
      </c>
      <c r="B534" s="177" t="s">
        <v>1489</v>
      </c>
      <c r="C534" s="177" t="s">
        <v>1490</v>
      </c>
      <c r="D534" s="178">
        <v>38423</v>
      </c>
      <c r="E534" s="120" t="s">
        <v>2951</v>
      </c>
      <c r="F534" s="131">
        <v>74</v>
      </c>
      <c r="G534" s="131">
        <v>0</v>
      </c>
      <c r="H534" s="131">
        <v>0</v>
      </c>
      <c r="I534" s="120">
        <v>1</v>
      </c>
      <c r="J534" s="133" t="s">
        <v>2950</v>
      </c>
      <c r="K534" s="133">
        <v>5</v>
      </c>
      <c r="L534" s="117">
        <v>80.7</v>
      </c>
      <c r="M534" s="133">
        <f t="shared" si="27"/>
        <v>6.7000000000000028</v>
      </c>
      <c r="N534" s="157"/>
      <c r="O534" s="158"/>
      <c r="P534" s="158"/>
      <c r="Q534" s="158"/>
      <c r="R534" s="158"/>
      <c r="S534" s="158"/>
      <c r="T534" s="158"/>
      <c r="U534" s="158"/>
      <c r="V534" s="158"/>
      <c r="W534" s="158"/>
      <c r="X534" s="158"/>
      <c r="Y534" s="158"/>
      <c r="Z534" s="158"/>
      <c r="AA534" s="158"/>
    </row>
    <row r="535" spans="1:27" ht="15.75" customHeight="1" x14ac:dyDescent="0.55000000000000004">
      <c r="A535" s="177">
        <v>94</v>
      </c>
      <c r="B535" s="177" t="s">
        <v>1489</v>
      </c>
      <c r="C535" s="177" t="s">
        <v>1490</v>
      </c>
      <c r="D535" s="178">
        <v>38423</v>
      </c>
      <c r="E535" s="131" t="s">
        <v>2952</v>
      </c>
      <c r="F535" s="131">
        <v>16</v>
      </c>
      <c r="G535" s="120">
        <v>0</v>
      </c>
      <c r="H535" s="120"/>
      <c r="I535" s="120">
        <v>1</v>
      </c>
      <c r="J535" s="133" t="s">
        <v>2950</v>
      </c>
      <c r="K535" s="133">
        <v>5</v>
      </c>
      <c r="L535" s="117">
        <v>71.8</v>
      </c>
      <c r="M535" s="133">
        <f t="shared" si="27"/>
        <v>55.8</v>
      </c>
      <c r="N535" s="157"/>
      <c r="O535" s="158"/>
      <c r="P535" s="158"/>
      <c r="Q535" s="158"/>
      <c r="R535" s="158"/>
      <c r="S535" s="158"/>
      <c r="T535" s="158"/>
      <c r="U535" s="158"/>
      <c r="V535" s="158"/>
      <c r="W535" s="158"/>
      <c r="X535" s="158"/>
      <c r="Y535" s="158"/>
      <c r="Z535" s="158"/>
      <c r="AA535" s="158"/>
    </row>
    <row r="536" spans="1:27" ht="15.75" customHeight="1" x14ac:dyDescent="0.55000000000000004">
      <c r="A536" s="177">
        <v>94</v>
      </c>
      <c r="B536" s="177" t="s">
        <v>1489</v>
      </c>
      <c r="C536" s="177" t="s">
        <v>1490</v>
      </c>
      <c r="D536" s="178">
        <v>38423</v>
      </c>
      <c r="E536" s="131" t="s">
        <v>2953</v>
      </c>
      <c r="F536" s="131">
        <v>51</v>
      </c>
      <c r="G536" s="120">
        <v>0</v>
      </c>
      <c r="H536" s="120"/>
      <c r="I536" s="120">
        <v>1</v>
      </c>
      <c r="J536" s="133" t="s">
        <v>2950</v>
      </c>
      <c r="K536" s="133">
        <v>5</v>
      </c>
      <c r="L536" s="117">
        <v>65.599999999999994</v>
      </c>
      <c r="M536" s="133">
        <f t="shared" si="27"/>
        <v>14.599999999999994</v>
      </c>
      <c r="N536" s="157"/>
      <c r="O536" s="158"/>
      <c r="P536" s="158"/>
      <c r="Q536" s="158"/>
      <c r="R536" s="158"/>
      <c r="S536" s="158"/>
      <c r="T536" s="158"/>
      <c r="U536" s="158"/>
      <c r="V536" s="158"/>
      <c r="W536" s="158"/>
      <c r="X536" s="158"/>
      <c r="Y536" s="158"/>
      <c r="Z536" s="158"/>
      <c r="AA536" s="158"/>
    </row>
    <row r="537" spans="1:27" ht="15.75" customHeight="1" x14ac:dyDescent="0.55000000000000004">
      <c r="A537" s="177">
        <v>94</v>
      </c>
      <c r="B537" s="177" t="s">
        <v>1489</v>
      </c>
      <c r="C537" s="177" t="s">
        <v>1490</v>
      </c>
      <c r="D537" s="178">
        <v>38423</v>
      </c>
      <c r="E537" s="131" t="s">
        <v>2954</v>
      </c>
      <c r="F537" s="131">
        <v>44</v>
      </c>
      <c r="G537" s="120">
        <v>0</v>
      </c>
      <c r="H537" s="131">
        <v>0</v>
      </c>
      <c r="I537" s="120">
        <v>1</v>
      </c>
      <c r="J537" s="133" t="s">
        <v>2950</v>
      </c>
      <c r="K537" s="133">
        <v>5</v>
      </c>
      <c r="L537" s="117">
        <v>67.400000000000006</v>
      </c>
      <c r="M537" s="133">
        <f t="shared" si="27"/>
        <v>23.400000000000006</v>
      </c>
      <c r="N537" s="157"/>
      <c r="O537" s="158"/>
      <c r="P537" s="158"/>
      <c r="Q537" s="158"/>
      <c r="R537" s="158"/>
      <c r="S537" s="158"/>
      <c r="T537" s="158"/>
      <c r="U537" s="158"/>
      <c r="V537" s="158"/>
      <c r="W537" s="158"/>
      <c r="X537" s="158"/>
      <c r="Y537" s="158"/>
      <c r="Z537" s="158"/>
      <c r="AA537" s="158"/>
    </row>
    <row r="538" spans="1:27" ht="15.75" customHeight="1" x14ac:dyDescent="0.55000000000000004">
      <c r="A538" s="177">
        <v>94</v>
      </c>
      <c r="B538" s="177" t="s">
        <v>1489</v>
      </c>
      <c r="C538" s="177" t="s">
        <v>1490</v>
      </c>
      <c r="D538" s="178">
        <v>38423</v>
      </c>
      <c r="E538" s="120" t="s">
        <v>2955</v>
      </c>
      <c r="F538" s="131">
        <v>15</v>
      </c>
      <c r="G538" s="120">
        <v>0</v>
      </c>
      <c r="H538" s="131">
        <v>0</v>
      </c>
      <c r="I538" s="120">
        <v>1</v>
      </c>
      <c r="J538" s="133" t="s">
        <v>2950</v>
      </c>
      <c r="K538" s="133">
        <v>5</v>
      </c>
      <c r="L538" s="117">
        <v>72.7</v>
      </c>
      <c r="M538" s="133">
        <f t="shared" si="27"/>
        <v>57.7</v>
      </c>
      <c r="N538" s="157"/>
      <c r="O538" s="158"/>
      <c r="P538" s="158"/>
      <c r="Q538" s="158"/>
      <c r="R538" s="158"/>
      <c r="S538" s="158"/>
      <c r="T538" s="158"/>
      <c r="U538" s="158"/>
      <c r="V538" s="158"/>
      <c r="W538" s="158"/>
      <c r="X538" s="158"/>
      <c r="Y538" s="158"/>
      <c r="Z538" s="158"/>
      <c r="AA538" s="158"/>
    </row>
    <row r="539" spans="1:27" ht="15.75" customHeight="1" x14ac:dyDescent="0.55000000000000004">
      <c r="A539" s="177">
        <v>94</v>
      </c>
      <c r="B539" s="177" t="s">
        <v>1489</v>
      </c>
      <c r="C539" s="177" t="s">
        <v>1490</v>
      </c>
      <c r="D539" s="178">
        <v>38423</v>
      </c>
      <c r="E539" s="120" t="s">
        <v>2956</v>
      </c>
      <c r="F539" s="131">
        <v>58</v>
      </c>
      <c r="G539" s="120">
        <v>0</v>
      </c>
      <c r="H539" s="120"/>
      <c r="I539" s="120">
        <v>1</v>
      </c>
      <c r="J539" s="133" t="s">
        <v>2950</v>
      </c>
      <c r="K539" s="133">
        <v>5</v>
      </c>
      <c r="L539" s="117">
        <v>65.599999999999994</v>
      </c>
      <c r="M539" s="133">
        <f t="shared" si="27"/>
        <v>7.5999999999999943</v>
      </c>
      <c r="N539" s="157"/>
      <c r="O539" s="158"/>
      <c r="P539" s="158"/>
      <c r="Q539" s="158"/>
      <c r="R539" s="158"/>
      <c r="S539" s="158"/>
      <c r="T539" s="158"/>
      <c r="U539" s="158"/>
      <c r="V539" s="158"/>
      <c r="W539" s="158"/>
      <c r="X539" s="158"/>
      <c r="Y539" s="158"/>
      <c r="Z539" s="158"/>
      <c r="AA539" s="158"/>
    </row>
    <row r="540" spans="1:27" ht="15.75" customHeight="1" x14ac:dyDescent="0.55000000000000004">
      <c r="A540" s="173">
        <v>95</v>
      </c>
      <c r="B540" s="173" t="s">
        <v>1496</v>
      </c>
      <c r="C540" s="173" t="s">
        <v>1497</v>
      </c>
      <c r="D540" s="174">
        <v>38432</v>
      </c>
      <c r="E540" s="120" t="s">
        <v>2957</v>
      </c>
      <c r="F540" s="131">
        <v>28</v>
      </c>
      <c r="G540" s="120">
        <v>0</v>
      </c>
      <c r="H540" s="120">
        <v>5</v>
      </c>
      <c r="I540" s="120">
        <v>1</v>
      </c>
      <c r="J540" s="133" t="s">
        <v>2958</v>
      </c>
      <c r="K540" s="133">
        <v>4</v>
      </c>
      <c r="L540" s="117">
        <v>68.8</v>
      </c>
      <c r="M540" s="133">
        <f t="shared" si="27"/>
        <v>40.799999999999997</v>
      </c>
      <c r="N540" s="157"/>
      <c r="O540" s="158"/>
      <c r="P540" s="158"/>
      <c r="Q540" s="158"/>
      <c r="R540" s="158"/>
      <c r="S540" s="158"/>
      <c r="T540" s="158"/>
      <c r="U540" s="158"/>
      <c r="V540" s="158"/>
      <c r="W540" s="158"/>
      <c r="X540" s="158"/>
      <c r="Y540" s="158"/>
      <c r="Z540" s="158"/>
      <c r="AA540" s="158"/>
    </row>
    <row r="541" spans="1:27" ht="15.75" customHeight="1" x14ac:dyDescent="0.55000000000000004">
      <c r="A541" s="173">
        <v>95</v>
      </c>
      <c r="B541" s="173" t="s">
        <v>1496</v>
      </c>
      <c r="C541" s="173" t="s">
        <v>1497</v>
      </c>
      <c r="D541" s="174">
        <v>38432</v>
      </c>
      <c r="E541" s="120" t="s">
        <v>2959</v>
      </c>
      <c r="F541" s="131">
        <v>15</v>
      </c>
      <c r="G541" s="120">
        <v>0</v>
      </c>
      <c r="H541" s="120">
        <v>5</v>
      </c>
      <c r="I541" s="120">
        <v>1</v>
      </c>
      <c r="J541" s="133" t="s">
        <v>2673</v>
      </c>
      <c r="K541" s="133">
        <v>4</v>
      </c>
      <c r="L541" s="117">
        <v>71.8</v>
      </c>
      <c r="M541" s="133">
        <f t="shared" si="27"/>
        <v>56.8</v>
      </c>
      <c r="N541" s="157"/>
      <c r="O541" s="158"/>
      <c r="P541" s="158"/>
      <c r="Q541" s="158"/>
      <c r="R541" s="158"/>
      <c r="S541" s="158"/>
      <c r="T541" s="158"/>
      <c r="U541" s="158"/>
      <c r="V541" s="158"/>
      <c r="W541" s="158"/>
      <c r="X541" s="158"/>
      <c r="Y541" s="158"/>
      <c r="Z541" s="158"/>
      <c r="AA541" s="158"/>
    </row>
    <row r="542" spans="1:27" ht="15.75" customHeight="1" x14ac:dyDescent="0.55000000000000004">
      <c r="A542" s="173">
        <v>95</v>
      </c>
      <c r="B542" s="173" t="s">
        <v>1496</v>
      </c>
      <c r="C542" s="173" t="s">
        <v>1497</v>
      </c>
      <c r="D542" s="174">
        <v>38432</v>
      </c>
      <c r="E542" s="120" t="s">
        <v>2960</v>
      </c>
      <c r="F542" s="120">
        <v>15</v>
      </c>
      <c r="G542" s="120">
        <v>0</v>
      </c>
      <c r="H542" s="120">
        <v>5</v>
      </c>
      <c r="I542" s="120">
        <v>1</v>
      </c>
      <c r="J542" s="133" t="s">
        <v>2673</v>
      </c>
      <c r="K542" s="133">
        <v>4</v>
      </c>
      <c r="L542" s="117">
        <v>71.8</v>
      </c>
      <c r="M542" s="133">
        <f t="shared" si="27"/>
        <v>56.8</v>
      </c>
      <c r="N542" s="157"/>
      <c r="O542" s="158"/>
      <c r="P542" s="158"/>
      <c r="Q542" s="158"/>
      <c r="R542" s="158"/>
      <c r="S542" s="158"/>
      <c r="T542" s="158"/>
      <c r="U542" s="158"/>
      <c r="V542" s="158"/>
      <c r="W542" s="158"/>
      <c r="X542" s="158"/>
      <c r="Y542" s="158"/>
      <c r="Z542" s="158"/>
      <c r="AA542" s="158"/>
    </row>
    <row r="543" spans="1:27" ht="15.75" customHeight="1" x14ac:dyDescent="0.55000000000000004">
      <c r="A543" s="173">
        <v>95</v>
      </c>
      <c r="B543" s="173" t="s">
        <v>1496</v>
      </c>
      <c r="C543" s="173" t="s">
        <v>1497</v>
      </c>
      <c r="D543" s="174">
        <v>38432</v>
      </c>
      <c r="E543" s="120" t="s">
        <v>2961</v>
      </c>
      <c r="F543" s="131">
        <v>58</v>
      </c>
      <c r="G543" s="120">
        <v>0</v>
      </c>
      <c r="H543" s="120">
        <v>5</v>
      </c>
      <c r="I543" s="120">
        <v>1</v>
      </c>
      <c r="J543" s="133" t="s">
        <v>2962</v>
      </c>
      <c r="K543" s="133">
        <v>1</v>
      </c>
      <c r="L543" s="117">
        <v>65.599999999999994</v>
      </c>
      <c r="M543" s="133">
        <f t="shared" si="27"/>
        <v>7.5999999999999943</v>
      </c>
      <c r="N543" s="157"/>
      <c r="O543" s="158"/>
      <c r="P543" s="158"/>
      <c r="Q543" s="158"/>
      <c r="R543" s="158"/>
      <c r="S543" s="158"/>
      <c r="T543" s="158"/>
      <c r="U543" s="158"/>
      <c r="V543" s="158"/>
      <c r="W543" s="158"/>
      <c r="X543" s="158"/>
      <c r="Y543" s="158"/>
      <c r="Z543" s="158"/>
      <c r="AA543" s="158"/>
    </row>
    <row r="544" spans="1:27" ht="15.75" customHeight="1" x14ac:dyDescent="0.55000000000000004">
      <c r="A544" s="173">
        <v>95</v>
      </c>
      <c r="B544" s="173" t="s">
        <v>1496</v>
      </c>
      <c r="C544" s="173" t="s">
        <v>1497</v>
      </c>
      <c r="D544" s="174">
        <v>38432</v>
      </c>
      <c r="E544" s="120" t="s">
        <v>2963</v>
      </c>
      <c r="F544" s="131">
        <v>62</v>
      </c>
      <c r="G544" s="120">
        <v>1</v>
      </c>
      <c r="H544" s="120">
        <v>0</v>
      </c>
      <c r="I544" s="120">
        <v>1</v>
      </c>
      <c r="J544" s="133" t="s">
        <v>2802</v>
      </c>
      <c r="K544" s="133">
        <v>4</v>
      </c>
      <c r="L544" s="117">
        <v>72.2</v>
      </c>
      <c r="M544" s="133">
        <f t="shared" si="27"/>
        <v>10.200000000000003</v>
      </c>
      <c r="N544" s="157"/>
      <c r="O544" s="158"/>
      <c r="P544" s="158"/>
      <c r="Q544" s="158"/>
      <c r="R544" s="158"/>
      <c r="S544" s="158"/>
      <c r="T544" s="158"/>
      <c r="U544" s="158"/>
      <c r="V544" s="158"/>
      <c r="W544" s="158"/>
      <c r="X544" s="158"/>
      <c r="Y544" s="158"/>
      <c r="Z544" s="158"/>
      <c r="AA544" s="158"/>
    </row>
    <row r="545" spans="1:27" ht="15.75" customHeight="1" x14ac:dyDescent="0.55000000000000004">
      <c r="A545" s="173">
        <v>95</v>
      </c>
      <c r="B545" s="173" t="s">
        <v>1496</v>
      </c>
      <c r="C545" s="173" t="s">
        <v>1497</v>
      </c>
      <c r="D545" s="174">
        <v>38432</v>
      </c>
      <c r="E545" s="120" t="s">
        <v>2964</v>
      </c>
      <c r="F545" s="131">
        <v>15</v>
      </c>
      <c r="G545" s="120">
        <v>1</v>
      </c>
      <c r="H545" s="120">
        <v>5</v>
      </c>
      <c r="I545" s="120">
        <v>1</v>
      </c>
      <c r="J545" s="133" t="s">
        <v>2673</v>
      </c>
      <c r="K545" s="133">
        <v>4</v>
      </c>
      <c r="L545" s="117">
        <v>78.8</v>
      </c>
      <c r="M545" s="133">
        <f t="shared" si="27"/>
        <v>63.8</v>
      </c>
      <c r="N545" s="157"/>
      <c r="O545" s="158"/>
      <c r="P545" s="158"/>
      <c r="Q545" s="158"/>
      <c r="R545" s="158"/>
      <c r="S545" s="158"/>
      <c r="T545" s="158"/>
      <c r="U545" s="158"/>
      <c r="V545" s="158"/>
      <c r="W545" s="158"/>
      <c r="X545" s="158"/>
      <c r="Y545" s="158"/>
      <c r="Z545" s="158"/>
      <c r="AA545" s="158"/>
    </row>
    <row r="546" spans="1:27" ht="15.75" customHeight="1" x14ac:dyDescent="0.55000000000000004">
      <c r="A546" s="173">
        <v>95</v>
      </c>
      <c r="B546" s="173" t="s">
        <v>1496</v>
      </c>
      <c r="C546" s="173" t="s">
        <v>1497</v>
      </c>
      <c r="D546" s="174">
        <v>38432</v>
      </c>
      <c r="E546" s="120" t="s">
        <v>2965</v>
      </c>
      <c r="F546" s="131">
        <v>32</v>
      </c>
      <c r="G546" s="120">
        <v>1</v>
      </c>
      <c r="H546" s="131">
        <v>5</v>
      </c>
      <c r="I546" s="120">
        <v>1</v>
      </c>
      <c r="J546" s="133" t="s">
        <v>2966</v>
      </c>
      <c r="K546" s="133">
        <v>5</v>
      </c>
      <c r="L546" s="117">
        <v>76.599999999999994</v>
      </c>
      <c r="M546" s="133">
        <f t="shared" si="27"/>
        <v>44.599999999999994</v>
      </c>
      <c r="N546" s="157"/>
      <c r="O546" s="158"/>
      <c r="P546" s="158"/>
      <c r="Q546" s="158"/>
      <c r="R546" s="158"/>
      <c r="S546" s="158"/>
      <c r="T546" s="158"/>
      <c r="U546" s="158"/>
      <c r="V546" s="158"/>
      <c r="W546" s="158"/>
      <c r="X546" s="158"/>
      <c r="Y546" s="158"/>
      <c r="Z546" s="158"/>
      <c r="AA546" s="158"/>
    </row>
    <row r="547" spans="1:27" ht="15.75" customHeight="1" x14ac:dyDescent="0.55000000000000004">
      <c r="A547" s="173">
        <v>95</v>
      </c>
      <c r="B547" s="173" t="s">
        <v>1496</v>
      </c>
      <c r="C547" s="173" t="s">
        <v>1497</v>
      </c>
      <c r="D547" s="174">
        <v>38432</v>
      </c>
      <c r="E547" s="120" t="s">
        <v>2967</v>
      </c>
      <c r="F547" s="131">
        <v>15</v>
      </c>
      <c r="G547" s="120">
        <v>1</v>
      </c>
      <c r="H547" s="120">
        <v>5</v>
      </c>
      <c r="I547" s="120">
        <v>1</v>
      </c>
      <c r="J547" s="133" t="s">
        <v>2673</v>
      </c>
      <c r="K547" s="133">
        <v>4</v>
      </c>
      <c r="L547" s="117">
        <v>78.8</v>
      </c>
      <c r="M547" s="133">
        <f t="shared" si="27"/>
        <v>63.8</v>
      </c>
      <c r="N547" s="157"/>
      <c r="O547" s="158"/>
      <c r="P547" s="158"/>
      <c r="Q547" s="158"/>
      <c r="R547" s="158"/>
      <c r="S547" s="158"/>
      <c r="T547" s="158"/>
      <c r="U547" s="158"/>
      <c r="V547" s="158"/>
      <c r="W547" s="158"/>
      <c r="X547" s="158"/>
      <c r="Y547" s="158"/>
      <c r="Z547" s="158"/>
      <c r="AA547" s="158"/>
    </row>
    <row r="548" spans="1:27" ht="15.75" customHeight="1" x14ac:dyDescent="0.55000000000000004">
      <c r="A548" s="173">
        <v>95</v>
      </c>
      <c r="B548" s="173" t="s">
        <v>1496</v>
      </c>
      <c r="C548" s="173" t="s">
        <v>1497</v>
      </c>
      <c r="D548" s="174">
        <v>38432</v>
      </c>
      <c r="E548" s="120" t="s">
        <v>2968</v>
      </c>
      <c r="F548" s="131">
        <v>15</v>
      </c>
      <c r="G548" s="120">
        <v>1</v>
      </c>
      <c r="H548" s="120">
        <v>5</v>
      </c>
      <c r="I548" s="120">
        <v>1</v>
      </c>
      <c r="J548" s="133" t="s">
        <v>2673</v>
      </c>
      <c r="K548" s="133">
        <v>4</v>
      </c>
      <c r="L548" s="117">
        <v>78.8</v>
      </c>
      <c r="M548" s="133">
        <f t="shared" si="27"/>
        <v>63.8</v>
      </c>
      <c r="N548" s="157"/>
      <c r="O548" s="158"/>
      <c r="P548" s="158"/>
      <c r="Q548" s="158"/>
      <c r="R548" s="158"/>
      <c r="S548" s="158"/>
      <c r="T548" s="158"/>
      <c r="U548" s="158"/>
      <c r="V548" s="158"/>
      <c r="W548" s="158"/>
      <c r="X548" s="158"/>
      <c r="Y548" s="158"/>
      <c r="Z548" s="158"/>
      <c r="AA548" s="158"/>
    </row>
    <row r="549" spans="1:27" ht="15.75" customHeight="1" x14ac:dyDescent="0.55000000000000004">
      <c r="A549" s="175">
        <v>96</v>
      </c>
      <c r="B549" s="175" t="s">
        <v>1505</v>
      </c>
      <c r="C549" s="175" t="s">
        <v>1506</v>
      </c>
      <c r="D549" s="176">
        <v>38592</v>
      </c>
      <c r="E549" s="120" t="s">
        <v>2969</v>
      </c>
      <c r="F549" s="131">
        <v>42</v>
      </c>
      <c r="G549" s="120">
        <v>0</v>
      </c>
      <c r="H549" s="120"/>
      <c r="I549" s="131">
        <v>1</v>
      </c>
      <c r="J549" s="133" t="s">
        <v>2970</v>
      </c>
      <c r="K549" s="133">
        <v>5</v>
      </c>
      <c r="L549" s="117">
        <v>66.599999999999994</v>
      </c>
      <c r="M549" s="133">
        <f t="shared" si="27"/>
        <v>24.599999999999994</v>
      </c>
      <c r="N549" s="157"/>
      <c r="O549" s="158"/>
      <c r="P549" s="158"/>
      <c r="Q549" s="158"/>
      <c r="R549" s="158"/>
      <c r="S549" s="158"/>
      <c r="T549" s="158"/>
      <c r="U549" s="158"/>
      <c r="V549" s="158"/>
      <c r="W549" s="158"/>
      <c r="X549" s="158"/>
      <c r="Y549" s="158"/>
      <c r="Z549" s="158"/>
      <c r="AA549" s="158"/>
    </row>
    <row r="550" spans="1:27" ht="15.75" customHeight="1" x14ac:dyDescent="0.55000000000000004">
      <c r="A550" s="175">
        <v>96</v>
      </c>
      <c r="B550" s="175" t="s">
        <v>1505</v>
      </c>
      <c r="C550" s="175" t="s">
        <v>1506</v>
      </c>
      <c r="D550" s="176">
        <v>38592</v>
      </c>
      <c r="E550" s="120" t="s">
        <v>2971</v>
      </c>
      <c r="F550" s="131">
        <v>61</v>
      </c>
      <c r="G550" s="120">
        <v>0</v>
      </c>
      <c r="H550" s="120"/>
      <c r="I550" s="131">
        <v>1</v>
      </c>
      <c r="J550" s="133" t="s">
        <v>2972</v>
      </c>
      <c r="K550" s="133">
        <v>5</v>
      </c>
      <c r="L550" s="117">
        <v>65.599999999999994</v>
      </c>
      <c r="M550" s="133">
        <f t="shared" si="27"/>
        <v>4.5999999999999943</v>
      </c>
      <c r="N550" s="157"/>
      <c r="O550" s="158"/>
      <c r="P550" s="158"/>
      <c r="Q550" s="158"/>
      <c r="R550" s="158"/>
      <c r="S550" s="158"/>
      <c r="T550" s="158"/>
      <c r="U550" s="158"/>
      <c r="V550" s="158"/>
      <c r="W550" s="158"/>
      <c r="X550" s="158"/>
      <c r="Y550" s="158"/>
      <c r="Z550" s="158"/>
      <c r="AA550" s="158"/>
    </row>
    <row r="551" spans="1:27" ht="15.75" customHeight="1" x14ac:dyDescent="0.55000000000000004">
      <c r="A551" s="175">
        <v>96</v>
      </c>
      <c r="B551" s="175" t="s">
        <v>1505</v>
      </c>
      <c r="C551" s="175" t="s">
        <v>1506</v>
      </c>
      <c r="D551" s="176">
        <v>38592</v>
      </c>
      <c r="E551" s="120" t="s">
        <v>2973</v>
      </c>
      <c r="F551" s="131">
        <v>50</v>
      </c>
      <c r="G551" s="120">
        <v>1</v>
      </c>
      <c r="H551" s="120"/>
      <c r="I551" s="120">
        <v>0</v>
      </c>
      <c r="J551" s="133" t="s">
        <v>853</v>
      </c>
      <c r="K551" s="133">
        <v>0</v>
      </c>
      <c r="L551" s="117">
        <v>73.099999999999994</v>
      </c>
      <c r="M551" s="133">
        <f t="shared" si="27"/>
        <v>23.099999999999994</v>
      </c>
      <c r="N551" s="157"/>
      <c r="O551" s="158"/>
      <c r="P551" s="158"/>
      <c r="Q551" s="158"/>
      <c r="R551" s="158"/>
      <c r="S551" s="158"/>
      <c r="T551" s="158"/>
      <c r="U551" s="158"/>
      <c r="V551" s="158"/>
      <c r="W551" s="158"/>
      <c r="X551" s="158"/>
      <c r="Y551" s="158"/>
      <c r="Z551" s="158"/>
      <c r="AA551" s="158"/>
    </row>
    <row r="552" spans="1:27" ht="15.75" customHeight="1" x14ac:dyDescent="0.55000000000000004">
      <c r="A552" s="175">
        <v>96</v>
      </c>
      <c r="B552" s="175" t="s">
        <v>1505</v>
      </c>
      <c r="C552" s="175" t="s">
        <v>1506</v>
      </c>
      <c r="D552" s="176">
        <v>38592</v>
      </c>
      <c r="E552" s="120" t="s">
        <v>2974</v>
      </c>
      <c r="F552" s="131">
        <v>46</v>
      </c>
      <c r="G552" s="120">
        <v>1</v>
      </c>
      <c r="H552" s="120"/>
      <c r="I552" s="120">
        <v>0</v>
      </c>
      <c r="J552" s="133" t="s">
        <v>853</v>
      </c>
      <c r="K552" s="133">
        <v>0</v>
      </c>
      <c r="L552" s="117">
        <v>73.099999999999994</v>
      </c>
      <c r="M552" s="133">
        <f t="shared" si="27"/>
        <v>27.099999999999994</v>
      </c>
      <c r="N552" s="157"/>
      <c r="O552" s="158"/>
      <c r="P552" s="158"/>
      <c r="Q552" s="158"/>
      <c r="R552" s="158"/>
      <c r="S552" s="158"/>
      <c r="T552" s="158"/>
      <c r="U552" s="158"/>
      <c r="V552" s="158"/>
      <c r="W552" s="158"/>
      <c r="X552" s="158"/>
      <c r="Y552" s="158"/>
      <c r="Z552" s="158"/>
      <c r="AA552" s="158"/>
    </row>
    <row r="553" spans="1:27" ht="15.75" customHeight="1" x14ac:dyDescent="0.55000000000000004">
      <c r="A553" s="159">
        <v>97</v>
      </c>
      <c r="B553" s="159" t="s">
        <v>1511</v>
      </c>
      <c r="C553" s="159" t="s">
        <v>1512</v>
      </c>
      <c r="D553" s="160">
        <v>38747</v>
      </c>
      <c r="E553" s="120" t="s">
        <v>2975</v>
      </c>
      <c r="F553" s="131">
        <v>37</v>
      </c>
      <c r="G553" s="120">
        <v>1</v>
      </c>
      <c r="H553" s="161" t="str">
        <f>HYPERLINK("https://www.findagrave.com/memorial/87087272/ze-vang-fairchild","3")</f>
        <v>3</v>
      </c>
      <c r="I553" s="120">
        <v>2</v>
      </c>
      <c r="J553" s="133" t="s">
        <v>2976</v>
      </c>
      <c r="K553" s="133">
        <v>3</v>
      </c>
      <c r="L553" s="117">
        <v>74.7</v>
      </c>
      <c r="M553" s="133">
        <f t="shared" si="27"/>
        <v>37.700000000000003</v>
      </c>
      <c r="N553" s="157"/>
      <c r="O553" s="158"/>
      <c r="P553" s="158"/>
      <c r="Q553" s="158"/>
      <c r="R553" s="158"/>
      <c r="S553" s="158"/>
      <c r="T553" s="158"/>
      <c r="U553" s="158"/>
      <c r="V553" s="158"/>
      <c r="W553" s="158"/>
      <c r="X553" s="158"/>
      <c r="Y553" s="158"/>
      <c r="Z553" s="158"/>
      <c r="AA553" s="158"/>
    </row>
    <row r="554" spans="1:27" ht="15.75" customHeight="1" x14ac:dyDescent="0.55000000000000004">
      <c r="A554" s="159">
        <v>97</v>
      </c>
      <c r="B554" s="159" t="s">
        <v>1511</v>
      </c>
      <c r="C554" s="159" t="s">
        <v>1512</v>
      </c>
      <c r="D554" s="160">
        <v>38747</v>
      </c>
      <c r="E554" s="120" t="s">
        <v>2977</v>
      </c>
      <c r="F554" s="131">
        <v>54</v>
      </c>
      <c r="G554" s="120">
        <v>1</v>
      </c>
      <c r="H554" s="161" t="str">
        <f>HYPERLINK("https://www.findagrave.com/memorial/115577721/beverly-ann-graham","0")</f>
        <v>0</v>
      </c>
      <c r="I554" s="120">
        <v>1</v>
      </c>
      <c r="J554" s="133" t="s">
        <v>2978</v>
      </c>
      <c r="K554" s="133">
        <v>5</v>
      </c>
      <c r="L554" s="117">
        <v>72.2</v>
      </c>
      <c r="M554" s="133">
        <f t="shared" si="27"/>
        <v>18.200000000000003</v>
      </c>
      <c r="N554" s="157"/>
      <c r="O554" s="158"/>
      <c r="P554" s="158"/>
      <c r="Q554" s="158"/>
      <c r="R554" s="158"/>
      <c r="S554" s="158"/>
      <c r="T554" s="158"/>
      <c r="U554" s="158"/>
      <c r="V554" s="158"/>
      <c r="W554" s="158"/>
      <c r="X554" s="158"/>
      <c r="Y554" s="158"/>
      <c r="Z554" s="158"/>
      <c r="AA554" s="158"/>
    </row>
    <row r="555" spans="1:27" ht="15.75" customHeight="1" x14ac:dyDescent="0.55000000000000004">
      <c r="A555" s="159">
        <v>97</v>
      </c>
      <c r="B555" s="159" t="s">
        <v>1511</v>
      </c>
      <c r="C555" s="159" t="s">
        <v>1512</v>
      </c>
      <c r="D555" s="160">
        <v>38747</v>
      </c>
      <c r="E555" s="120" t="s">
        <v>2979</v>
      </c>
      <c r="F555" s="131">
        <v>42</v>
      </c>
      <c r="G555" s="120">
        <v>1</v>
      </c>
      <c r="H555" s="131">
        <v>1</v>
      </c>
      <c r="I555" s="120">
        <v>2</v>
      </c>
      <c r="J555" s="133" t="s">
        <v>2976</v>
      </c>
      <c r="K555" s="133">
        <v>3</v>
      </c>
      <c r="L555" s="117">
        <v>66.3</v>
      </c>
      <c r="M555" s="133">
        <f t="shared" si="27"/>
        <v>24.299999999999997</v>
      </c>
      <c r="N555" s="157"/>
      <c r="O555" s="158"/>
      <c r="P555" s="158"/>
      <c r="Q555" s="158"/>
      <c r="R555" s="158"/>
      <c r="S555" s="158"/>
      <c r="T555" s="158"/>
      <c r="U555" s="158"/>
      <c r="V555" s="158"/>
      <c r="W555" s="158"/>
      <c r="X555" s="158"/>
      <c r="Y555" s="158"/>
      <c r="Z555" s="158"/>
      <c r="AA555" s="158"/>
    </row>
    <row r="556" spans="1:27" ht="15.75" customHeight="1" x14ac:dyDescent="0.55000000000000004">
      <c r="A556" s="159">
        <v>97</v>
      </c>
      <c r="B556" s="159" t="s">
        <v>1511</v>
      </c>
      <c r="C556" s="159" t="s">
        <v>1512</v>
      </c>
      <c r="D556" s="160">
        <v>38747</v>
      </c>
      <c r="E556" s="120" t="s">
        <v>2980</v>
      </c>
      <c r="F556" s="131">
        <v>28</v>
      </c>
      <c r="G556" s="120">
        <v>1</v>
      </c>
      <c r="H556" s="131">
        <v>1</v>
      </c>
      <c r="I556" s="120">
        <v>2</v>
      </c>
      <c r="J556" s="133" t="s">
        <v>2976</v>
      </c>
      <c r="K556" s="133">
        <v>3</v>
      </c>
      <c r="L556" s="117">
        <v>72.5</v>
      </c>
      <c r="M556" s="133">
        <f t="shared" si="27"/>
        <v>44.5</v>
      </c>
      <c r="N556" s="157"/>
      <c r="O556" s="158"/>
      <c r="P556" s="158"/>
      <c r="Q556" s="158"/>
      <c r="R556" s="158"/>
      <c r="S556" s="158"/>
      <c r="T556" s="158"/>
      <c r="U556" s="158"/>
      <c r="V556" s="158"/>
      <c r="W556" s="158"/>
      <c r="X556" s="158"/>
      <c r="Y556" s="158"/>
      <c r="Z556" s="158"/>
      <c r="AA556" s="158"/>
    </row>
    <row r="557" spans="1:27" ht="15.75" customHeight="1" x14ac:dyDescent="0.55000000000000004">
      <c r="A557" s="159">
        <v>97</v>
      </c>
      <c r="B557" s="159" t="s">
        <v>1511</v>
      </c>
      <c r="C557" s="159" t="s">
        <v>1512</v>
      </c>
      <c r="D557" s="160">
        <v>38747</v>
      </c>
      <c r="E557" s="120" t="s">
        <v>2981</v>
      </c>
      <c r="F557" s="131">
        <v>57</v>
      </c>
      <c r="G557" s="120">
        <v>0</v>
      </c>
      <c r="H557" s="161" t="str">
        <f>HYPERLINK("https://www.findagrave.com/memorial/18333779/dexter-e-shannon","1")</f>
        <v>1</v>
      </c>
      <c r="I557" s="120">
        <v>2</v>
      </c>
      <c r="J557" s="133" t="s">
        <v>2976</v>
      </c>
      <c r="K557" s="133">
        <v>3</v>
      </c>
      <c r="L557" s="117">
        <v>59.1</v>
      </c>
      <c r="M557" s="133">
        <f t="shared" si="27"/>
        <v>2.1000000000000014</v>
      </c>
      <c r="N557" s="157"/>
      <c r="O557" s="158"/>
      <c r="P557" s="158"/>
      <c r="Q557" s="158"/>
      <c r="R557" s="158"/>
      <c r="S557" s="158"/>
      <c r="T557" s="158"/>
      <c r="U557" s="158"/>
      <c r="V557" s="158"/>
      <c r="W557" s="158"/>
      <c r="X557" s="158"/>
      <c r="Y557" s="158"/>
      <c r="Z557" s="158"/>
      <c r="AA557" s="158"/>
    </row>
    <row r="558" spans="1:27" ht="15.75" customHeight="1" x14ac:dyDescent="0.55000000000000004">
      <c r="A558" s="159">
        <v>97</v>
      </c>
      <c r="B558" s="159" t="s">
        <v>1511</v>
      </c>
      <c r="C558" s="159" t="s">
        <v>1512</v>
      </c>
      <c r="D558" s="160">
        <v>38747</v>
      </c>
      <c r="E558" s="120" t="s">
        <v>2982</v>
      </c>
      <c r="F558" s="131">
        <v>52</v>
      </c>
      <c r="G558" s="120">
        <v>1</v>
      </c>
      <c r="H558" s="161" t="str">
        <f>HYPERLINK("https://www.findagrave.com/memorial/21153775/guadalupe-concepion-swartz","2")</f>
        <v>2</v>
      </c>
      <c r="I558" s="120">
        <v>2</v>
      </c>
      <c r="J558" s="133" t="s">
        <v>2976</v>
      </c>
      <c r="K558" s="133">
        <v>3</v>
      </c>
      <c r="L558" s="117">
        <v>71.099999999999994</v>
      </c>
      <c r="M558" s="133">
        <f t="shared" si="27"/>
        <v>19.099999999999994</v>
      </c>
      <c r="N558" s="157"/>
      <c r="O558" s="158"/>
      <c r="P558" s="158"/>
      <c r="Q558" s="158"/>
      <c r="R558" s="158"/>
      <c r="S558" s="158"/>
      <c r="T558" s="158"/>
      <c r="U558" s="158"/>
      <c r="V558" s="158"/>
      <c r="W558" s="158"/>
      <c r="X558" s="158"/>
      <c r="Y558" s="158"/>
      <c r="Z558" s="158"/>
      <c r="AA558" s="158"/>
    </row>
    <row r="559" spans="1:27" ht="15.75" customHeight="1" x14ac:dyDescent="0.55000000000000004">
      <c r="A559" s="159">
        <v>97</v>
      </c>
      <c r="B559" s="159" t="s">
        <v>1511</v>
      </c>
      <c r="C559" s="159" t="s">
        <v>1512</v>
      </c>
      <c r="D559" s="160">
        <v>38747</v>
      </c>
      <c r="E559" s="120" t="s">
        <v>2983</v>
      </c>
      <c r="F559" s="131">
        <v>44</v>
      </c>
      <c r="G559" s="120">
        <v>1</v>
      </c>
      <c r="H559" s="131">
        <v>3</v>
      </c>
      <c r="I559" s="120">
        <v>2</v>
      </c>
      <c r="J559" s="133" t="s">
        <v>2976</v>
      </c>
      <c r="K559" s="133">
        <v>3</v>
      </c>
      <c r="L559" s="117">
        <v>73.099999999999994</v>
      </c>
      <c r="M559" s="133">
        <f t="shared" si="27"/>
        <v>29.099999999999994</v>
      </c>
      <c r="N559" s="157"/>
      <c r="O559" s="158"/>
      <c r="P559" s="158"/>
      <c r="Q559" s="158"/>
      <c r="R559" s="158"/>
      <c r="S559" s="158"/>
      <c r="T559" s="158"/>
      <c r="U559" s="158"/>
      <c r="V559" s="158"/>
      <c r="W559" s="158"/>
      <c r="X559" s="158"/>
      <c r="Y559" s="158"/>
      <c r="Z559" s="158"/>
      <c r="AA559" s="158"/>
    </row>
    <row r="560" spans="1:27" ht="15.75" customHeight="1" x14ac:dyDescent="0.55000000000000004">
      <c r="A560" s="162">
        <v>98</v>
      </c>
      <c r="B560" s="162" t="s">
        <v>1516</v>
      </c>
      <c r="C560" s="162" t="s">
        <v>1517</v>
      </c>
      <c r="D560" s="163">
        <v>38801</v>
      </c>
      <c r="E560" s="131" t="s">
        <v>2984</v>
      </c>
      <c r="F560" s="131">
        <v>26</v>
      </c>
      <c r="G560" s="120">
        <v>0</v>
      </c>
      <c r="H560" s="131">
        <v>0</v>
      </c>
      <c r="I560" s="120">
        <v>0</v>
      </c>
      <c r="J560" s="133" t="s">
        <v>853</v>
      </c>
      <c r="K560" s="133">
        <v>0</v>
      </c>
      <c r="L560" s="117">
        <v>70.7</v>
      </c>
      <c r="M560" s="133">
        <f t="shared" si="27"/>
        <v>44.7</v>
      </c>
      <c r="N560" s="157"/>
      <c r="O560" s="158"/>
      <c r="P560" s="158"/>
      <c r="Q560" s="158"/>
      <c r="R560" s="158"/>
      <c r="S560" s="158"/>
      <c r="T560" s="158"/>
      <c r="U560" s="158"/>
      <c r="V560" s="158"/>
      <c r="W560" s="158"/>
      <c r="X560" s="158"/>
      <c r="Y560" s="158"/>
      <c r="Z560" s="158"/>
      <c r="AA560" s="158"/>
    </row>
    <row r="561" spans="1:27" ht="15.75" customHeight="1" x14ac:dyDescent="0.55000000000000004">
      <c r="A561" s="162">
        <v>98</v>
      </c>
      <c r="B561" s="162" t="s">
        <v>1516</v>
      </c>
      <c r="C561" s="162" t="s">
        <v>1517</v>
      </c>
      <c r="D561" s="163">
        <v>38801</v>
      </c>
      <c r="E561" s="120" t="s">
        <v>2985</v>
      </c>
      <c r="F561" s="131">
        <v>14</v>
      </c>
      <c r="G561" s="120">
        <v>1</v>
      </c>
      <c r="H561" s="131">
        <v>3</v>
      </c>
      <c r="I561" s="120">
        <v>0</v>
      </c>
      <c r="J561" s="133" t="s">
        <v>853</v>
      </c>
      <c r="K561" s="133">
        <v>0</v>
      </c>
      <c r="L561" s="117">
        <v>78.8</v>
      </c>
      <c r="M561" s="133">
        <f t="shared" si="27"/>
        <v>64.8</v>
      </c>
      <c r="N561" s="157"/>
      <c r="O561" s="158"/>
      <c r="P561" s="158"/>
      <c r="Q561" s="158"/>
      <c r="R561" s="158"/>
      <c r="S561" s="158"/>
      <c r="T561" s="158"/>
      <c r="U561" s="158"/>
      <c r="V561" s="158"/>
      <c r="W561" s="158"/>
      <c r="X561" s="158"/>
      <c r="Y561" s="158"/>
      <c r="Z561" s="158"/>
      <c r="AA561" s="158"/>
    </row>
    <row r="562" spans="1:27" ht="15.75" customHeight="1" x14ac:dyDescent="0.55000000000000004">
      <c r="A562" s="162">
        <v>98</v>
      </c>
      <c r="B562" s="162" t="s">
        <v>1516</v>
      </c>
      <c r="C562" s="162" t="s">
        <v>1517</v>
      </c>
      <c r="D562" s="163">
        <v>38801</v>
      </c>
      <c r="E562" s="120" t="s">
        <v>2986</v>
      </c>
      <c r="F562" s="131">
        <v>22</v>
      </c>
      <c r="G562" s="120">
        <v>0</v>
      </c>
      <c r="H562" s="131">
        <v>5</v>
      </c>
      <c r="I562" s="120">
        <v>0</v>
      </c>
      <c r="J562" s="133" t="s">
        <v>853</v>
      </c>
      <c r="K562" s="133">
        <v>0</v>
      </c>
      <c r="L562" s="117">
        <v>70</v>
      </c>
      <c r="M562" s="133">
        <f t="shared" si="27"/>
        <v>48</v>
      </c>
      <c r="N562" s="157"/>
      <c r="O562" s="158"/>
      <c r="P562" s="158"/>
      <c r="Q562" s="158"/>
      <c r="R562" s="158"/>
      <c r="S562" s="158"/>
      <c r="T562" s="158"/>
      <c r="U562" s="158"/>
      <c r="V562" s="158"/>
      <c r="W562" s="158"/>
      <c r="X562" s="158"/>
      <c r="Y562" s="158"/>
      <c r="Z562" s="158"/>
      <c r="AA562" s="158"/>
    </row>
    <row r="563" spans="1:27" ht="15.75" customHeight="1" x14ac:dyDescent="0.55000000000000004">
      <c r="A563" s="162">
        <v>98</v>
      </c>
      <c r="B563" s="162" t="s">
        <v>1516</v>
      </c>
      <c r="C563" s="162" t="s">
        <v>1517</v>
      </c>
      <c r="D563" s="163">
        <v>38801</v>
      </c>
      <c r="E563" s="120" t="s">
        <v>2987</v>
      </c>
      <c r="F563" s="131">
        <v>15</v>
      </c>
      <c r="G563" s="120">
        <v>1</v>
      </c>
      <c r="H563" s="131">
        <v>0</v>
      </c>
      <c r="I563" s="120">
        <v>0</v>
      </c>
      <c r="J563" s="133" t="s">
        <v>853</v>
      </c>
      <c r="K563" s="133">
        <v>0</v>
      </c>
      <c r="L563" s="117">
        <v>79.400000000000006</v>
      </c>
      <c r="M563" s="133">
        <f t="shared" si="27"/>
        <v>64.400000000000006</v>
      </c>
      <c r="N563" s="157"/>
      <c r="O563" s="158"/>
      <c r="P563" s="158"/>
      <c r="Q563" s="158"/>
      <c r="R563" s="158"/>
      <c r="S563" s="158"/>
      <c r="T563" s="158"/>
      <c r="U563" s="158"/>
      <c r="V563" s="158"/>
      <c r="W563" s="158"/>
      <c r="X563" s="158"/>
      <c r="Y563" s="158"/>
      <c r="Z563" s="158"/>
      <c r="AA563" s="158"/>
    </row>
    <row r="564" spans="1:27" ht="15.75" customHeight="1" x14ac:dyDescent="0.55000000000000004">
      <c r="A564" s="162">
        <v>98</v>
      </c>
      <c r="B564" s="162" t="s">
        <v>1516</v>
      </c>
      <c r="C564" s="162" t="s">
        <v>1517</v>
      </c>
      <c r="D564" s="163">
        <v>38801</v>
      </c>
      <c r="E564" s="120" t="s">
        <v>2988</v>
      </c>
      <c r="F564" s="131">
        <v>32</v>
      </c>
      <c r="G564" s="120">
        <v>0</v>
      </c>
      <c r="H564" s="131">
        <v>0</v>
      </c>
      <c r="I564" s="120">
        <v>0</v>
      </c>
      <c r="J564" s="133" t="s">
        <v>853</v>
      </c>
      <c r="K564" s="133">
        <v>0</v>
      </c>
      <c r="L564" s="117">
        <v>69.5</v>
      </c>
      <c r="M564" s="133">
        <f t="shared" si="27"/>
        <v>37.5</v>
      </c>
      <c r="N564" s="157"/>
      <c r="O564" s="158"/>
      <c r="P564" s="158"/>
      <c r="Q564" s="158"/>
      <c r="R564" s="158"/>
      <c r="S564" s="158"/>
      <c r="T564" s="158"/>
      <c r="U564" s="158"/>
      <c r="V564" s="158"/>
      <c r="W564" s="158"/>
      <c r="X564" s="158"/>
      <c r="Y564" s="158"/>
      <c r="Z564" s="158"/>
      <c r="AA564" s="158"/>
    </row>
    <row r="565" spans="1:27" ht="15.75" customHeight="1" x14ac:dyDescent="0.55000000000000004">
      <c r="A565" s="162">
        <v>98</v>
      </c>
      <c r="B565" s="162" t="s">
        <v>1516</v>
      </c>
      <c r="C565" s="162" t="s">
        <v>1517</v>
      </c>
      <c r="D565" s="163">
        <v>38801</v>
      </c>
      <c r="E565" s="120" t="s">
        <v>2989</v>
      </c>
      <c r="F565" s="131">
        <v>21</v>
      </c>
      <c r="G565" s="120">
        <v>0</v>
      </c>
      <c r="H565" s="131">
        <v>0</v>
      </c>
      <c r="I565" s="120">
        <v>0</v>
      </c>
      <c r="J565" s="133" t="s">
        <v>853</v>
      </c>
      <c r="K565" s="133">
        <v>0</v>
      </c>
      <c r="L565" s="117">
        <v>72.7</v>
      </c>
      <c r="M565" s="133">
        <f t="shared" si="27"/>
        <v>51.7</v>
      </c>
      <c r="N565" s="157"/>
      <c r="O565" s="158"/>
      <c r="P565" s="158"/>
      <c r="Q565" s="158"/>
      <c r="R565" s="158"/>
      <c r="S565" s="158"/>
      <c r="T565" s="158"/>
      <c r="U565" s="158"/>
      <c r="V565" s="158"/>
      <c r="W565" s="158"/>
      <c r="X565" s="158"/>
      <c r="Y565" s="158"/>
      <c r="Z565" s="158"/>
      <c r="AA565" s="158"/>
    </row>
    <row r="566" spans="1:27" ht="15.75" customHeight="1" x14ac:dyDescent="0.55000000000000004">
      <c r="A566" s="171">
        <v>99</v>
      </c>
      <c r="B566" s="171" t="s">
        <v>1523</v>
      </c>
      <c r="C566" s="171" t="s">
        <v>1524</v>
      </c>
      <c r="D566" s="172">
        <v>38858</v>
      </c>
      <c r="E566" s="120" t="s">
        <v>2990</v>
      </c>
      <c r="F566" s="131">
        <v>24</v>
      </c>
      <c r="G566" s="120">
        <v>1</v>
      </c>
      <c r="H566" s="120">
        <v>1</v>
      </c>
      <c r="I566" s="120">
        <v>1</v>
      </c>
      <c r="J566" s="133" t="s">
        <v>2362</v>
      </c>
      <c r="K566" s="133">
        <v>2</v>
      </c>
      <c r="L566" s="117">
        <v>72.5</v>
      </c>
      <c r="M566" s="133">
        <f t="shared" si="27"/>
        <v>48.5</v>
      </c>
      <c r="N566" s="157"/>
      <c r="O566" s="158"/>
      <c r="P566" s="158"/>
      <c r="Q566" s="158"/>
      <c r="R566" s="158"/>
      <c r="S566" s="158"/>
      <c r="T566" s="158"/>
      <c r="U566" s="158"/>
      <c r="V566" s="158"/>
      <c r="W566" s="158"/>
      <c r="X566" s="158"/>
      <c r="Y566" s="158"/>
      <c r="Z566" s="158"/>
      <c r="AA566" s="158"/>
    </row>
    <row r="567" spans="1:27" ht="15.75" customHeight="1" x14ac:dyDescent="0.55000000000000004">
      <c r="A567" s="171">
        <v>99</v>
      </c>
      <c r="B567" s="171" t="s">
        <v>1523</v>
      </c>
      <c r="C567" s="171" t="s">
        <v>1524</v>
      </c>
      <c r="D567" s="172">
        <v>38858</v>
      </c>
      <c r="E567" s="120" t="s">
        <v>2991</v>
      </c>
      <c r="F567" s="131">
        <v>72</v>
      </c>
      <c r="G567" s="120">
        <v>1</v>
      </c>
      <c r="H567" s="120">
        <v>1</v>
      </c>
      <c r="I567" s="120">
        <v>1</v>
      </c>
      <c r="J567" s="133" t="s">
        <v>2992</v>
      </c>
      <c r="K567" s="133">
        <v>1</v>
      </c>
      <c r="L567" s="117">
        <v>82.5</v>
      </c>
      <c r="M567" s="133">
        <f t="shared" si="27"/>
        <v>10.5</v>
      </c>
      <c r="N567" s="157"/>
      <c r="O567" s="158"/>
      <c r="P567" s="158"/>
      <c r="Q567" s="158"/>
      <c r="R567" s="158"/>
      <c r="S567" s="158"/>
      <c r="T567" s="158"/>
      <c r="U567" s="158"/>
      <c r="V567" s="158"/>
      <c r="W567" s="158"/>
      <c r="X567" s="158"/>
      <c r="Y567" s="158"/>
      <c r="Z567" s="158"/>
      <c r="AA567" s="158"/>
    </row>
    <row r="568" spans="1:27" ht="15.75" customHeight="1" x14ac:dyDescent="0.55000000000000004">
      <c r="A568" s="171">
        <v>99</v>
      </c>
      <c r="B568" s="171" t="s">
        <v>1523</v>
      </c>
      <c r="C568" s="171" t="s">
        <v>1524</v>
      </c>
      <c r="D568" s="172">
        <v>38858</v>
      </c>
      <c r="E568" s="120" t="s">
        <v>2993</v>
      </c>
      <c r="F568" s="131">
        <v>78</v>
      </c>
      <c r="G568" s="120">
        <v>0</v>
      </c>
      <c r="H568" s="120">
        <v>1</v>
      </c>
      <c r="I568" s="120">
        <v>1</v>
      </c>
      <c r="J568" s="133" t="s">
        <v>2992</v>
      </c>
      <c r="K568" s="133">
        <v>1</v>
      </c>
      <c r="L568" s="117">
        <v>84.2</v>
      </c>
      <c r="M568" s="133">
        <f t="shared" si="27"/>
        <v>6.2000000000000028</v>
      </c>
      <c r="N568" s="157"/>
      <c r="O568" s="158"/>
      <c r="P568" s="158"/>
      <c r="Q568" s="158"/>
      <c r="R568" s="158"/>
      <c r="S568" s="158"/>
      <c r="T568" s="158"/>
      <c r="U568" s="158"/>
      <c r="V568" s="158"/>
      <c r="W568" s="158"/>
      <c r="X568" s="158"/>
      <c r="Y568" s="158"/>
      <c r="Z568" s="158"/>
      <c r="AA568" s="158"/>
    </row>
    <row r="569" spans="1:27" ht="15.75" customHeight="1" x14ac:dyDescent="0.55000000000000004">
      <c r="A569" s="171">
        <v>99</v>
      </c>
      <c r="B569" s="171" t="s">
        <v>1523</v>
      </c>
      <c r="C569" s="171" t="s">
        <v>1524</v>
      </c>
      <c r="D569" s="172">
        <v>38858</v>
      </c>
      <c r="E569" s="120" t="s">
        <v>2994</v>
      </c>
      <c r="F569" s="131">
        <v>67</v>
      </c>
      <c r="G569" s="120">
        <v>1</v>
      </c>
      <c r="H569" s="131">
        <v>1</v>
      </c>
      <c r="I569" s="120">
        <v>1</v>
      </c>
      <c r="J569" s="133" t="s">
        <v>2992</v>
      </c>
      <c r="K569" s="133">
        <v>1</v>
      </c>
      <c r="L569" s="117">
        <v>83.3</v>
      </c>
      <c r="M569" s="133">
        <f t="shared" si="27"/>
        <v>16.299999999999997</v>
      </c>
      <c r="N569" s="157"/>
      <c r="O569" s="158"/>
      <c r="P569" s="158"/>
      <c r="Q569" s="158"/>
      <c r="R569" s="158"/>
      <c r="S569" s="158"/>
      <c r="T569" s="158"/>
      <c r="U569" s="158"/>
      <c r="V569" s="158"/>
      <c r="W569" s="158"/>
      <c r="X569" s="158"/>
      <c r="Y569" s="158"/>
      <c r="Z569" s="158"/>
      <c r="AA569" s="158"/>
    </row>
    <row r="570" spans="1:27" ht="15.75" customHeight="1" x14ac:dyDescent="0.55000000000000004">
      <c r="A570" s="171">
        <v>99</v>
      </c>
      <c r="B570" s="171" t="s">
        <v>1523</v>
      </c>
      <c r="C570" s="171" t="s">
        <v>1524</v>
      </c>
      <c r="D570" s="172">
        <v>38858</v>
      </c>
      <c r="E570" s="131" t="s">
        <v>2995</v>
      </c>
      <c r="F570" s="131">
        <v>47</v>
      </c>
      <c r="G570" s="120">
        <v>1</v>
      </c>
      <c r="H570" s="131">
        <v>1</v>
      </c>
      <c r="I570" s="120">
        <v>1</v>
      </c>
      <c r="J570" s="133" t="s">
        <v>2992</v>
      </c>
      <c r="K570" s="133">
        <v>1</v>
      </c>
      <c r="L570" s="117">
        <v>66.3</v>
      </c>
      <c r="M570" s="133">
        <f t="shared" si="27"/>
        <v>19.299999999999997</v>
      </c>
      <c r="N570" s="157"/>
      <c r="O570" s="158"/>
      <c r="P570" s="158"/>
      <c r="Q570" s="158"/>
      <c r="R570" s="158"/>
      <c r="S570" s="158"/>
      <c r="T570" s="158"/>
      <c r="U570" s="158"/>
      <c r="V570" s="158"/>
      <c r="W570" s="158"/>
      <c r="X570" s="158"/>
      <c r="Y570" s="158"/>
      <c r="Z570" s="158"/>
      <c r="AA570" s="158"/>
    </row>
    <row r="571" spans="1:27" ht="15.75" customHeight="1" x14ac:dyDescent="0.55000000000000004">
      <c r="A571" s="164">
        <v>100</v>
      </c>
      <c r="B571" s="164" t="s">
        <v>1530</v>
      </c>
      <c r="C571" s="164" t="s">
        <v>845</v>
      </c>
      <c r="D571" s="165">
        <v>38992</v>
      </c>
      <c r="E571" s="120" t="s">
        <v>2996</v>
      </c>
      <c r="F571" s="131">
        <v>7</v>
      </c>
      <c r="G571" s="120">
        <v>1</v>
      </c>
      <c r="H571" s="120">
        <v>0</v>
      </c>
      <c r="I571" s="120">
        <v>2</v>
      </c>
      <c r="J571" s="133" t="s">
        <v>2997</v>
      </c>
      <c r="K571" s="133">
        <v>5</v>
      </c>
      <c r="L571" s="117">
        <v>79.900000000000006</v>
      </c>
      <c r="M571" s="133">
        <f t="shared" si="27"/>
        <v>72.900000000000006</v>
      </c>
      <c r="N571" s="157"/>
      <c r="O571" s="158"/>
      <c r="P571" s="158"/>
      <c r="Q571" s="158"/>
      <c r="R571" s="158"/>
      <c r="S571" s="158"/>
      <c r="T571" s="158"/>
      <c r="U571" s="158"/>
      <c r="V571" s="158"/>
      <c r="W571" s="158"/>
      <c r="X571" s="158"/>
      <c r="Y571" s="158"/>
      <c r="Z571" s="158"/>
      <c r="AA571" s="158"/>
    </row>
    <row r="572" spans="1:27" ht="15.75" customHeight="1" x14ac:dyDescent="0.55000000000000004">
      <c r="A572" s="164">
        <v>100</v>
      </c>
      <c r="B572" s="164" t="s">
        <v>1530</v>
      </c>
      <c r="C572" s="164" t="s">
        <v>845</v>
      </c>
      <c r="D572" s="165">
        <v>38992</v>
      </c>
      <c r="E572" s="120" t="s">
        <v>2998</v>
      </c>
      <c r="F572" s="131">
        <v>13</v>
      </c>
      <c r="G572" s="120">
        <v>1</v>
      </c>
      <c r="H572" s="120">
        <v>0</v>
      </c>
      <c r="I572" s="120">
        <v>2</v>
      </c>
      <c r="J572" s="133" t="s">
        <v>2997</v>
      </c>
      <c r="K572" s="133">
        <v>5</v>
      </c>
      <c r="L572" s="117">
        <v>79.599999999999994</v>
      </c>
      <c r="M572" s="133">
        <f t="shared" si="27"/>
        <v>66.599999999999994</v>
      </c>
      <c r="N572" s="157"/>
      <c r="O572" s="158"/>
      <c r="P572" s="158"/>
      <c r="Q572" s="158"/>
      <c r="R572" s="158"/>
      <c r="S572" s="158"/>
      <c r="T572" s="158"/>
      <c r="U572" s="158"/>
      <c r="V572" s="158"/>
      <c r="W572" s="158"/>
      <c r="X572" s="158"/>
      <c r="Y572" s="158"/>
      <c r="Z572" s="158"/>
      <c r="AA572" s="158"/>
    </row>
    <row r="573" spans="1:27" ht="15.75" customHeight="1" x14ac:dyDescent="0.55000000000000004">
      <c r="A573" s="164">
        <v>100</v>
      </c>
      <c r="B573" s="164" t="s">
        <v>1530</v>
      </c>
      <c r="C573" s="164" t="s">
        <v>845</v>
      </c>
      <c r="D573" s="165">
        <v>38992</v>
      </c>
      <c r="E573" s="120" t="s">
        <v>2999</v>
      </c>
      <c r="F573" s="131">
        <v>7</v>
      </c>
      <c r="G573" s="120">
        <v>1</v>
      </c>
      <c r="H573" s="120">
        <v>0</v>
      </c>
      <c r="I573" s="120">
        <v>2</v>
      </c>
      <c r="J573" s="133" t="s">
        <v>2997</v>
      </c>
      <c r="K573" s="133">
        <v>5</v>
      </c>
      <c r="L573" s="117">
        <v>79.900000000000006</v>
      </c>
      <c r="M573" s="133">
        <f t="shared" si="27"/>
        <v>72.900000000000006</v>
      </c>
      <c r="N573" s="157"/>
      <c r="O573" s="158"/>
      <c r="P573" s="158"/>
      <c r="Q573" s="158"/>
      <c r="R573" s="158"/>
      <c r="S573" s="158"/>
      <c r="T573" s="158"/>
      <c r="U573" s="158"/>
      <c r="V573" s="158"/>
      <c r="W573" s="158"/>
      <c r="X573" s="158"/>
      <c r="Y573" s="158"/>
      <c r="Z573" s="158"/>
      <c r="AA573" s="158"/>
    </row>
    <row r="574" spans="1:27" ht="15.75" customHeight="1" x14ac:dyDescent="0.55000000000000004">
      <c r="A574" s="164">
        <v>100</v>
      </c>
      <c r="B574" s="164" t="s">
        <v>1530</v>
      </c>
      <c r="C574" s="164" t="s">
        <v>845</v>
      </c>
      <c r="D574" s="165">
        <v>38992</v>
      </c>
      <c r="E574" s="120" t="s">
        <v>3000</v>
      </c>
      <c r="F574" s="131">
        <v>8</v>
      </c>
      <c r="G574" s="120">
        <v>1</v>
      </c>
      <c r="H574" s="120">
        <v>0</v>
      </c>
      <c r="I574" s="120">
        <v>2</v>
      </c>
      <c r="J574" s="133" t="s">
        <v>2997</v>
      </c>
      <c r="K574" s="133">
        <v>5</v>
      </c>
      <c r="L574" s="117">
        <v>79.900000000000006</v>
      </c>
      <c r="M574" s="133">
        <f t="shared" si="27"/>
        <v>71.900000000000006</v>
      </c>
      <c r="N574" s="157"/>
      <c r="O574" s="158"/>
      <c r="P574" s="158"/>
      <c r="Q574" s="158"/>
      <c r="R574" s="158"/>
      <c r="S574" s="158"/>
      <c r="T574" s="158"/>
      <c r="U574" s="158"/>
      <c r="V574" s="158"/>
      <c r="W574" s="158"/>
      <c r="X574" s="158"/>
      <c r="Y574" s="158"/>
      <c r="Z574" s="158"/>
      <c r="AA574" s="158"/>
    </row>
    <row r="575" spans="1:27" ht="15.75" customHeight="1" x14ac:dyDescent="0.55000000000000004">
      <c r="A575" s="164">
        <v>100</v>
      </c>
      <c r="B575" s="164" t="s">
        <v>1530</v>
      </c>
      <c r="C575" s="164" t="s">
        <v>845</v>
      </c>
      <c r="D575" s="165">
        <v>38992</v>
      </c>
      <c r="E575" s="120" t="s">
        <v>3001</v>
      </c>
      <c r="F575" s="131">
        <v>12</v>
      </c>
      <c r="G575" s="120">
        <v>1</v>
      </c>
      <c r="H575" s="120">
        <v>0</v>
      </c>
      <c r="I575" s="120">
        <v>2</v>
      </c>
      <c r="J575" s="133" t="s">
        <v>2997</v>
      </c>
      <c r="K575" s="133">
        <v>5</v>
      </c>
      <c r="L575" s="117">
        <v>79.599999999999994</v>
      </c>
      <c r="M575" s="133">
        <f t="shared" si="27"/>
        <v>67.599999999999994</v>
      </c>
      <c r="N575" s="157"/>
      <c r="O575" s="158"/>
      <c r="P575" s="158"/>
      <c r="Q575" s="158"/>
      <c r="R575" s="158"/>
      <c r="S575" s="158"/>
      <c r="T575" s="158"/>
      <c r="U575" s="158"/>
      <c r="V575" s="158"/>
      <c r="W575" s="158"/>
      <c r="X575" s="158"/>
      <c r="Y575" s="158"/>
      <c r="Z575" s="158"/>
      <c r="AA575" s="158"/>
    </row>
    <row r="576" spans="1:27" ht="15.75" customHeight="1" x14ac:dyDescent="0.55000000000000004">
      <c r="A576" s="166">
        <v>101</v>
      </c>
      <c r="B576" s="166" t="s">
        <v>1536</v>
      </c>
      <c r="C576" s="166" t="s">
        <v>1537</v>
      </c>
      <c r="D576" s="167">
        <v>39125</v>
      </c>
      <c r="E576" s="120" t="s">
        <v>3002</v>
      </c>
      <c r="F576" s="131">
        <v>29</v>
      </c>
      <c r="G576" s="120">
        <v>1</v>
      </c>
      <c r="H576" s="131">
        <v>0</v>
      </c>
      <c r="I576" s="120">
        <v>0</v>
      </c>
      <c r="J576" s="133" t="s">
        <v>853</v>
      </c>
      <c r="K576" s="133">
        <v>0</v>
      </c>
      <c r="L576" s="117">
        <v>78.099999999999994</v>
      </c>
      <c r="M576" s="133">
        <f t="shared" si="27"/>
        <v>49.099999999999994</v>
      </c>
      <c r="N576" s="157"/>
      <c r="O576" s="158"/>
      <c r="P576" s="158"/>
      <c r="Q576" s="158"/>
      <c r="R576" s="158"/>
      <c r="S576" s="158"/>
      <c r="T576" s="158"/>
      <c r="U576" s="158"/>
      <c r="V576" s="158"/>
      <c r="W576" s="158"/>
      <c r="X576" s="158"/>
      <c r="Y576" s="158"/>
      <c r="Z576" s="158"/>
      <c r="AA576" s="158"/>
    </row>
    <row r="577" spans="1:27" ht="15.75" customHeight="1" x14ac:dyDescent="0.55000000000000004">
      <c r="A577" s="166">
        <v>101</v>
      </c>
      <c r="B577" s="166" t="s">
        <v>1536</v>
      </c>
      <c r="C577" s="166" t="s">
        <v>1537</v>
      </c>
      <c r="D577" s="167">
        <v>39125</v>
      </c>
      <c r="E577" s="120" t="s">
        <v>3003</v>
      </c>
      <c r="F577" s="131">
        <v>24</v>
      </c>
      <c r="G577" s="120">
        <v>0</v>
      </c>
      <c r="H577" s="131">
        <v>0</v>
      </c>
      <c r="I577" s="120">
        <v>0</v>
      </c>
      <c r="J577" s="133" t="s">
        <v>853</v>
      </c>
      <c r="K577" s="133">
        <v>0</v>
      </c>
      <c r="L577" s="117">
        <v>70.7</v>
      </c>
      <c r="M577" s="133">
        <f t="shared" si="27"/>
        <v>46.7</v>
      </c>
      <c r="N577" s="157"/>
      <c r="O577" s="158"/>
      <c r="P577" s="158"/>
      <c r="Q577" s="158"/>
      <c r="R577" s="158"/>
      <c r="S577" s="158"/>
      <c r="T577" s="158"/>
      <c r="U577" s="158"/>
      <c r="V577" s="158"/>
      <c r="W577" s="158"/>
      <c r="X577" s="158"/>
      <c r="Y577" s="158"/>
      <c r="Z577" s="158"/>
      <c r="AA577" s="158"/>
    </row>
    <row r="578" spans="1:27" ht="15.75" customHeight="1" x14ac:dyDescent="0.55000000000000004">
      <c r="A578" s="166">
        <v>101</v>
      </c>
      <c r="B578" s="166" t="s">
        <v>1536</v>
      </c>
      <c r="C578" s="166" t="s">
        <v>1537</v>
      </c>
      <c r="D578" s="167">
        <v>39125</v>
      </c>
      <c r="E578" s="120" t="s">
        <v>3004</v>
      </c>
      <c r="F578" s="131">
        <v>15</v>
      </c>
      <c r="G578" s="120">
        <v>1</v>
      </c>
      <c r="H578" s="131">
        <v>0</v>
      </c>
      <c r="I578" s="120">
        <v>0</v>
      </c>
      <c r="J578" s="133" t="s">
        <v>853</v>
      </c>
      <c r="K578" s="133">
        <v>0</v>
      </c>
      <c r="L578" s="117">
        <v>79.400000000000006</v>
      </c>
      <c r="M578" s="133">
        <f t="shared" si="27"/>
        <v>64.400000000000006</v>
      </c>
      <c r="N578" s="157"/>
      <c r="O578" s="158"/>
      <c r="P578" s="158"/>
      <c r="Q578" s="158"/>
      <c r="R578" s="158"/>
      <c r="S578" s="158"/>
      <c r="T578" s="158"/>
      <c r="U578" s="158"/>
      <c r="V578" s="158"/>
      <c r="W578" s="158"/>
      <c r="X578" s="158"/>
      <c r="Y578" s="158"/>
      <c r="Z578" s="158"/>
      <c r="AA578" s="158"/>
    </row>
    <row r="579" spans="1:27" ht="15.75" customHeight="1" x14ac:dyDescent="0.55000000000000004">
      <c r="A579" s="166">
        <v>101</v>
      </c>
      <c r="B579" s="166" t="s">
        <v>1536</v>
      </c>
      <c r="C579" s="166" t="s">
        <v>1537</v>
      </c>
      <c r="D579" s="167">
        <v>39125</v>
      </c>
      <c r="E579" s="120" t="s">
        <v>3005</v>
      </c>
      <c r="F579" s="131">
        <v>29</v>
      </c>
      <c r="G579" s="120">
        <v>1</v>
      </c>
      <c r="H579" s="131">
        <v>0</v>
      </c>
      <c r="I579" s="120">
        <v>0</v>
      </c>
      <c r="J579" s="133" t="s">
        <v>853</v>
      </c>
      <c r="K579" s="133">
        <v>0</v>
      </c>
      <c r="L579" s="117">
        <v>78.099999999999994</v>
      </c>
      <c r="M579" s="133">
        <f t="shared" si="27"/>
        <v>49.099999999999994</v>
      </c>
      <c r="N579" s="157"/>
      <c r="O579" s="158"/>
      <c r="P579" s="158"/>
      <c r="Q579" s="158"/>
      <c r="R579" s="158"/>
      <c r="S579" s="158"/>
      <c r="T579" s="158"/>
      <c r="U579" s="158"/>
      <c r="V579" s="158"/>
      <c r="W579" s="158"/>
      <c r="X579" s="158"/>
      <c r="Y579" s="158"/>
      <c r="Z579" s="158"/>
      <c r="AA579" s="158"/>
    </row>
    <row r="580" spans="1:27" ht="15.75" customHeight="1" x14ac:dyDescent="0.55000000000000004">
      <c r="A580" s="166">
        <v>101</v>
      </c>
      <c r="B580" s="166" t="s">
        <v>1536</v>
      </c>
      <c r="C580" s="166" t="s">
        <v>1537</v>
      </c>
      <c r="D580" s="167">
        <v>39125</v>
      </c>
      <c r="E580" s="120" t="s">
        <v>3006</v>
      </c>
      <c r="F580" s="131">
        <v>52</v>
      </c>
      <c r="G580" s="120">
        <v>0</v>
      </c>
      <c r="H580" s="131">
        <v>0</v>
      </c>
      <c r="I580" s="120">
        <v>0</v>
      </c>
      <c r="J580" s="133" t="s">
        <v>853</v>
      </c>
      <c r="K580" s="133">
        <v>0</v>
      </c>
      <c r="L580" s="117">
        <v>67.400000000000006</v>
      </c>
      <c r="M580" s="133">
        <f t="shared" si="27"/>
        <v>15.400000000000006</v>
      </c>
      <c r="N580" s="157"/>
      <c r="O580" s="158"/>
      <c r="P580" s="158"/>
      <c r="Q580" s="158"/>
      <c r="R580" s="158"/>
      <c r="S580" s="158"/>
      <c r="T580" s="158"/>
      <c r="U580" s="158"/>
      <c r="V580" s="158"/>
      <c r="W580" s="158"/>
      <c r="X580" s="158"/>
      <c r="Y580" s="158"/>
      <c r="Z580" s="158"/>
      <c r="AA580" s="158"/>
    </row>
    <row r="581" spans="1:27" ht="15.75" customHeight="1" x14ac:dyDescent="0.55000000000000004">
      <c r="A581" s="177">
        <v>102</v>
      </c>
      <c r="B581" s="177" t="s">
        <v>1543</v>
      </c>
      <c r="C581" s="177" t="s">
        <v>1544</v>
      </c>
      <c r="D581" s="178">
        <v>39188</v>
      </c>
      <c r="E581" s="120" t="s">
        <v>3007</v>
      </c>
      <c r="F581" s="131">
        <v>20</v>
      </c>
      <c r="G581" s="120">
        <v>0</v>
      </c>
      <c r="H581" s="131">
        <v>4</v>
      </c>
      <c r="I581" s="131">
        <v>1</v>
      </c>
      <c r="J581" s="133" t="s">
        <v>2673</v>
      </c>
      <c r="K581" s="133">
        <v>4</v>
      </c>
      <c r="L581" s="117">
        <v>71.8</v>
      </c>
      <c r="M581" s="133">
        <f t="shared" si="27"/>
        <v>51.8</v>
      </c>
      <c r="N581" s="157"/>
      <c r="O581" s="158"/>
      <c r="P581" s="158"/>
      <c r="Q581" s="158"/>
      <c r="R581" s="158"/>
      <c r="S581" s="158"/>
      <c r="T581" s="158"/>
      <c r="U581" s="158"/>
      <c r="V581" s="158"/>
      <c r="W581" s="158"/>
      <c r="X581" s="158"/>
      <c r="Y581" s="158"/>
      <c r="Z581" s="158"/>
      <c r="AA581" s="158"/>
    </row>
    <row r="582" spans="1:27" ht="15.75" customHeight="1" x14ac:dyDescent="0.55000000000000004">
      <c r="A582" s="177">
        <v>102</v>
      </c>
      <c r="B582" s="177" t="s">
        <v>1543</v>
      </c>
      <c r="C582" s="177" t="s">
        <v>1544</v>
      </c>
      <c r="D582" s="178">
        <v>39188</v>
      </c>
      <c r="E582" s="120" t="s">
        <v>3008</v>
      </c>
      <c r="F582" s="131">
        <v>35</v>
      </c>
      <c r="G582" s="120">
        <v>0</v>
      </c>
      <c r="H582" s="131">
        <v>0</v>
      </c>
      <c r="I582" s="120">
        <v>2</v>
      </c>
      <c r="J582" s="133" t="s">
        <v>3009</v>
      </c>
      <c r="K582" s="133">
        <v>4</v>
      </c>
      <c r="L582" s="117">
        <v>68</v>
      </c>
      <c r="M582" s="133">
        <f t="shared" si="27"/>
        <v>33</v>
      </c>
      <c r="N582" s="157"/>
      <c r="O582" s="158"/>
      <c r="P582" s="158"/>
      <c r="Q582" s="158"/>
      <c r="R582" s="158"/>
      <c r="S582" s="158"/>
      <c r="T582" s="158"/>
      <c r="U582" s="158"/>
      <c r="V582" s="158"/>
      <c r="W582" s="158"/>
      <c r="X582" s="158"/>
      <c r="Y582" s="158"/>
      <c r="Z582" s="158"/>
      <c r="AA582" s="158"/>
    </row>
    <row r="583" spans="1:27" ht="15.75" customHeight="1" x14ac:dyDescent="0.55000000000000004">
      <c r="A583" s="177">
        <v>102</v>
      </c>
      <c r="B583" s="177" t="s">
        <v>1543</v>
      </c>
      <c r="C583" s="177" t="s">
        <v>1544</v>
      </c>
      <c r="D583" s="178">
        <v>39188</v>
      </c>
      <c r="E583" s="120" t="s">
        <v>3010</v>
      </c>
      <c r="F583" s="131">
        <v>25</v>
      </c>
      <c r="G583" s="120">
        <v>0</v>
      </c>
      <c r="H583" s="131">
        <v>0</v>
      </c>
      <c r="I583" s="120">
        <v>2</v>
      </c>
      <c r="J583" s="133" t="s">
        <v>2673</v>
      </c>
      <c r="K583" s="133">
        <v>4</v>
      </c>
      <c r="L583" s="117">
        <v>70.7</v>
      </c>
      <c r="M583" s="133">
        <f t="shared" si="27"/>
        <v>45.7</v>
      </c>
      <c r="N583" s="157"/>
      <c r="O583" s="158"/>
      <c r="P583" s="158"/>
      <c r="Q583" s="158"/>
      <c r="R583" s="158"/>
      <c r="S583" s="158"/>
      <c r="T583" s="158"/>
      <c r="U583" s="158"/>
      <c r="V583" s="158"/>
      <c r="W583" s="158"/>
      <c r="X583" s="158"/>
      <c r="Y583" s="158"/>
      <c r="Z583" s="158"/>
      <c r="AA583" s="158"/>
    </row>
    <row r="584" spans="1:27" ht="15.75" customHeight="1" x14ac:dyDescent="0.55000000000000004">
      <c r="A584" s="177">
        <v>102</v>
      </c>
      <c r="B584" s="177" t="s">
        <v>1543</v>
      </c>
      <c r="C584" s="177" t="s">
        <v>1544</v>
      </c>
      <c r="D584" s="178">
        <v>39188</v>
      </c>
      <c r="E584" s="120" t="s">
        <v>3011</v>
      </c>
      <c r="F584" s="131">
        <v>22</v>
      </c>
      <c r="G584" s="120">
        <v>0</v>
      </c>
      <c r="H584" s="131">
        <v>1</v>
      </c>
      <c r="I584" s="120">
        <v>2</v>
      </c>
      <c r="J584" s="133" t="s">
        <v>2673</v>
      </c>
      <c r="K584" s="133">
        <v>4</v>
      </c>
      <c r="L584" s="117">
        <v>64.5</v>
      </c>
      <c r="M584" s="133">
        <f t="shared" si="27"/>
        <v>42.5</v>
      </c>
      <c r="N584" s="157"/>
      <c r="O584" s="158"/>
      <c r="P584" s="158"/>
      <c r="Q584" s="158"/>
      <c r="R584" s="158"/>
      <c r="S584" s="158"/>
      <c r="T584" s="158"/>
      <c r="U584" s="158"/>
      <c r="V584" s="158"/>
      <c r="W584" s="158"/>
      <c r="X584" s="158"/>
      <c r="Y584" s="158"/>
      <c r="Z584" s="158"/>
      <c r="AA584" s="158"/>
    </row>
    <row r="585" spans="1:27" ht="15.75" customHeight="1" x14ac:dyDescent="0.55000000000000004">
      <c r="A585" s="177">
        <v>102</v>
      </c>
      <c r="B585" s="177" t="s">
        <v>1543</v>
      </c>
      <c r="C585" s="177" t="s">
        <v>1544</v>
      </c>
      <c r="D585" s="178">
        <v>39188</v>
      </c>
      <c r="E585" s="120" t="s">
        <v>3012</v>
      </c>
      <c r="F585" s="131">
        <v>18</v>
      </c>
      <c r="G585" s="120">
        <v>1</v>
      </c>
      <c r="H585" s="131">
        <v>0</v>
      </c>
      <c r="I585" s="120">
        <v>2</v>
      </c>
      <c r="J585" s="133" t="s">
        <v>2673</v>
      </c>
      <c r="K585" s="133">
        <v>4</v>
      </c>
      <c r="L585" s="117">
        <v>79.400000000000006</v>
      </c>
      <c r="M585" s="133">
        <f t="shared" si="27"/>
        <v>61.400000000000006</v>
      </c>
      <c r="N585" s="157"/>
      <c r="O585" s="158"/>
      <c r="P585" s="158"/>
      <c r="Q585" s="158"/>
      <c r="R585" s="158"/>
      <c r="S585" s="158"/>
      <c r="T585" s="158"/>
      <c r="U585" s="158"/>
      <c r="V585" s="158"/>
      <c r="W585" s="158"/>
      <c r="X585" s="158"/>
      <c r="Y585" s="158"/>
      <c r="Z585" s="158"/>
      <c r="AA585" s="158"/>
    </row>
    <row r="586" spans="1:27" ht="15.75" customHeight="1" x14ac:dyDescent="0.55000000000000004">
      <c r="A586" s="177">
        <v>102</v>
      </c>
      <c r="B586" s="177" t="s">
        <v>1543</v>
      </c>
      <c r="C586" s="177" t="s">
        <v>1544</v>
      </c>
      <c r="D586" s="178">
        <v>39188</v>
      </c>
      <c r="E586" s="120" t="s">
        <v>3013</v>
      </c>
      <c r="F586" s="161" t="str">
        <f>HYPERLINK("https://www.findagrave.com/memorial/201453367/jocelyne-nowak","49")</f>
        <v>49</v>
      </c>
      <c r="G586" s="120">
        <v>1</v>
      </c>
      <c r="H586" s="131">
        <v>0</v>
      </c>
      <c r="I586" s="120">
        <v>2</v>
      </c>
      <c r="J586" s="133" t="s">
        <v>3009</v>
      </c>
      <c r="K586" s="133">
        <v>4</v>
      </c>
      <c r="L586" s="117">
        <v>74.099999999999994</v>
      </c>
      <c r="M586" s="133">
        <f t="shared" si="27"/>
        <v>25.099999999999994</v>
      </c>
      <c r="N586" s="157"/>
      <c r="O586" s="158"/>
      <c r="P586" s="158"/>
      <c r="Q586" s="158"/>
      <c r="R586" s="158"/>
      <c r="S586" s="158"/>
      <c r="T586" s="158"/>
      <c r="U586" s="158"/>
      <c r="V586" s="158"/>
      <c r="W586" s="158"/>
      <c r="X586" s="158"/>
      <c r="Y586" s="158"/>
      <c r="Z586" s="158"/>
      <c r="AA586" s="158"/>
    </row>
    <row r="587" spans="1:27" ht="15.75" customHeight="1" x14ac:dyDescent="0.55000000000000004">
      <c r="A587" s="177">
        <v>102</v>
      </c>
      <c r="B587" s="177" t="s">
        <v>1543</v>
      </c>
      <c r="C587" s="177" t="s">
        <v>1544</v>
      </c>
      <c r="D587" s="178">
        <v>39188</v>
      </c>
      <c r="E587" s="120" t="s">
        <v>3014</v>
      </c>
      <c r="F587" s="131">
        <v>45</v>
      </c>
      <c r="G587" s="120">
        <v>0</v>
      </c>
      <c r="H587" s="131">
        <v>0</v>
      </c>
      <c r="I587" s="120">
        <v>2</v>
      </c>
      <c r="J587" s="133" t="s">
        <v>3009</v>
      </c>
      <c r="K587" s="133">
        <v>4</v>
      </c>
      <c r="L587" s="117">
        <v>67.400000000000006</v>
      </c>
      <c r="M587" s="133">
        <f t="shared" si="27"/>
        <v>22.400000000000006</v>
      </c>
      <c r="N587" s="157"/>
      <c r="O587" s="158"/>
      <c r="P587" s="158"/>
      <c r="Q587" s="158"/>
      <c r="R587" s="158"/>
      <c r="S587" s="158"/>
      <c r="T587" s="158"/>
      <c r="U587" s="158"/>
      <c r="V587" s="158"/>
      <c r="W587" s="158"/>
      <c r="X587" s="158"/>
      <c r="Y587" s="158"/>
      <c r="Z587" s="158"/>
      <c r="AA587" s="158"/>
    </row>
    <row r="588" spans="1:27" ht="15.75" customHeight="1" x14ac:dyDescent="0.55000000000000004">
      <c r="A588" s="177">
        <v>102</v>
      </c>
      <c r="B588" s="177" t="s">
        <v>1543</v>
      </c>
      <c r="C588" s="177" t="s">
        <v>1544</v>
      </c>
      <c r="D588" s="178">
        <v>39188</v>
      </c>
      <c r="E588" s="120" t="s">
        <v>3015</v>
      </c>
      <c r="F588" s="131">
        <v>24</v>
      </c>
      <c r="G588" s="120">
        <v>0</v>
      </c>
      <c r="H588" s="131">
        <v>0</v>
      </c>
      <c r="I588" s="120">
        <v>2</v>
      </c>
      <c r="J588" s="133" t="s">
        <v>2673</v>
      </c>
      <c r="K588" s="133">
        <v>4</v>
      </c>
      <c r="L588" s="117">
        <v>70.7</v>
      </c>
      <c r="M588" s="133">
        <f t="shared" si="27"/>
        <v>46.7</v>
      </c>
      <c r="N588" s="157"/>
      <c r="O588" s="158"/>
      <c r="P588" s="158"/>
      <c r="Q588" s="158"/>
      <c r="R588" s="158"/>
      <c r="S588" s="158"/>
      <c r="T588" s="158"/>
      <c r="U588" s="158"/>
      <c r="V588" s="158"/>
      <c r="W588" s="158"/>
      <c r="X588" s="158"/>
      <c r="Y588" s="158"/>
      <c r="Z588" s="158"/>
      <c r="AA588" s="158"/>
    </row>
    <row r="589" spans="1:27" ht="15.75" customHeight="1" x14ac:dyDescent="0.55000000000000004">
      <c r="A589" s="177">
        <v>102</v>
      </c>
      <c r="B589" s="177" t="s">
        <v>1543</v>
      </c>
      <c r="C589" s="177" t="s">
        <v>1544</v>
      </c>
      <c r="D589" s="178">
        <v>39188</v>
      </c>
      <c r="E589" s="120" t="s">
        <v>3016</v>
      </c>
      <c r="F589" s="131">
        <v>19</v>
      </c>
      <c r="G589" s="120">
        <v>1</v>
      </c>
      <c r="H589" s="131">
        <v>0</v>
      </c>
      <c r="I589" s="120">
        <v>2</v>
      </c>
      <c r="J589" s="133" t="s">
        <v>2673</v>
      </c>
      <c r="K589" s="133">
        <v>4</v>
      </c>
      <c r="L589" s="117">
        <v>79.400000000000006</v>
      </c>
      <c r="M589" s="133">
        <f t="shared" si="27"/>
        <v>60.400000000000006</v>
      </c>
      <c r="N589" s="157"/>
      <c r="O589" s="158"/>
      <c r="P589" s="158"/>
      <c r="Q589" s="158"/>
      <c r="R589" s="158"/>
      <c r="S589" s="158"/>
      <c r="T589" s="158"/>
      <c r="U589" s="158"/>
      <c r="V589" s="158"/>
      <c r="W589" s="158"/>
      <c r="X589" s="158"/>
      <c r="Y589" s="158"/>
      <c r="Z589" s="158"/>
      <c r="AA589" s="158"/>
    </row>
    <row r="590" spans="1:27" ht="15.75" customHeight="1" x14ac:dyDescent="0.55000000000000004">
      <c r="A590" s="177">
        <v>102</v>
      </c>
      <c r="B590" s="177" t="s">
        <v>1543</v>
      </c>
      <c r="C590" s="177" t="s">
        <v>1544</v>
      </c>
      <c r="D590" s="178">
        <v>39188</v>
      </c>
      <c r="E590" s="120" t="s">
        <v>3017</v>
      </c>
      <c r="F590" s="131">
        <v>27</v>
      </c>
      <c r="G590" s="120">
        <v>0</v>
      </c>
      <c r="H590" s="131">
        <v>0</v>
      </c>
      <c r="I590" s="120">
        <v>2</v>
      </c>
      <c r="J590" s="133" t="s">
        <v>2673</v>
      </c>
      <c r="K590" s="133">
        <v>4</v>
      </c>
      <c r="L590" s="117">
        <v>70.7</v>
      </c>
      <c r="M590" s="133">
        <f t="shared" si="27"/>
        <v>43.7</v>
      </c>
      <c r="N590" s="157"/>
      <c r="O590" s="158"/>
      <c r="P590" s="158"/>
      <c r="Q590" s="158"/>
      <c r="R590" s="158"/>
      <c r="S590" s="158"/>
      <c r="T590" s="158"/>
      <c r="U590" s="158"/>
      <c r="V590" s="158"/>
      <c r="W590" s="158"/>
      <c r="X590" s="158"/>
      <c r="Y590" s="158"/>
      <c r="Z590" s="158"/>
      <c r="AA590" s="158"/>
    </row>
    <row r="591" spans="1:27" ht="15.75" customHeight="1" x14ac:dyDescent="0.55000000000000004">
      <c r="A591" s="177">
        <v>102</v>
      </c>
      <c r="B591" s="177" t="s">
        <v>1543</v>
      </c>
      <c r="C591" s="177" t="s">
        <v>1544</v>
      </c>
      <c r="D591" s="178">
        <v>39188</v>
      </c>
      <c r="E591" s="120" t="s">
        <v>3018</v>
      </c>
      <c r="F591" s="131">
        <v>18</v>
      </c>
      <c r="G591" s="120">
        <v>1</v>
      </c>
      <c r="H591" s="131">
        <v>0</v>
      </c>
      <c r="I591" s="120">
        <v>2</v>
      </c>
      <c r="J591" s="133" t="s">
        <v>2673</v>
      </c>
      <c r="K591" s="133">
        <v>4</v>
      </c>
      <c r="L591" s="117">
        <v>79.400000000000006</v>
      </c>
      <c r="M591" s="133">
        <f t="shared" si="27"/>
        <v>61.400000000000006</v>
      </c>
      <c r="N591" s="157"/>
      <c r="O591" s="158"/>
      <c r="P591" s="158"/>
      <c r="Q591" s="158"/>
      <c r="R591" s="158"/>
      <c r="S591" s="158"/>
      <c r="T591" s="158"/>
      <c r="U591" s="158"/>
      <c r="V591" s="158"/>
      <c r="W591" s="158"/>
      <c r="X591" s="158"/>
      <c r="Y591" s="158"/>
      <c r="Z591" s="158"/>
      <c r="AA591" s="158"/>
    </row>
    <row r="592" spans="1:27" ht="15.75" customHeight="1" x14ac:dyDescent="0.55000000000000004">
      <c r="A592" s="177">
        <v>102</v>
      </c>
      <c r="B592" s="177" t="s">
        <v>1543</v>
      </c>
      <c r="C592" s="177" t="s">
        <v>1544</v>
      </c>
      <c r="D592" s="178">
        <v>39188</v>
      </c>
      <c r="E592" s="120" t="s">
        <v>3019</v>
      </c>
      <c r="F592" s="131">
        <v>19</v>
      </c>
      <c r="G592" s="120">
        <v>1</v>
      </c>
      <c r="H592" s="131">
        <v>0</v>
      </c>
      <c r="I592" s="131">
        <v>1</v>
      </c>
      <c r="J592" s="133" t="s">
        <v>3020</v>
      </c>
      <c r="K592" s="133">
        <v>4</v>
      </c>
      <c r="L592" s="117">
        <v>79.400000000000006</v>
      </c>
      <c r="M592" s="133">
        <f t="shared" si="27"/>
        <v>60.400000000000006</v>
      </c>
      <c r="N592" s="157"/>
      <c r="O592" s="158"/>
      <c r="P592" s="158"/>
      <c r="Q592" s="158"/>
      <c r="R592" s="158"/>
      <c r="S592" s="158"/>
      <c r="T592" s="158"/>
      <c r="U592" s="158"/>
      <c r="V592" s="158"/>
      <c r="W592" s="158"/>
      <c r="X592" s="158"/>
      <c r="Y592" s="158"/>
      <c r="Z592" s="158"/>
      <c r="AA592" s="158"/>
    </row>
    <row r="593" spans="1:27" ht="15.75" customHeight="1" x14ac:dyDescent="0.55000000000000004">
      <c r="A593" s="177">
        <v>102</v>
      </c>
      <c r="B593" s="177" t="s">
        <v>1543</v>
      </c>
      <c r="C593" s="177" t="s">
        <v>1544</v>
      </c>
      <c r="D593" s="178">
        <v>39188</v>
      </c>
      <c r="E593" s="120" t="s">
        <v>3021</v>
      </c>
      <c r="F593" s="131">
        <v>22</v>
      </c>
      <c r="G593" s="120">
        <v>0</v>
      </c>
      <c r="H593" s="131">
        <v>0</v>
      </c>
      <c r="I593" s="120">
        <v>2</v>
      </c>
      <c r="J593" s="133" t="s">
        <v>2673</v>
      </c>
      <c r="K593" s="133">
        <v>4</v>
      </c>
      <c r="L593" s="117">
        <v>72.7</v>
      </c>
      <c r="M593" s="133">
        <f t="shared" si="27"/>
        <v>50.7</v>
      </c>
      <c r="N593" s="157"/>
      <c r="O593" s="158"/>
      <c r="P593" s="158"/>
      <c r="Q593" s="158"/>
      <c r="R593" s="158"/>
      <c r="S593" s="158"/>
      <c r="T593" s="158"/>
      <c r="U593" s="158"/>
      <c r="V593" s="158"/>
      <c r="W593" s="158"/>
      <c r="X593" s="158"/>
      <c r="Y593" s="158"/>
      <c r="Z593" s="158"/>
      <c r="AA593" s="158"/>
    </row>
    <row r="594" spans="1:27" ht="15.75" customHeight="1" x14ac:dyDescent="0.55000000000000004">
      <c r="A594" s="177">
        <v>102</v>
      </c>
      <c r="B594" s="177" t="s">
        <v>1543</v>
      </c>
      <c r="C594" s="177" t="s">
        <v>1544</v>
      </c>
      <c r="D594" s="178">
        <v>39188</v>
      </c>
      <c r="E594" s="120" t="s">
        <v>3022</v>
      </c>
      <c r="F594" s="131">
        <v>20</v>
      </c>
      <c r="G594" s="120">
        <v>0</v>
      </c>
      <c r="H594" s="131">
        <v>0</v>
      </c>
      <c r="I594" s="120">
        <v>2</v>
      </c>
      <c r="J594" s="133" t="s">
        <v>2673</v>
      </c>
      <c r="K594" s="133">
        <v>4</v>
      </c>
      <c r="L594" s="117">
        <v>72.7</v>
      </c>
      <c r="M594" s="133">
        <f t="shared" si="27"/>
        <v>52.7</v>
      </c>
      <c r="N594" s="157"/>
      <c r="O594" s="158"/>
      <c r="P594" s="158"/>
      <c r="Q594" s="158"/>
      <c r="R594" s="158"/>
      <c r="S594" s="158"/>
      <c r="T594" s="158"/>
      <c r="U594" s="158"/>
      <c r="V594" s="158"/>
      <c r="W594" s="158"/>
      <c r="X594" s="158"/>
      <c r="Y594" s="158"/>
      <c r="Z594" s="158"/>
      <c r="AA594" s="158"/>
    </row>
    <row r="595" spans="1:27" ht="15.75" customHeight="1" x14ac:dyDescent="0.55000000000000004">
      <c r="A595" s="177">
        <v>102</v>
      </c>
      <c r="B595" s="177" t="s">
        <v>1543</v>
      </c>
      <c r="C595" s="177" t="s">
        <v>1544</v>
      </c>
      <c r="D595" s="178">
        <v>39188</v>
      </c>
      <c r="E595" s="120" t="s">
        <v>3023</v>
      </c>
      <c r="F595" s="131">
        <v>20</v>
      </c>
      <c r="G595" s="120">
        <v>0</v>
      </c>
      <c r="H595" s="131">
        <v>3</v>
      </c>
      <c r="I595" s="120">
        <v>2</v>
      </c>
      <c r="J595" s="133" t="s">
        <v>2673</v>
      </c>
      <c r="K595" s="133">
        <v>4</v>
      </c>
      <c r="L595" s="117">
        <v>71.8</v>
      </c>
      <c r="M595" s="133">
        <f t="shared" si="27"/>
        <v>51.8</v>
      </c>
      <c r="N595" s="157"/>
      <c r="O595" s="158"/>
      <c r="P595" s="158"/>
      <c r="Q595" s="158"/>
      <c r="R595" s="158"/>
      <c r="S595" s="158"/>
      <c r="T595" s="158"/>
      <c r="U595" s="158"/>
      <c r="V595" s="158"/>
      <c r="W595" s="158"/>
      <c r="X595" s="158"/>
      <c r="Y595" s="158"/>
      <c r="Z595" s="158"/>
      <c r="AA595" s="158"/>
    </row>
    <row r="596" spans="1:27" ht="15.75" customHeight="1" x14ac:dyDescent="0.55000000000000004">
      <c r="A596" s="177">
        <v>102</v>
      </c>
      <c r="B596" s="177" t="s">
        <v>1543</v>
      </c>
      <c r="C596" s="177" t="s">
        <v>1544</v>
      </c>
      <c r="D596" s="178">
        <v>39188</v>
      </c>
      <c r="E596" s="120" t="s">
        <v>3024</v>
      </c>
      <c r="F596" s="131">
        <v>76</v>
      </c>
      <c r="G596" s="120">
        <v>0</v>
      </c>
      <c r="H596" s="131">
        <v>0</v>
      </c>
      <c r="I596" s="120">
        <v>2</v>
      </c>
      <c r="J596" s="133" t="s">
        <v>3009</v>
      </c>
      <c r="K596" s="133">
        <v>4</v>
      </c>
      <c r="L596" s="117">
        <v>85.6</v>
      </c>
      <c r="M596" s="133">
        <f t="shared" si="27"/>
        <v>9.5999999999999943</v>
      </c>
      <c r="N596" s="157"/>
      <c r="O596" s="158"/>
      <c r="P596" s="158"/>
      <c r="Q596" s="158"/>
      <c r="R596" s="158"/>
      <c r="S596" s="158"/>
      <c r="T596" s="158"/>
      <c r="U596" s="158"/>
      <c r="V596" s="158"/>
      <c r="W596" s="158"/>
      <c r="X596" s="158"/>
      <c r="Y596" s="158"/>
      <c r="Z596" s="158"/>
      <c r="AA596" s="158"/>
    </row>
    <row r="597" spans="1:27" ht="15.75" customHeight="1" x14ac:dyDescent="0.55000000000000004">
      <c r="A597" s="177">
        <v>102</v>
      </c>
      <c r="B597" s="177" t="s">
        <v>1543</v>
      </c>
      <c r="C597" s="177" t="s">
        <v>1544</v>
      </c>
      <c r="D597" s="178">
        <v>39188</v>
      </c>
      <c r="E597" s="120" t="s">
        <v>3025</v>
      </c>
      <c r="F597" s="131">
        <v>51</v>
      </c>
      <c r="G597" s="120">
        <v>0</v>
      </c>
      <c r="H597" s="131">
        <v>3</v>
      </c>
      <c r="I597" s="120">
        <v>2</v>
      </c>
      <c r="J597" s="133" t="s">
        <v>3009</v>
      </c>
      <c r="K597" s="133">
        <v>4</v>
      </c>
      <c r="L597" s="117">
        <v>66.599999999999994</v>
      </c>
      <c r="M597" s="133">
        <f t="shared" si="27"/>
        <v>15.599999999999994</v>
      </c>
      <c r="N597" s="157"/>
      <c r="O597" s="158"/>
      <c r="P597" s="158"/>
      <c r="Q597" s="158"/>
      <c r="R597" s="158"/>
      <c r="S597" s="158"/>
      <c r="T597" s="158"/>
      <c r="U597" s="158"/>
      <c r="V597" s="158"/>
      <c r="W597" s="158"/>
      <c r="X597" s="158"/>
      <c r="Y597" s="158"/>
      <c r="Z597" s="158"/>
      <c r="AA597" s="158"/>
    </row>
    <row r="598" spans="1:27" ht="15.75" customHeight="1" x14ac:dyDescent="0.55000000000000004">
      <c r="A598" s="177">
        <v>102</v>
      </c>
      <c r="B598" s="177" t="s">
        <v>1543</v>
      </c>
      <c r="C598" s="177" t="s">
        <v>1544</v>
      </c>
      <c r="D598" s="178">
        <v>39188</v>
      </c>
      <c r="E598" s="120" t="s">
        <v>3026</v>
      </c>
      <c r="F598" s="131">
        <v>34</v>
      </c>
      <c r="G598" s="120">
        <v>0</v>
      </c>
      <c r="H598" s="131">
        <v>3</v>
      </c>
      <c r="I598" s="120">
        <v>2</v>
      </c>
      <c r="J598" s="133" t="s">
        <v>2673</v>
      </c>
      <c r="K598" s="133">
        <v>4</v>
      </c>
      <c r="L598" s="117">
        <v>68.8</v>
      </c>
      <c r="M598" s="133">
        <f t="shared" si="27"/>
        <v>34.799999999999997</v>
      </c>
      <c r="N598" s="157"/>
      <c r="O598" s="158"/>
      <c r="P598" s="158"/>
      <c r="Q598" s="158"/>
      <c r="R598" s="158"/>
      <c r="S598" s="158"/>
      <c r="T598" s="158"/>
      <c r="U598" s="158"/>
      <c r="V598" s="158"/>
      <c r="W598" s="158"/>
      <c r="X598" s="158"/>
      <c r="Y598" s="158"/>
      <c r="Z598" s="158"/>
      <c r="AA598" s="158"/>
    </row>
    <row r="599" spans="1:27" ht="15.75" customHeight="1" x14ac:dyDescent="0.55000000000000004">
      <c r="A599" s="177">
        <v>102</v>
      </c>
      <c r="B599" s="177" t="s">
        <v>1543</v>
      </c>
      <c r="C599" s="177" t="s">
        <v>1544</v>
      </c>
      <c r="D599" s="178">
        <v>39188</v>
      </c>
      <c r="E599" s="120" t="s">
        <v>3027</v>
      </c>
      <c r="F599" s="131">
        <v>20</v>
      </c>
      <c r="G599" s="120">
        <v>1</v>
      </c>
      <c r="H599" s="131">
        <v>5</v>
      </c>
      <c r="I599" s="120">
        <v>2</v>
      </c>
      <c r="J599" s="133" t="s">
        <v>2673</v>
      </c>
      <c r="K599" s="133">
        <v>4</v>
      </c>
      <c r="L599" s="117">
        <v>78.8</v>
      </c>
      <c r="M599" s="133">
        <f t="shared" si="27"/>
        <v>58.8</v>
      </c>
      <c r="N599" s="157"/>
      <c r="O599" s="158"/>
      <c r="P599" s="158"/>
      <c r="Q599" s="158"/>
      <c r="R599" s="158"/>
      <c r="S599" s="158"/>
      <c r="T599" s="158"/>
      <c r="U599" s="158"/>
      <c r="V599" s="158"/>
      <c r="W599" s="158"/>
      <c r="X599" s="158"/>
      <c r="Y599" s="158"/>
      <c r="Z599" s="158"/>
      <c r="AA599" s="158"/>
    </row>
    <row r="600" spans="1:27" ht="15.75" customHeight="1" x14ac:dyDescent="0.55000000000000004">
      <c r="A600" s="177">
        <v>102</v>
      </c>
      <c r="B600" s="177" t="s">
        <v>1543</v>
      </c>
      <c r="C600" s="177" t="s">
        <v>1544</v>
      </c>
      <c r="D600" s="178">
        <v>39188</v>
      </c>
      <c r="E600" s="120" t="s">
        <v>3028</v>
      </c>
      <c r="F600" s="131">
        <v>22</v>
      </c>
      <c r="G600" s="120">
        <v>0</v>
      </c>
      <c r="H600" s="131">
        <v>0</v>
      </c>
      <c r="I600" s="120">
        <v>2</v>
      </c>
      <c r="J600" s="133" t="s">
        <v>2673</v>
      </c>
      <c r="K600" s="133">
        <v>4</v>
      </c>
      <c r="L600" s="117">
        <v>72.7</v>
      </c>
      <c r="M600" s="133">
        <f t="shared" si="27"/>
        <v>50.7</v>
      </c>
      <c r="N600" s="157"/>
      <c r="O600" s="158"/>
      <c r="P600" s="158"/>
      <c r="Q600" s="158"/>
      <c r="R600" s="158"/>
      <c r="S600" s="158"/>
      <c r="T600" s="158"/>
      <c r="U600" s="158"/>
      <c r="V600" s="158"/>
      <c r="W600" s="158"/>
      <c r="X600" s="158"/>
      <c r="Y600" s="158"/>
      <c r="Z600" s="158"/>
      <c r="AA600" s="158"/>
    </row>
    <row r="601" spans="1:27" ht="15.75" customHeight="1" x14ac:dyDescent="0.55000000000000004">
      <c r="A601" s="177">
        <v>102</v>
      </c>
      <c r="B601" s="177" t="s">
        <v>1543</v>
      </c>
      <c r="C601" s="177" t="s">
        <v>1544</v>
      </c>
      <c r="D601" s="178">
        <v>39188</v>
      </c>
      <c r="E601" s="120" t="s">
        <v>3029</v>
      </c>
      <c r="F601" s="131">
        <v>26</v>
      </c>
      <c r="G601" s="120">
        <v>0</v>
      </c>
      <c r="H601" s="131">
        <v>2</v>
      </c>
      <c r="I601" s="120">
        <v>2</v>
      </c>
      <c r="J601" s="133" t="s">
        <v>2673</v>
      </c>
      <c r="K601" s="133">
        <v>4</v>
      </c>
      <c r="L601" s="117">
        <v>70</v>
      </c>
      <c r="M601" s="133">
        <f t="shared" si="27"/>
        <v>44</v>
      </c>
      <c r="N601" s="157"/>
      <c r="O601" s="158"/>
      <c r="P601" s="158"/>
      <c r="Q601" s="158"/>
      <c r="R601" s="158"/>
      <c r="S601" s="158"/>
      <c r="T601" s="158"/>
      <c r="U601" s="158"/>
      <c r="V601" s="158"/>
      <c r="W601" s="158"/>
      <c r="X601" s="158"/>
      <c r="Y601" s="158"/>
      <c r="Z601" s="158"/>
      <c r="AA601" s="158"/>
    </row>
    <row r="602" spans="1:27" ht="15.75" customHeight="1" x14ac:dyDescent="0.55000000000000004">
      <c r="A602" s="177">
        <v>102</v>
      </c>
      <c r="B602" s="177" t="s">
        <v>1543</v>
      </c>
      <c r="C602" s="177" t="s">
        <v>1544</v>
      </c>
      <c r="D602" s="178">
        <v>39188</v>
      </c>
      <c r="E602" s="120" t="s">
        <v>3030</v>
      </c>
      <c r="F602" s="131">
        <v>26</v>
      </c>
      <c r="G602" s="120">
        <v>1</v>
      </c>
      <c r="H602" s="131">
        <v>3</v>
      </c>
      <c r="I602" s="120">
        <v>2</v>
      </c>
      <c r="J602" s="133" t="s">
        <v>2673</v>
      </c>
      <c r="K602" s="133">
        <v>4</v>
      </c>
      <c r="L602" s="117">
        <v>77.400000000000006</v>
      </c>
      <c r="M602" s="133">
        <f t="shared" si="27"/>
        <v>51.400000000000006</v>
      </c>
      <c r="N602" s="157"/>
      <c r="O602" s="158"/>
      <c r="P602" s="158"/>
      <c r="Q602" s="158"/>
      <c r="R602" s="158"/>
      <c r="S602" s="158"/>
      <c r="T602" s="158"/>
      <c r="U602" s="158"/>
      <c r="V602" s="158"/>
      <c r="W602" s="158"/>
      <c r="X602" s="158"/>
      <c r="Y602" s="158"/>
      <c r="Z602" s="158"/>
      <c r="AA602" s="158"/>
    </row>
    <row r="603" spans="1:27" ht="15.75" customHeight="1" x14ac:dyDescent="0.55000000000000004">
      <c r="A603" s="177">
        <v>102</v>
      </c>
      <c r="B603" s="177" t="s">
        <v>1543</v>
      </c>
      <c r="C603" s="177" t="s">
        <v>1544</v>
      </c>
      <c r="D603" s="178">
        <v>39188</v>
      </c>
      <c r="E603" s="120" t="s">
        <v>3031</v>
      </c>
      <c r="F603" s="131">
        <v>21</v>
      </c>
      <c r="G603" s="120">
        <v>0</v>
      </c>
      <c r="H603" s="131">
        <v>2</v>
      </c>
      <c r="I603" s="120">
        <v>2</v>
      </c>
      <c r="J603" s="133" t="s">
        <v>2673</v>
      </c>
      <c r="K603" s="133">
        <v>4</v>
      </c>
      <c r="L603" s="117">
        <v>71.8</v>
      </c>
      <c r="M603" s="133">
        <f t="shared" si="27"/>
        <v>50.8</v>
      </c>
      <c r="N603" s="157"/>
      <c r="O603" s="158"/>
      <c r="P603" s="158"/>
      <c r="Q603" s="158"/>
      <c r="R603" s="158"/>
      <c r="S603" s="158"/>
      <c r="T603" s="158"/>
      <c r="U603" s="158"/>
      <c r="V603" s="158"/>
      <c r="W603" s="158"/>
      <c r="X603" s="158"/>
      <c r="Y603" s="158"/>
      <c r="Z603" s="158"/>
      <c r="AA603" s="158"/>
    </row>
    <row r="604" spans="1:27" ht="15.75" customHeight="1" x14ac:dyDescent="0.55000000000000004">
      <c r="A604" s="177">
        <v>102</v>
      </c>
      <c r="B604" s="177" t="s">
        <v>1543</v>
      </c>
      <c r="C604" s="177" t="s">
        <v>1544</v>
      </c>
      <c r="D604" s="178">
        <v>39188</v>
      </c>
      <c r="E604" s="120" t="s">
        <v>3032</v>
      </c>
      <c r="F604" s="131">
        <v>18</v>
      </c>
      <c r="G604" s="120">
        <v>1</v>
      </c>
      <c r="H604" s="131">
        <v>1</v>
      </c>
      <c r="I604" s="120">
        <v>2</v>
      </c>
      <c r="J604" s="133" t="s">
        <v>2673</v>
      </c>
      <c r="K604" s="133">
        <v>4</v>
      </c>
      <c r="L604" s="117">
        <v>73.599999999999994</v>
      </c>
      <c r="M604" s="133">
        <f t="shared" si="27"/>
        <v>55.599999999999994</v>
      </c>
      <c r="N604" s="157"/>
      <c r="O604" s="158"/>
      <c r="P604" s="158"/>
      <c r="Q604" s="158"/>
      <c r="R604" s="158"/>
      <c r="S604" s="158"/>
      <c r="T604" s="158"/>
      <c r="U604" s="158"/>
      <c r="V604" s="158"/>
      <c r="W604" s="158"/>
      <c r="X604" s="158"/>
      <c r="Y604" s="158"/>
      <c r="Z604" s="158"/>
      <c r="AA604" s="158"/>
    </row>
    <row r="605" spans="1:27" ht="15.75" customHeight="1" x14ac:dyDescent="0.55000000000000004">
      <c r="A605" s="177">
        <v>102</v>
      </c>
      <c r="B605" s="177" t="s">
        <v>1543</v>
      </c>
      <c r="C605" s="177" t="s">
        <v>1544</v>
      </c>
      <c r="D605" s="178">
        <v>39188</v>
      </c>
      <c r="E605" s="120" t="s">
        <v>3033</v>
      </c>
      <c r="F605" s="131">
        <v>23</v>
      </c>
      <c r="G605" s="120">
        <v>0</v>
      </c>
      <c r="H605" s="131">
        <v>0</v>
      </c>
      <c r="I605" s="120">
        <v>2</v>
      </c>
      <c r="J605" s="133" t="s">
        <v>2673</v>
      </c>
      <c r="K605" s="133">
        <v>4</v>
      </c>
      <c r="L605" s="117">
        <v>70.7</v>
      </c>
      <c r="M605" s="133">
        <f t="shared" si="27"/>
        <v>47.7</v>
      </c>
      <c r="N605" s="157"/>
      <c r="O605" s="158"/>
      <c r="P605" s="158"/>
      <c r="Q605" s="158"/>
      <c r="R605" s="158"/>
      <c r="S605" s="158"/>
      <c r="T605" s="158"/>
      <c r="U605" s="158"/>
      <c r="V605" s="158"/>
      <c r="W605" s="158"/>
      <c r="X605" s="158"/>
      <c r="Y605" s="158"/>
      <c r="Z605" s="158"/>
      <c r="AA605" s="158"/>
    </row>
    <row r="606" spans="1:27" ht="15.75" customHeight="1" x14ac:dyDescent="0.55000000000000004">
      <c r="A606" s="177">
        <v>102</v>
      </c>
      <c r="B606" s="177" t="s">
        <v>1543</v>
      </c>
      <c r="C606" s="177" t="s">
        <v>1544</v>
      </c>
      <c r="D606" s="178">
        <v>39188</v>
      </c>
      <c r="E606" s="120" t="s">
        <v>3034</v>
      </c>
      <c r="F606" s="131">
        <v>23</v>
      </c>
      <c r="G606" s="120">
        <v>1</v>
      </c>
      <c r="H606" s="131">
        <v>0</v>
      </c>
      <c r="I606" s="120">
        <v>2</v>
      </c>
      <c r="J606" s="133" t="s">
        <v>2673</v>
      </c>
      <c r="K606" s="133">
        <v>4</v>
      </c>
      <c r="L606" s="117">
        <v>78.099999999999994</v>
      </c>
      <c r="M606" s="133">
        <f t="shared" si="27"/>
        <v>55.099999999999994</v>
      </c>
      <c r="N606" s="157"/>
      <c r="O606" s="158"/>
      <c r="P606" s="158"/>
      <c r="Q606" s="158"/>
      <c r="R606" s="158"/>
      <c r="S606" s="158"/>
      <c r="T606" s="158"/>
      <c r="U606" s="158"/>
      <c r="V606" s="158"/>
      <c r="W606" s="158"/>
      <c r="X606" s="158"/>
      <c r="Y606" s="158"/>
      <c r="Z606" s="158"/>
      <c r="AA606" s="158"/>
    </row>
    <row r="607" spans="1:27" ht="15.75" customHeight="1" x14ac:dyDescent="0.55000000000000004">
      <c r="A607" s="177">
        <v>102</v>
      </c>
      <c r="B607" s="177" t="s">
        <v>1543</v>
      </c>
      <c r="C607" s="177" t="s">
        <v>1544</v>
      </c>
      <c r="D607" s="178">
        <v>39188</v>
      </c>
      <c r="E607" s="120" t="s">
        <v>3035</v>
      </c>
      <c r="F607" s="131">
        <v>19</v>
      </c>
      <c r="G607" s="120">
        <v>1</v>
      </c>
      <c r="H607" s="131">
        <v>3</v>
      </c>
      <c r="I607" s="120">
        <v>2</v>
      </c>
      <c r="J607" s="133" t="s">
        <v>2673</v>
      </c>
      <c r="K607" s="133">
        <v>4</v>
      </c>
      <c r="L607" s="117">
        <v>78.8</v>
      </c>
      <c r="M607" s="133">
        <f t="shared" si="27"/>
        <v>59.8</v>
      </c>
      <c r="N607" s="157"/>
      <c r="O607" s="158"/>
      <c r="P607" s="158"/>
      <c r="Q607" s="158"/>
      <c r="R607" s="158"/>
      <c r="S607" s="158"/>
      <c r="T607" s="158"/>
      <c r="U607" s="158"/>
      <c r="V607" s="158"/>
      <c r="W607" s="158"/>
      <c r="X607" s="158"/>
      <c r="Y607" s="158"/>
      <c r="Z607" s="158"/>
      <c r="AA607" s="158"/>
    </row>
    <row r="608" spans="1:27" ht="15.75" customHeight="1" x14ac:dyDescent="0.55000000000000004">
      <c r="A608" s="177">
        <v>102</v>
      </c>
      <c r="B608" s="177" t="s">
        <v>1543</v>
      </c>
      <c r="C608" s="177" t="s">
        <v>1544</v>
      </c>
      <c r="D608" s="178">
        <v>39188</v>
      </c>
      <c r="E608" s="120" t="s">
        <v>3036</v>
      </c>
      <c r="F608" s="131">
        <v>18</v>
      </c>
      <c r="G608" s="120">
        <v>1</v>
      </c>
      <c r="H608" s="131">
        <v>4</v>
      </c>
      <c r="I608" s="120">
        <v>2</v>
      </c>
      <c r="J608" s="133" t="s">
        <v>2673</v>
      </c>
      <c r="K608" s="133">
        <v>4</v>
      </c>
      <c r="L608" s="117">
        <v>78.8</v>
      </c>
      <c r="M608" s="133">
        <f t="shared" si="27"/>
        <v>60.8</v>
      </c>
      <c r="N608" s="157"/>
      <c r="O608" s="158"/>
      <c r="P608" s="158"/>
      <c r="Q608" s="158"/>
      <c r="R608" s="158"/>
      <c r="S608" s="158"/>
      <c r="T608" s="158"/>
      <c r="U608" s="158"/>
      <c r="V608" s="158"/>
      <c r="W608" s="158"/>
      <c r="X608" s="158"/>
      <c r="Y608" s="158"/>
      <c r="Z608" s="158"/>
      <c r="AA608" s="158"/>
    </row>
    <row r="609" spans="1:27" ht="15.75" customHeight="1" x14ac:dyDescent="0.55000000000000004">
      <c r="A609" s="177">
        <v>102</v>
      </c>
      <c r="B609" s="177" t="s">
        <v>1543</v>
      </c>
      <c r="C609" s="177" t="s">
        <v>1544</v>
      </c>
      <c r="D609" s="178">
        <v>39188</v>
      </c>
      <c r="E609" s="120" t="s">
        <v>3037</v>
      </c>
      <c r="F609" s="131">
        <v>32</v>
      </c>
      <c r="G609" s="120">
        <v>0</v>
      </c>
      <c r="H609" s="131">
        <v>1</v>
      </c>
      <c r="I609" s="120">
        <v>2</v>
      </c>
      <c r="J609" s="133" t="s">
        <v>2673</v>
      </c>
      <c r="K609" s="133">
        <v>4</v>
      </c>
      <c r="L609" s="117">
        <v>62.4</v>
      </c>
      <c r="M609" s="133">
        <f t="shared" si="27"/>
        <v>30.4</v>
      </c>
      <c r="N609" s="157"/>
      <c r="O609" s="158"/>
      <c r="P609" s="158"/>
      <c r="Q609" s="158"/>
      <c r="R609" s="158"/>
      <c r="S609" s="158"/>
      <c r="T609" s="158"/>
      <c r="U609" s="158"/>
      <c r="V609" s="158"/>
      <c r="W609" s="158"/>
      <c r="X609" s="158"/>
      <c r="Y609" s="158"/>
      <c r="Z609" s="158"/>
      <c r="AA609" s="158"/>
    </row>
    <row r="610" spans="1:27" ht="15.75" customHeight="1" x14ac:dyDescent="0.55000000000000004">
      <c r="A610" s="177">
        <v>102</v>
      </c>
      <c r="B610" s="177" t="s">
        <v>1543</v>
      </c>
      <c r="C610" s="177" t="s">
        <v>1544</v>
      </c>
      <c r="D610" s="178">
        <v>39188</v>
      </c>
      <c r="E610" s="120" t="s">
        <v>3038</v>
      </c>
      <c r="F610" s="131">
        <v>20</v>
      </c>
      <c r="G610" s="120">
        <v>1</v>
      </c>
      <c r="H610" s="131">
        <v>0</v>
      </c>
      <c r="I610" s="120">
        <v>2</v>
      </c>
      <c r="J610" s="133" t="s">
        <v>2673</v>
      </c>
      <c r="K610" s="133">
        <v>4</v>
      </c>
      <c r="L610" s="117">
        <v>79.400000000000006</v>
      </c>
      <c r="M610" s="133">
        <f t="shared" si="27"/>
        <v>59.400000000000006</v>
      </c>
      <c r="N610" s="157"/>
      <c r="O610" s="158"/>
      <c r="P610" s="158"/>
      <c r="Q610" s="158"/>
      <c r="R610" s="158"/>
      <c r="S610" s="158"/>
      <c r="T610" s="158"/>
      <c r="U610" s="158"/>
      <c r="V610" s="158"/>
      <c r="W610" s="158"/>
      <c r="X610" s="158"/>
      <c r="Y610" s="158"/>
      <c r="Z610" s="158"/>
      <c r="AA610" s="158"/>
    </row>
    <row r="611" spans="1:27" ht="15.75" customHeight="1" x14ac:dyDescent="0.55000000000000004">
      <c r="A611" s="177">
        <v>102</v>
      </c>
      <c r="B611" s="177" t="s">
        <v>1543</v>
      </c>
      <c r="C611" s="177" t="s">
        <v>1544</v>
      </c>
      <c r="D611" s="178">
        <v>39188</v>
      </c>
      <c r="E611" s="120" t="s">
        <v>3039</v>
      </c>
      <c r="F611" s="131">
        <v>22</v>
      </c>
      <c r="G611" s="120">
        <v>1</v>
      </c>
      <c r="H611" s="131">
        <v>0</v>
      </c>
      <c r="I611" s="120">
        <v>2</v>
      </c>
      <c r="J611" s="133" t="s">
        <v>2673</v>
      </c>
      <c r="K611" s="133">
        <v>4</v>
      </c>
      <c r="L611" s="117">
        <v>79.400000000000006</v>
      </c>
      <c r="M611" s="133">
        <f t="shared" si="27"/>
        <v>57.400000000000006</v>
      </c>
      <c r="N611" s="157"/>
      <c r="O611" s="158"/>
      <c r="P611" s="158"/>
      <c r="Q611" s="158"/>
      <c r="R611" s="158"/>
      <c r="S611" s="158"/>
      <c r="T611" s="158"/>
      <c r="U611" s="158"/>
      <c r="V611" s="158"/>
      <c r="W611" s="158"/>
      <c r="X611" s="158"/>
      <c r="Y611" s="158"/>
      <c r="Z611" s="158"/>
      <c r="AA611" s="158"/>
    </row>
    <row r="612" spans="1:27" ht="15.75" customHeight="1" x14ac:dyDescent="0.55000000000000004">
      <c r="A612" s="177">
        <v>102</v>
      </c>
      <c r="B612" s="177" t="s">
        <v>1543</v>
      </c>
      <c r="C612" s="177" t="s">
        <v>1544</v>
      </c>
      <c r="D612" s="178">
        <v>39188</v>
      </c>
      <c r="E612" s="120" t="s">
        <v>3040</v>
      </c>
      <c r="F612" s="131">
        <v>20</v>
      </c>
      <c r="G612" s="120">
        <v>1</v>
      </c>
      <c r="H612" s="131">
        <v>0</v>
      </c>
      <c r="I612" s="120">
        <v>2</v>
      </c>
      <c r="J612" s="133" t="s">
        <v>2673</v>
      </c>
      <c r="K612" s="133">
        <v>4</v>
      </c>
      <c r="L612" s="117">
        <v>79.400000000000006</v>
      </c>
      <c r="M612" s="133">
        <f t="shared" si="27"/>
        <v>59.400000000000006</v>
      </c>
      <c r="N612" s="157"/>
      <c r="O612" s="158"/>
      <c r="P612" s="158"/>
      <c r="Q612" s="158"/>
      <c r="R612" s="158"/>
      <c r="S612" s="158"/>
      <c r="T612" s="158"/>
      <c r="U612" s="158"/>
      <c r="V612" s="158"/>
      <c r="W612" s="158"/>
      <c r="X612" s="158"/>
      <c r="Y612" s="158"/>
      <c r="Z612" s="158"/>
      <c r="AA612" s="158"/>
    </row>
    <row r="613" spans="1:27" ht="15.75" customHeight="1" x14ac:dyDescent="0.55000000000000004">
      <c r="A613" s="173">
        <v>103</v>
      </c>
      <c r="B613" s="173" t="s">
        <v>1555</v>
      </c>
      <c r="C613" s="173" t="s">
        <v>859</v>
      </c>
      <c r="D613" s="174">
        <v>39421</v>
      </c>
      <c r="E613" s="120" t="s">
        <v>3041</v>
      </c>
      <c r="F613" s="131">
        <v>47</v>
      </c>
      <c r="G613" s="120">
        <v>1</v>
      </c>
      <c r="H613" s="120">
        <v>0</v>
      </c>
      <c r="I613" s="120">
        <v>0</v>
      </c>
      <c r="J613" s="133" t="s">
        <v>853</v>
      </c>
      <c r="K613" s="133">
        <v>0</v>
      </c>
      <c r="L613" s="117">
        <v>74.099999999999994</v>
      </c>
      <c r="M613" s="133">
        <f t="shared" si="27"/>
        <v>27.099999999999994</v>
      </c>
      <c r="N613" s="157"/>
      <c r="O613" s="158"/>
      <c r="P613" s="158"/>
      <c r="Q613" s="158"/>
      <c r="R613" s="158"/>
      <c r="S613" s="158"/>
      <c r="T613" s="158"/>
      <c r="U613" s="158"/>
      <c r="V613" s="158"/>
      <c r="W613" s="158"/>
      <c r="X613" s="158"/>
      <c r="Y613" s="158"/>
      <c r="Z613" s="158"/>
      <c r="AA613" s="158"/>
    </row>
    <row r="614" spans="1:27" ht="15.75" customHeight="1" x14ac:dyDescent="0.55000000000000004">
      <c r="A614" s="173">
        <v>103</v>
      </c>
      <c r="B614" s="173" t="s">
        <v>1555</v>
      </c>
      <c r="C614" s="173" t="s">
        <v>859</v>
      </c>
      <c r="D614" s="174">
        <v>39421</v>
      </c>
      <c r="E614" s="120" t="s">
        <v>3042</v>
      </c>
      <c r="F614" s="131">
        <v>56</v>
      </c>
      <c r="G614" s="120">
        <v>0</v>
      </c>
      <c r="H614" s="120">
        <v>0</v>
      </c>
      <c r="I614" s="120">
        <v>0</v>
      </c>
      <c r="J614" s="133" t="s">
        <v>853</v>
      </c>
      <c r="K614" s="133">
        <v>0</v>
      </c>
      <c r="L614" s="117">
        <v>66.5</v>
      </c>
      <c r="M614" s="133">
        <f t="shared" si="27"/>
        <v>10.5</v>
      </c>
      <c r="N614" s="157"/>
      <c r="O614" s="158"/>
      <c r="P614" s="158"/>
      <c r="Q614" s="158"/>
      <c r="R614" s="158"/>
      <c r="S614" s="158"/>
      <c r="T614" s="158"/>
      <c r="U614" s="158"/>
      <c r="V614" s="158"/>
      <c r="W614" s="158"/>
      <c r="X614" s="158"/>
      <c r="Y614" s="158"/>
      <c r="Z614" s="158"/>
      <c r="AA614" s="158"/>
    </row>
    <row r="615" spans="1:27" ht="15.75" customHeight="1" x14ac:dyDescent="0.55000000000000004">
      <c r="A615" s="173">
        <v>103</v>
      </c>
      <c r="B615" s="173" t="s">
        <v>1555</v>
      </c>
      <c r="C615" s="173" t="s">
        <v>859</v>
      </c>
      <c r="D615" s="174">
        <v>39421</v>
      </c>
      <c r="E615" s="120" t="s">
        <v>3043</v>
      </c>
      <c r="F615" s="120">
        <v>66</v>
      </c>
      <c r="G615" s="120">
        <v>1</v>
      </c>
      <c r="H615" s="120">
        <v>0</v>
      </c>
      <c r="I615" s="120">
        <v>0</v>
      </c>
      <c r="J615" s="133" t="s">
        <v>853</v>
      </c>
      <c r="K615" s="133">
        <v>0</v>
      </c>
      <c r="L615" s="117">
        <v>82.3</v>
      </c>
      <c r="M615" s="133">
        <f t="shared" si="27"/>
        <v>16.299999999999997</v>
      </c>
      <c r="N615" s="157"/>
      <c r="O615" s="158"/>
      <c r="P615" s="158"/>
      <c r="Q615" s="158"/>
      <c r="R615" s="158"/>
      <c r="S615" s="158"/>
      <c r="T615" s="158"/>
      <c r="U615" s="158"/>
      <c r="V615" s="158"/>
      <c r="W615" s="158"/>
      <c r="X615" s="158"/>
      <c r="Y615" s="158"/>
      <c r="Z615" s="158"/>
      <c r="AA615" s="158"/>
    </row>
    <row r="616" spans="1:27" ht="15.75" customHeight="1" x14ac:dyDescent="0.55000000000000004">
      <c r="A616" s="173">
        <v>103</v>
      </c>
      <c r="B616" s="173" t="s">
        <v>1555</v>
      </c>
      <c r="C616" s="173" t="s">
        <v>859</v>
      </c>
      <c r="D616" s="174">
        <v>39421</v>
      </c>
      <c r="E616" s="120" t="s">
        <v>3044</v>
      </c>
      <c r="F616" s="131">
        <v>65</v>
      </c>
      <c r="G616" s="120">
        <v>0</v>
      </c>
      <c r="H616" s="120">
        <v>0</v>
      </c>
      <c r="I616" s="120">
        <v>0</v>
      </c>
      <c r="J616" s="133" t="s">
        <v>853</v>
      </c>
      <c r="K616" s="133">
        <v>0</v>
      </c>
      <c r="L616" s="117">
        <v>82.4</v>
      </c>
      <c r="M616" s="133">
        <f t="shared" si="27"/>
        <v>17.400000000000006</v>
      </c>
      <c r="N616" s="157"/>
      <c r="O616" s="158"/>
      <c r="P616" s="158"/>
      <c r="Q616" s="158"/>
      <c r="R616" s="158"/>
      <c r="S616" s="158"/>
      <c r="T616" s="158"/>
      <c r="U616" s="158"/>
      <c r="V616" s="158"/>
      <c r="W616" s="158"/>
      <c r="X616" s="158"/>
      <c r="Y616" s="158"/>
      <c r="Z616" s="158"/>
      <c r="AA616" s="158"/>
    </row>
    <row r="617" spans="1:27" ht="15.75" customHeight="1" x14ac:dyDescent="0.55000000000000004">
      <c r="A617" s="173">
        <v>103</v>
      </c>
      <c r="B617" s="173" t="s">
        <v>1555</v>
      </c>
      <c r="C617" s="173" t="s">
        <v>859</v>
      </c>
      <c r="D617" s="174">
        <v>39421</v>
      </c>
      <c r="E617" s="120" t="s">
        <v>3045</v>
      </c>
      <c r="F617" s="131">
        <v>48</v>
      </c>
      <c r="G617" s="120">
        <v>0</v>
      </c>
      <c r="H617" s="120">
        <v>0</v>
      </c>
      <c r="I617" s="120">
        <v>0</v>
      </c>
      <c r="J617" s="133" t="s">
        <v>853</v>
      </c>
      <c r="K617" s="133">
        <v>0</v>
      </c>
      <c r="L617" s="117">
        <v>67.400000000000006</v>
      </c>
      <c r="M617" s="133">
        <f t="shared" si="27"/>
        <v>19.400000000000006</v>
      </c>
      <c r="N617" s="157"/>
      <c r="O617" s="158"/>
      <c r="P617" s="158"/>
      <c r="Q617" s="158"/>
      <c r="R617" s="158"/>
      <c r="S617" s="158"/>
      <c r="T617" s="158"/>
      <c r="U617" s="158"/>
      <c r="V617" s="158"/>
      <c r="W617" s="158"/>
      <c r="X617" s="158"/>
      <c r="Y617" s="158"/>
      <c r="Z617" s="158"/>
      <c r="AA617" s="158"/>
    </row>
    <row r="618" spans="1:27" ht="15.75" customHeight="1" x14ac:dyDescent="0.55000000000000004">
      <c r="A618" s="173">
        <v>103</v>
      </c>
      <c r="B618" s="173" t="s">
        <v>1555</v>
      </c>
      <c r="C618" s="173" t="s">
        <v>859</v>
      </c>
      <c r="D618" s="174">
        <v>39421</v>
      </c>
      <c r="E618" s="120" t="s">
        <v>3046</v>
      </c>
      <c r="F618" s="131">
        <v>36</v>
      </c>
      <c r="G618" s="120">
        <v>1</v>
      </c>
      <c r="H618" s="120">
        <v>0</v>
      </c>
      <c r="I618" s="120">
        <v>0</v>
      </c>
      <c r="J618" s="133" t="s">
        <v>853</v>
      </c>
      <c r="K618" s="133">
        <v>0</v>
      </c>
      <c r="L618" s="117">
        <v>75.599999999999994</v>
      </c>
      <c r="M618" s="133">
        <f t="shared" si="27"/>
        <v>39.599999999999994</v>
      </c>
      <c r="N618" s="157"/>
      <c r="O618" s="158"/>
      <c r="P618" s="158"/>
      <c r="Q618" s="158"/>
      <c r="R618" s="158"/>
      <c r="S618" s="158"/>
      <c r="T618" s="158"/>
      <c r="U618" s="158"/>
      <c r="V618" s="158"/>
      <c r="W618" s="158"/>
      <c r="X618" s="158"/>
      <c r="Y618" s="158"/>
      <c r="Z618" s="158"/>
      <c r="AA618" s="158"/>
    </row>
    <row r="619" spans="1:27" ht="15.75" customHeight="1" x14ac:dyDescent="0.55000000000000004">
      <c r="A619" s="173">
        <v>103</v>
      </c>
      <c r="B619" s="173" t="s">
        <v>1555</v>
      </c>
      <c r="C619" s="173" t="s">
        <v>859</v>
      </c>
      <c r="D619" s="174">
        <v>39421</v>
      </c>
      <c r="E619" s="120" t="s">
        <v>3047</v>
      </c>
      <c r="F619" s="131">
        <v>53</v>
      </c>
      <c r="G619" s="120">
        <v>1</v>
      </c>
      <c r="H619" s="120">
        <v>0</v>
      </c>
      <c r="I619" s="120">
        <v>0</v>
      </c>
      <c r="J619" s="133" t="s">
        <v>853</v>
      </c>
      <c r="K619" s="133">
        <v>0</v>
      </c>
      <c r="L619" s="117">
        <v>72.2</v>
      </c>
      <c r="M619" s="133">
        <f t="shared" si="27"/>
        <v>19.200000000000003</v>
      </c>
      <c r="N619" s="157"/>
      <c r="O619" s="158"/>
      <c r="P619" s="158"/>
      <c r="Q619" s="158"/>
      <c r="R619" s="158"/>
      <c r="S619" s="158"/>
      <c r="T619" s="158"/>
      <c r="U619" s="158"/>
      <c r="V619" s="158"/>
      <c r="W619" s="158"/>
      <c r="X619" s="158"/>
      <c r="Y619" s="158"/>
      <c r="Z619" s="158"/>
      <c r="AA619" s="158"/>
    </row>
    <row r="620" spans="1:27" ht="15.75" customHeight="1" x14ac:dyDescent="0.55000000000000004">
      <c r="A620" s="173">
        <v>103</v>
      </c>
      <c r="B620" s="173" t="s">
        <v>1555</v>
      </c>
      <c r="C620" s="173" t="s">
        <v>859</v>
      </c>
      <c r="D620" s="174">
        <v>39421</v>
      </c>
      <c r="E620" s="120" t="s">
        <v>3048</v>
      </c>
      <c r="F620" s="131">
        <v>24</v>
      </c>
      <c r="G620" s="120">
        <v>1</v>
      </c>
      <c r="H620" s="120">
        <v>0</v>
      </c>
      <c r="I620" s="120">
        <v>0</v>
      </c>
      <c r="J620" s="133" t="s">
        <v>853</v>
      </c>
      <c r="K620" s="133">
        <v>0</v>
      </c>
      <c r="L620" s="117">
        <v>78.099999999999994</v>
      </c>
      <c r="M620" s="133">
        <f t="shared" si="27"/>
        <v>54.099999999999994</v>
      </c>
      <c r="N620" s="157"/>
      <c r="O620" s="158"/>
      <c r="P620" s="158"/>
      <c r="Q620" s="158"/>
      <c r="R620" s="158"/>
      <c r="S620" s="158"/>
      <c r="T620" s="158"/>
      <c r="U620" s="158"/>
      <c r="V620" s="158"/>
      <c r="W620" s="158"/>
      <c r="X620" s="158"/>
      <c r="Y620" s="158"/>
      <c r="Z620" s="158"/>
      <c r="AA620" s="158"/>
    </row>
    <row r="621" spans="1:27" ht="15.75" customHeight="1" x14ac:dyDescent="0.55000000000000004">
      <c r="A621" s="175">
        <v>104</v>
      </c>
      <c r="B621" s="175" t="s">
        <v>1563</v>
      </c>
      <c r="C621" s="175" t="s">
        <v>1302</v>
      </c>
      <c r="D621" s="176">
        <v>39425</v>
      </c>
      <c r="E621" s="120" t="s">
        <v>3049</v>
      </c>
      <c r="F621" s="131">
        <v>22</v>
      </c>
      <c r="G621" s="120">
        <v>0</v>
      </c>
      <c r="H621" s="131">
        <v>0</v>
      </c>
      <c r="I621" s="120">
        <v>0</v>
      </c>
      <c r="J621" s="133" t="s">
        <v>853</v>
      </c>
      <c r="K621" s="133">
        <v>0</v>
      </c>
      <c r="L621" s="117">
        <v>72.7</v>
      </c>
      <c r="M621" s="133">
        <f t="shared" si="27"/>
        <v>50.7</v>
      </c>
      <c r="N621" s="157"/>
      <c r="O621" s="158"/>
      <c r="P621" s="158"/>
      <c r="Q621" s="158"/>
      <c r="R621" s="158"/>
      <c r="S621" s="158"/>
      <c r="T621" s="158"/>
      <c r="U621" s="158"/>
      <c r="V621" s="158"/>
      <c r="W621" s="158"/>
      <c r="X621" s="158"/>
      <c r="Y621" s="158"/>
      <c r="Z621" s="158"/>
      <c r="AA621" s="158"/>
    </row>
    <row r="622" spans="1:27" ht="15.75" customHeight="1" x14ac:dyDescent="0.55000000000000004">
      <c r="A622" s="175">
        <v>104</v>
      </c>
      <c r="B622" s="175" t="s">
        <v>1563</v>
      </c>
      <c r="C622" s="175" t="s">
        <v>1302</v>
      </c>
      <c r="D622" s="176">
        <v>39425</v>
      </c>
      <c r="E622" s="120" t="s">
        <v>3050</v>
      </c>
      <c r="F622" s="131">
        <v>25</v>
      </c>
      <c r="G622" s="120">
        <v>1</v>
      </c>
      <c r="H622" s="131">
        <v>0</v>
      </c>
      <c r="I622" s="120">
        <v>0</v>
      </c>
      <c r="J622" s="133" t="s">
        <v>853</v>
      </c>
      <c r="K622" s="133">
        <v>0</v>
      </c>
      <c r="L622" s="117">
        <v>78.099999999999994</v>
      </c>
      <c r="M622" s="133">
        <f t="shared" si="27"/>
        <v>53.099999999999994</v>
      </c>
      <c r="N622" s="157"/>
      <c r="O622" s="158"/>
      <c r="P622" s="158"/>
      <c r="Q622" s="158"/>
      <c r="R622" s="158"/>
      <c r="S622" s="158"/>
      <c r="T622" s="158"/>
      <c r="U622" s="158"/>
      <c r="V622" s="158"/>
      <c r="W622" s="158"/>
      <c r="X622" s="158"/>
      <c r="Y622" s="158"/>
      <c r="Z622" s="158"/>
      <c r="AA622" s="158"/>
    </row>
    <row r="623" spans="1:27" ht="15.75" customHeight="1" x14ac:dyDescent="0.55000000000000004">
      <c r="A623" s="175">
        <v>104</v>
      </c>
      <c r="B623" s="175" t="s">
        <v>1563</v>
      </c>
      <c r="C623" s="175" t="s">
        <v>1302</v>
      </c>
      <c r="D623" s="176">
        <v>39425</v>
      </c>
      <c r="E623" s="120" t="s">
        <v>3051</v>
      </c>
      <c r="F623" s="131">
        <v>16</v>
      </c>
      <c r="G623" s="120">
        <v>1</v>
      </c>
      <c r="H623" s="161" t="str">
        <f>HYPERLINK("https://www.findagrave.com/memorial/25654364/rachel-elizabeth-works","0")</f>
        <v>0</v>
      </c>
      <c r="I623" s="120">
        <v>0</v>
      </c>
      <c r="J623" s="133" t="s">
        <v>853</v>
      </c>
      <c r="K623" s="133">
        <v>0</v>
      </c>
      <c r="L623" s="117">
        <v>79.400000000000006</v>
      </c>
      <c r="M623" s="133">
        <f t="shared" si="27"/>
        <v>63.400000000000006</v>
      </c>
      <c r="N623" s="157"/>
      <c r="O623" s="158"/>
      <c r="P623" s="158"/>
      <c r="Q623" s="158"/>
      <c r="R623" s="158"/>
      <c r="S623" s="158"/>
      <c r="T623" s="158"/>
      <c r="U623" s="158"/>
      <c r="V623" s="158"/>
      <c r="W623" s="158"/>
      <c r="X623" s="158"/>
      <c r="Y623" s="158"/>
      <c r="Z623" s="158"/>
      <c r="AA623" s="158"/>
    </row>
    <row r="624" spans="1:27" ht="15.75" customHeight="1" x14ac:dyDescent="0.55000000000000004">
      <c r="A624" s="175">
        <v>104</v>
      </c>
      <c r="B624" s="175" t="s">
        <v>1563</v>
      </c>
      <c r="C624" s="175" t="s">
        <v>1302</v>
      </c>
      <c r="D624" s="176">
        <v>39425</v>
      </c>
      <c r="E624" s="120" t="s">
        <v>3052</v>
      </c>
      <c r="F624" s="131">
        <v>18</v>
      </c>
      <c r="G624" s="120">
        <v>1</v>
      </c>
      <c r="H624" s="161" t="str">
        <f>HYPERLINK("https://www.findagrave.com/memorial/25654357/stephanie-works","0")</f>
        <v>0</v>
      </c>
      <c r="I624" s="120">
        <v>0</v>
      </c>
      <c r="J624" s="133" t="s">
        <v>853</v>
      </c>
      <c r="K624" s="133">
        <v>0</v>
      </c>
      <c r="L624" s="117">
        <v>79.400000000000006</v>
      </c>
      <c r="M624" s="133">
        <f t="shared" si="27"/>
        <v>61.400000000000006</v>
      </c>
      <c r="N624" s="157"/>
      <c r="O624" s="158"/>
      <c r="P624" s="158"/>
      <c r="Q624" s="158"/>
      <c r="R624" s="158"/>
      <c r="S624" s="158"/>
      <c r="T624" s="158"/>
      <c r="U624" s="158"/>
      <c r="V624" s="158"/>
      <c r="W624" s="158"/>
      <c r="X624" s="158"/>
      <c r="Y624" s="158"/>
      <c r="Z624" s="158"/>
      <c r="AA624" s="158"/>
    </row>
    <row r="625" spans="1:27" ht="15.75" customHeight="1" x14ac:dyDescent="0.55000000000000004">
      <c r="A625" s="159">
        <v>105</v>
      </c>
      <c r="B625" s="159" t="s">
        <v>1570</v>
      </c>
      <c r="C625" s="159" t="s">
        <v>845</v>
      </c>
      <c r="D625" s="160">
        <v>39485</v>
      </c>
      <c r="E625" s="120" t="s">
        <v>3053</v>
      </c>
      <c r="F625" s="161" t="str">
        <f>HYPERLINK("https://www.findagrave.com/memorial/118473085/thomas-frederick-ballman","37")</f>
        <v>37</v>
      </c>
      <c r="G625" s="120">
        <v>0</v>
      </c>
      <c r="H625" s="131">
        <v>0</v>
      </c>
      <c r="I625" s="131">
        <v>1</v>
      </c>
      <c r="J625" s="133" t="s">
        <v>3054</v>
      </c>
      <c r="K625" s="133">
        <v>5</v>
      </c>
      <c r="L625" s="117">
        <v>68</v>
      </c>
      <c r="M625" s="133">
        <f t="shared" si="27"/>
        <v>31</v>
      </c>
      <c r="N625" s="157"/>
      <c r="O625" s="158"/>
      <c r="P625" s="158"/>
      <c r="Q625" s="158"/>
      <c r="R625" s="158"/>
      <c r="S625" s="158"/>
      <c r="T625" s="158"/>
      <c r="U625" s="158"/>
      <c r="V625" s="158"/>
      <c r="W625" s="158"/>
      <c r="X625" s="158"/>
      <c r="Y625" s="158"/>
      <c r="Z625" s="158"/>
      <c r="AA625" s="158"/>
    </row>
    <row r="626" spans="1:27" ht="15.75" customHeight="1" x14ac:dyDescent="0.55000000000000004">
      <c r="A626" s="159">
        <v>105</v>
      </c>
      <c r="B626" s="159" t="s">
        <v>1570</v>
      </c>
      <c r="C626" s="159" t="s">
        <v>845</v>
      </c>
      <c r="D626" s="160">
        <v>39485</v>
      </c>
      <c r="E626" s="120" t="s">
        <v>3055</v>
      </c>
      <c r="F626" s="161" t="str">
        <f>HYPERLINK("https://www.findagrave.com/memorial/24482087/william-king-biggs","50")</f>
        <v>50</v>
      </c>
      <c r="G626" s="120">
        <v>0</v>
      </c>
      <c r="H626" s="131">
        <v>0</v>
      </c>
      <c r="I626" s="131">
        <v>1</v>
      </c>
      <c r="J626" s="133" t="s">
        <v>3054</v>
      </c>
      <c r="K626" s="133">
        <v>5</v>
      </c>
      <c r="L626" s="117">
        <v>67.400000000000006</v>
      </c>
      <c r="M626" s="133">
        <f t="shared" si="27"/>
        <v>17.400000000000006</v>
      </c>
      <c r="N626" s="157"/>
      <c r="O626" s="158"/>
      <c r="P626" s="158"/>
      <c r="Q626" s="158"/>
      <c r="R626" s="158"/>
      <c r="S626" s="158"/>
      <c r="T626" s="158"/>
      <c r="U626" s="158"/>
      <c r="V626" s="158"/>
      <c r="W626" s="158"/>
      <c r="X626" s="158"/>
      <c r="Y626" s="158"/>
      <c r="Z626" s="158"/>
      <c r="AA626" s="158"/>
    </row>
    <row r="627" spans="1:27" ht="15.75" customHeight="1" x14ac:dyDescent="0.55000000000000004">
      <c r="A627" s="159">
        <v>105</v>
      </c>
      <c r="B627" s="159" t="s">
        <v>1570</v>
      </c>
      <c r="C627" s="159" t="s">
        <v>845</v>
      </c>
      <c r="D627" s="160">
        <v>39485</v>
      </c>
      <c r="E627" s="120" t="s">
        <v>3056</v>
      </c>
      <c r="F627" s="131">
        <v>51</v>
      </c>
      <c r="G627" s="120">
        <v>1</v>
      </c>
      <c r="H627" s="131">
        <v>0</v>
      </c>
      <c r="I627" s="131">
        <v>1</v>
      </c>
      <c r="J627" s="133" t="s">
        <v>3054</v>
      </c>
      <c r="K627" s="133">
        <v>5</v>
      </c>
      <c r="L627" s="117">
        <v>74.099999999999994</v>
      </c>
      <c r="M627" s="133">
        <f t="shared" si="27"/>
        <v>23.099999999999994</v>
      </c>
      <c r="N627" s="157"/>
      <c r="O627" s="158"/>
      <c r="P627" s="158"/>
      <c r="Q627" s="158"/>
      <c r="R627" s="158"/>
      <c r="S627" s="158"/>
      <c r="T627" s="158"/>
      <c r="U627" s="158"/>
      <c r="V627" s="158"/>
      <c r="W627" s="158"/>
      <c r="X627" s="158"/>
      <c r="Y627" s="158"/>
      <c r="Z627" s="158"/>
      <c r="AA627" s="158"/>
    </row>
    <row r="628" spans="1:27" ht="15.75" customHeight="1" x14ac:dyDescent="0.55000000000000004">
      <c r="A628" s="159">
        <v>105</v>
      </c>
      <c r="B628" s="159" t="s">
        <v>1570</v>
      </c>
      <c r="C628" s="159" t="s">
        <v>845</v>
      </c>
      <c r="D628" s="160">
        <v>39485</v>
      </c>
      <c r="E628" s="120" t="s">
        <v>3057</v>
      </c>
      <c r="F628" s="161" t="str">
        <f>HYPERLINK("https://www.findagrave.com/memorial/24482851/michael-h_t_-lynch","63")</f>
        <v>63</v>
      </c>
      <c r="G628" s="120">
        <v>0</v>
      </c>
      <c r="H628" s="131">
        <v>0</v>
      </c>
      <c r="I628" s="131">
        <v>1</v>
      </c>
      <c r="J628" s="133" t="s">
        <v>3054</v>
      </c>
      <c r="K628" s="133">
        <v>5</v>
      </c>
      <c r="L628" s="117">
        <v>66.5</v>
      </c>
      <c r="M628" s="133">
        <f t="shared" si="27"/>
        <v>3.5</v>
      </c>
      <c r="N628" s="157"/>
      <c r="O628" s="158"/>
      <c r="P628" s="158"/>
      <c r="Q628" s="158"/>
      <c r="R628" s="158"/>
      <c r="S628" s="158"/>
      <c r="T628" s="158"/>
      <c r="U628" s="158"/>
      <c r="V628" s="158"/>
      <c r="W628" s="158"/>
      <c r="X628" s="158"/>
      <c r="Y628" s="158"/>
      <c r="Z628" s="158"/>
      <c r="AA628" s="158"/>
    </row>
    <row r="629" spans="1:27" ht="15.75" customHeight="1" x14ac:dyDescent="0.55000000000000004">
      <c r="A629" s="159">
        <v>105</v>
      </c>
      <c r="B629" s="159" t="s">
        <v>1570</v>
      </c>
      <c r="C629" s="159" t="s">
        <v>845</v>
      </c>
      <c r="D629" s="160">
        <v>39485</v>
      </c>
      <c r="E629" s="120" t="s">
        <v>3058</v>
      </c>
      <c r="F629" s="161" t="str">
        <f>HYPERLINK("https://www.findagrave.com/memorial/29618498/michael-emil-swoboda","69")</f>
        <v>69</v>
      </c>
      <c r="G629" s="120">
        <v>0</v>
      </c>
      <c r="H629" s="131">
        <v>0</v>
      </c>
      <c r="I629" s="131">
        <v>1</v>
      </c>
      <c r="J629" s="133" t="s">
        <v>3054</v>
      </c>
      <c r="K629" s="133">
        <v>5</v>
      </c>
      <c r="L629" s="117">
        <v>82</v>
      </c>
      <c r="M629" s="133">
        <f t="shared" si="27"/>
        <v>13</v>
      </c>
      <c r="N629" s="157"/>
      <c r="O629" s="158"/>
      <c r="P629" s="158"/>
      <c r="Q629" s="158"/>
      <c r="R629" s="158"/>
      <c r="S629" s="158"/>
      <c r="T629" s="158"/>
      <c r="U629" s="158"/>
      <c r="V629" s="158"/>
      <c r="W629" s="158"/>
      <c r="X629" s="158"/>
      <c r="Y629" s="158"/>
      <c r="Z629" s="158"/>
      <c r="AA629" s="158"/>
    </row>
    <row r="630" spans="1:27" ht="15.75" customHeight="1" x14ac:dyDescent="0.55000000000000004">
      <c r="A630" s="159">
        <v>105</v>
      </c>
      <c r="B630" s="159" t="s">
        <v>1570</v>
      </c>
      <c r="C630" s="159" t="s">
        <v>845</v>
      </c>
      <c r="D630" s="160">
        <v>39485</v>
      </c>
      <c r="E630" s="120" t="s">
        <v>3059</v>
      </c>
      <c r="F630" s="161" t="str">
        <f>HYPERLINK("https://www.findagrave.com/memorial/24482698/kenneth-dale-yost","61")</f>
        <v>61</v>
      </c>
      <c r="G630" s="120">
        <v>0</v>
      </c>
      <c r="H630" s="131">
        <v>0</v>
      </c>
      <c r="I630" s="131">
        <v>1</v>
      </c>
      <c r="J630" s="133" t="s">
        <v>3054</v>
      </c>
      <c r="K630" s="133">
        <v>5</v>
      </c>
      <c r="L630" s="117">
        <v>66.5</v>
      </c>
      <c r="M630" s="133">
        <f t="shared" si="27"/>
        <v>5.5</v>
      </c>
      <c r="N630" s="157"/>
      <c r="O630" s="158"/>
      <c r="P630" s="158"/>
      <c r="Q630" s="158"/>
      <c r="R630" s="158"/>
      <c r="S630" s="158"/>
      <c r="T630" s="158"/>
      <c r="U630" s="158"/>
      <c r="V630" s="158"/>
      <c r="W630" s="158"/>
      <c r="X630" s="158"/>
      <c r="Y630" s="158"/>
      <c r="Z630" s="158"/>
      <c r="AA630" s="158"/>
    </row>
    <row r="631" spans="1:27" ht="15.75" customHeight="1" x14ac:dyDescent="0.55000000000000004">
      <c r="A631" s="162">
        <v>106</v>
      </c>
      <c r="B631" s="162" t="s">
        <v>1578</v>
      </c>
      <c r="C631" s="162" t="s">
        <v>1419</v>
      </c>
      <c r="D631" s="163">
        <v>39492</v>
      </c>
      <c r="E631" s="120" t="s">
        <v>3060</v>
      </c>
      <c r="F631" s="131">
        <v>20</v>
      </c>
      <c r="G631" s="120">
        <v>1</v>
      </c>
      <c r="H631" s="131">
        <v>0</v>
      </c>
      <c r="I631" s="120">
        <v>0</v>
      </c>
      <c r="J631" s="133" t="s">
        <v>853</v>
      </c>
      <c r="K631" s="133">
        <v>0</v>
      </c>
      <c r="L631" s="117">
        <v>79.400000000000006</v>
      </c>
      <c r="M631" s="133">
        <f t="shared" si="27"/>
        <v>59.400000000000006</v>
      </c>
      <c r="N631" s="157"/>
      <c r="O631" s="158"/>
      <c r="P631" s="158"/>
      <c r="Q631" s="158"/>
      <c r="R631" s="158"/>
      <c r="S631" s="158"/>
      <c r="T631" s="158"/>
      <c r="U631" s="158"/>
      <c r="V631" s="158"/>
      <c r="W631" s="158"/>
      <c r="X631" s="158"/>
      <c r="Y631" s="158"/>
      <c r="Z631" s="158"/>
      <c r="AA631" s="158"/>
    </row>
    <row r="632" spans="1:27" ht="15.75" customHeight="1" x14ac:dyDescent="0.55000000000000004">
      <c r="A632" s="162">
        <v>106</v>
      </c>
      <c r="B632" s="162" t="s">
        <v>1578</v>
      </c>
      <c r="C632" s="162" t="s">
        <v>1419</v>
      </c>
      <c r="D632" s="163">
        <v>39492</v>
      </c>
      <c r="E632" s="120" t="s">
        <v>3061</v>
      </c>
      <c r="F632" s="131">
        <v>20</v>
      </c>
      <c r="G632" s="120">
        <v>1</v>
      </c>
      <c r="H632" s="131">
        <v>2</v>
      </c>
      <c r="I632" s="120">
        <v>0</v>
      </c>
      <c r="J632" s="133" t="s">
        <v>853</v>
      </c>
      <c r="K632" s="133">
        <v>0</v>
      </c>
      <c r="L632" s="117">
        <v>78.8</v>
      </c>
      <c r="M632" s="133">
        <f t="shared" si="27"/>
        <v>58.8</v>
      </c>
      <c r="N632" s="157"/>
      <c r="O632" s="158"/>
      <c r="P632" s="158"/>
      <c r="Q632" s="158"/>
      <c r="R632" s="158"/>
      <c r="S632" s="158"/>
      <c r="T632" s="158"/>
      <c r="U632" s="158"/>
      <c r="V632" s="158"/>
      <c r="W632" s="158"/>
      <c r="X632" s="158"/>
      <c r="Y632" s="158"/>
      <c r="Z632" s="158"/>
      <c r="AA632" s="158"/>
    </row>
    <row r="633" spans="1:27" ht="15.75" customHeight="1" x14ac:dyDescent="0.55000000000000004">
      <c r="A633" s="162">
        <v>106</v>
      </c>
      <c r="B633" s="162" t="s">
        <v>1578</v>
      </c>
      <c r="C633" s="162" t="s">
        <v>1419</v>
      </c>
      <c r="D633" s="163">
        <v>39492</v>
      </c>
      <c r="E633" s="120" t="s">
        <v>3062</v>
      </c>
      <c r="F633" s="131">
        <v>32</v>
      </c>
      <c r="G633" s="120">
        <v>1</v>
      </c>
      <c r="H633" s="131">
        <v>0</v>
      </c>
      <c r="I633" s="120">
        <v>0</v>
      </c>
      <c r="J633" s="133" t="s">
        <v>853</v>
      </c>
      <c r="K633" s="133">
        <v>0</v>
      </c>
      <c r="L633" s="117">
        <v>77.3</v>
      </c>
      <c r="M633" s="133">
        <f t="shared" si="27"/>
        <v>45.3</v>
      </c>
      <c r="N633" s="157"/>
      <c r="O633" s="158"/>
      <c r="P633" s="158"/>
      <c r="Q633" s="158"/>
      <c r="R633" s="158"/>
      <c r="S633" s="158"/>
      <c r="T633" s="158"/>
      <c r="U633" s="158"/>
      <c r="V633" s="158"/>
      <c r="W633" s="158"/>
      <c r="X633" s="158"/>
      <c r="Y633" s="158"/>
      <c r="Z633" s="158"/>
      <c r="AA633" s="158"/>
    </row>
    <row r="634" spans="1:27" ht="15.75" customHeight="1" x14ac:dyDescent="0.55000000000000004">
      <c r="A634" s="162">
        <v>106</v>
      </c>
      <c r="B634" s="162" t="s">
        <v>1578</v>
      </c>
      <c r="C634" s="162" t="s">
        <v>1419</v>
      </c>
      <c r="D634" s="163">
        <v>39492</v>
      </c>
      <c r="E634" s="120" t="s">
        <v>3063</v>
      </c>
      <c r="F634" s="131">
        <v>19</v>
      </c>
      <c r="G634" s="120">
        <v>1</v>
      </c>
      <c r="H634" s="131">
        <v>0</v>
      </c>
      <c r="I634" s="120">
        <v>0</v>
      </c>
      <c r="J634" s="133" t="s">
        <v>853</v>
      </c>
      <c r="K634" s="133">
        <v>0</v>
      </c>
      <c r="L634" s="117">
        <v>79.400000000000006</v>
      </c>
      <c r="M634" s="133">
        <f t="shared" si="27"/>
        <v>60.400000000000006</v>
      </c>
      <c r="N634" s="157"/>
      <c r="O634" s="158"/>
      <c r="P634" s="158"/>
      <c r="Q634" s="158"/>
      <c r="R634" s="158"/>
      <c r="S634" s="158"/>
      <c r="T634" s="158"/>
      <c r="U634" s="158"/>
      <c r="V634" s="158"/>
      <c r="W634" s="158"/>
      <c r="X634" s="158"/>
      <c r="Y634" s="158"/>
      <c r="Z634" s="158"/>
      <c r="AA634" s="158"/>
    </row>
    <row r="635" spans="1:27" ht="15.75" customHeight="1" x14ac:dyDescent="0.55000000000000004">
      <c r="A635" s="162">
        <v>106</v>
      </c>
      <c r="B635" s="162" t="s">
        <v>1578</v>
      </c>
      <c r="C635" s="162" t="s">
        <v>1419</v>
      </c>
      <c r="D635" s="163">
        <v>39492</v>
      </c>
      <c r="E635" s="120" t="s">
        <v>3064</v>
      </c>
      <c r="F635" s="131">
        <v>20</v>
      </c>
      <c r="G635" s="120">
        <v>0</v>
      </c>
      <c r="H635" s="131">
        <v>0</v>
      </c>
      <c r="I635" s="120">
        <v>0</v>
      </c>
      <c r="J635" s="133" t="s">
        <v>853</v>
      </c>
      <c r="K635" s="133">
        <v>0</v>
      </c>
      <c r="L635" s="117">
        <v>72.7</v>
      </c>
      <c r="M635" s="133">
        <f t="shared" si="27"/>
        <v>52.7</v>
      </c>
      <c r="N635" s="157"/>
      <c r="O635" s="158"/>
      <c r="P635" s="158"/>
      <c r="Q635" s="158"/>
      <c r="R635" s="158"/>
      <c r="S635" s="158"/>
      <c r="T635" s="158"/>
      <c r="U635" s="158"/>
      <c r="V635" s="158"/>
      <c r="W635" s="158"/>
      <c r="X635" s="158"/>
      <c r="Y635" s="158"/>
      <c r="Z635" s="158"/>
      <c r="AA635" s="158"/>
    </row>
    <row r="636" spans="1:27" ht="15.75" customHeight="1" x14ac:dyDescent="0.55000000000000004">
      <c r="A636" s="164">
        <v>107</v>
      </c>
      <c r="B636" s="164" t="s">
        <v>1588</v>
      </c>
      <c r="C636" s="164" t="s">
        <v>1589</v>
      </c>
      <c r="D636" s="165">
        <v>39525</v>
      </c>
      <c r="E636" s="120" t="s">
        <v>3065</v>
      </c>
      <c r="F636" s="131">
        <v>45</v>
      </c>
      <c r="G636" s="120">
        <v>0</v>
      </c>
      <c r="H636" s="120"/>
      <c r="I636" s="120">
        <v>0</v>
      </c>
      <c r="J636" s="133" t="s">
        <v>853</v>
      </c>
      <c r="K636" s="133">
        <v>0</v>
      </c>
      <c r="L636" s="117">
        <v>66.599999999999994</v>
      </c>
      <c r="M636" s="133">
        <f t="shared" si="27"/>
        <v>21.599999999999994</v>
      </c>
      <c r="N636" s="157"/>
      <c r="O636" s="158"/>
      <c r="P636" s="158"/>
      <c r="Q636" s="158"/>
      <c r="R636" s="158"/>
      <c r="S636" s="158"/>
      <c r="T636" s="158"/>
      <c r="U636" s="158"/>
      <c r="V636" s="158"/>
      <c r="W636" s="158"/>
      <c r="X636" s="158"/>
      <c r="Y636" s="158"/>
      <c r="Z636" s="158"/>
      <c r="AA636" s="158"/>
    </row>
    <row r="637" spans="1:27" ht="15.75" customHeight="1" x14ac:dyDescent="0.55000000000000004">
      <c r="A637" s="164">
        <v>107</v>
      </c>
      <c r="B637" s="164" t="s">
        <v>1588</v>
      </c>
      <c r="C637" s="164" t="s">
        <v>1589</v>
      </c>
      <c r="D637" s="165">
        <v>39525</v>
      </c>
      <c r="E637" s="120" t="s">
        <v>3066</v>
      </c>
      <c r="F637" s="131">
        <v>33</v>
      </c>
      <c r="G637" s="120">
        <v>0</v>
      </c>
      <c r="H637" s="161" t="str">
        <f>HYPERLINK("https://www.findagrave.com/memorial/25520926/ricardo-cardenas_leal","2")</f>
        <v>2</v>
      </c>
      <c r="I637" s="120">
        <v>0</v>
      </c>
      <c r="J637" s="133" t="s">
        <v>853</v>
      </c>
      <c r="K637" s="133">
        <v>0</v>
      </c>
      <c r="L637" s="117">
        <v>68.8</v>
      </c>
      <c r="M637" s="133">
        <f t="shared" si="27"/>
        <v>35.799999999999997</v>
      </c>
      <c r="N637" s="157"/>
      <c r="O637" s="158"/>
      <c r="P637" s="158"/>
      <c r="Q637" s="158"/>
      <c r="R637" s="158"/>
      <c r="S637" s="158"/>
      <c r="T637" s="158"/>
      <c r="U637" s="158"/>
      <c r="V637" s="158"/>
      <c r="W637" s="158"/>
      <c r="X637" s="158"/>
      <c r="Y637" s="158"/>
      <c r="Z637" s="158"/>
      <c r="AA637" s="158"/>
    </row>
    <row r="638" spans="1:27" ht="15.75" customHeight="1" x14ac:dyDescent="0.55000000000000004">
      <c r="A638" s="164">
        <v>107</v>
      </c>
      <c r="B638" s="164" t="s">
        <v>1588</v>
      </c>
      <c r="C638" s="164" t="s">
        <v>1589</v>
      </c>
      <c r="D638" s="165">
        <v>39525</v>
      </c>
      <c r="E638" s="120" t="s">
        <v>3067</v>
      </c>
      <c r="F638" s="131">
        <v>66</v>
      </c>
      <c r="G638" s="120">
        <v>0</v>
      </c>
      <c r="H638" s="131">
        <v>0</v>
      </c>
      <c r="I638" s="120">
        <v>1</v>
      </c>
      <c r="J638" s="133" t="s">
        <v>2804</v>
      </c>
      <c r="K638" s="133">
        <v>1</v>
      </c>
      <c r="L638" s="117">
        <v>82.4</v>
      </c>
      <c r="M638" s="133">
        <f t="shared" si="27"/>
        <v>16.400000000000006</v>
      </c>
      <c r="N638" s="157"/>
      <c r="O638" s="158"/>
      <c r="P638" s="158"/>
      <c r="Q638" s="158"/>
      <c r="R638" s="158"/>
      <c r="S638" s="158"/>
      <c r="T638" s="158"/>
      <c r="U638" s="158"/>
      <c r="V638" s="158"/>
      <c r="W638" s="158"/>
      <c r="X638" s="158"/>
      <c r="Y638" s="158"/>
      <c r="Z638" s="158"/>
      <c r="AA638" s="158"/>
    </row>
    <row r="639" spans="1:27" ht="15.75" customHeight="1" x14ac:dyDescent="0.55000000000000004">
      <c r="A639" s="164">
        <v>107</v>
      </c>
      <c r="B639" s="164" t="s">
        <v>1588</v>
      </c>
      <c r="C639" s="164" t="s">
        <v>1589</v>
      </c>
      <c r="D639" s="165">
        <v>39525</v>
      </c>
      <c r="E639" s="120" t="s">
        <v>3068</v>
      </c>
      <c r="F639" s="161" t="str">
        <f>HYPERLINK("https://www.legacy.com/obituaries/santacruzsentinel/obituary.aspx?n=terry-edward-majan&amp;pid=106466787&amp;fhid=2408","38")</f>
        <v>38</v>
      </c>
      <c r="G639" s="120">
        <v>0</v>
      </c>
      <c r="H639" s="131">
        <v>0</v>
      </c>
      <c r="I639" s="131">
        <v>1</v>
      </c>
      <c r="J639" s="133" t="s">
        <v>2387</v>
      </c>
      <c r="K639" s="133">
        <v>3</v>
      </c>
      <c r="L639" s="117">
        <v>68</v>
      </c>
      <c r="M639" s="133">
        <f t="shared" si="27"/>
        <v>30</v>
      </c>
      <c r="N639" s="157"/>
      <c r="O639" s="158"/>
      <c r="P639" s="158"/>
      <c r="Q639" s="158"/>
      <c r="R639" s="158"/>
      <c r="S639" s="158"/>
      <c r="T639" s="158"/>
      <c r="U639" s="158"/>
      <c r="V639" s="158"/>
      <c r="W639" s="158"/>
      <c r="X639" s="158"/>
      <c r="Y639" s="158"/>
      <c r="Z639" s="158"/>
      <c r="AA639" s="158"/>
    </row>
    <row r="640" spans="1:27" ht="15.75" customHeight="1" x14ac:dyDescent="0.55000000000000004">
      <c r="A640" s="166">
        <v>108</v>
      </c>
      <c r="B640" s="166" t="s">
        <v>1596</v>
      </c>
      <c r="C640" s="166" t="s">
        <v>1597</v>
      </c>
      <c r="D640" s="167">
        <v>39624</v>
      </c>
      <c r="E640" s="120" t="s">
        <v>3069</v>
      </c>
      <c r="F640" s="131">
        <v>28</v>
      </c>
      <c r="G640" s="120">
        <v>0</v>
      </c>
      <c r="H640" s="131">
        <v>2</v>
      </c>
      <c r="I640" s="120">
        <v>1</v>
      </c>
      <c r="J640" s="133" t="s">
        <v>2387</v>
      </c>
      <c r="K640" s="133">
        <v>3</v>
      </c>
      <c r="L640" s="117">
        <v>70</v>
      </c>
      <c r="M640" s="133">
        <f t="shared" si="27"/>
        <v>42</v>
      </c>
      <c r="N640" s="157"/>
      <c r="O640" s="158"/>
      <c r="P640" s="158"/>
      <c r="Q640" s="158"/>
      <c r="R640" s="158"/>
      <c r="S640" s="158"/>
      <c r="T640" s="158"/>
      <c r="U640" s="158"/>
      <c r="V640" s="158"/>
      <c r="W640" s="158"/>
      <c r="X640" s="158"/>
      <c r="Y640" s="158"/>
      <c r="Z640" s="158"/>
      <c r="AA640" s="158"/>
    </row>
    <row r="641" spans="1:27" ht="15.75" customHeight="1" x14ac:dyDescent="0.55000000000000004">
      <c r="A641" s="166">
        <v>108</v>
      </c>
      <c r="B641" s="166" t="s">
        <v>1596</v>
      </c>
      <c r="C641" s="166" t="s">
        <v>1597</v>
      </c>
      <c r="D641" s="167">
        <v>39624</v>
      </c>
      <c r="E641" s="120" t="s">
        <v>3070</v>
      </c>
      <c r="F641" s="131">
        <v>25</v>
      </c>
      <c r="G641" s="120">
        <v>1</v>
      </c>
      <c r="H641" s="131">
        <v>2</v>
      </c>
      <c r="I641" s="120">
        <v>1</v>
      </c>
      <c r="J641" s="133" t="s">
        <v>2387</v>
      </c>
      <c r="K641" s="133">
        <v>3</v>
      </c>
      <c r="L641" s="117">
        <v>77.400000000000006</v>
      </c>
      <c r="M641" s="133">
        <f t="shared" si="27"/>
        <v>52.400000000000006</v>
      </c>
      <c r="N641" s="157"/>
      <c r="O641" s="158"/>
      <c r="P641" s="158"/>
      <c r="Q641" s="158"/>
      <c r="R641" s="158"/>
      <c r="S641" s="158"/>
      <c r="T641" s="158"/>
      <c r="U641" s="158"/>
      <c r="V641" s="158"/>
      <c r="W641" s="158"/>
      <c r="X641" s="158"/>
      <c r="Y641" s="158"/>
      <c r="Z641" s="158"/>
      <c r="AA641" s="158"/>
    </row>
    <row r="642" spans="1:27" ht="15.75" customHeight="1" x14ac:dyDescent="0.55000000000000004">
      <c r="A642" s="166">
        <v>108</v>
      </c>
      <c r="B642" s="166" t="s">
        <v>1596</v>
      </c>
      <c r="C642" s="166" t="s">
        <v>1597</v>
      </c>
      <c r="D642" s="167">
        <v>39624</v>
      </c>
      <c r="E642" s="120" t="s">
        <v>3071</v>
      </c>
      <c r="F642" s="131">
        <v>29</v>
      </c>
      <c r="G642" s="120">
        <v>0</v>
      </c>
      <c r="H642" s="120"/>
      <c r="I642" s="120">
        <v>1</v>
      </c>
      <c r="J642" s="133" t="s">
        <v>2387</v>
      </c>
      <c r="K642" s="133">
        <v>3</v>
      </c>
      <c r="L642" s="117">
        <v>70</v>
      </c>
      <c r="M642" s="133">
        <f t="shared" si="27"/>
        <v>41</v>
      </c>
      <c r="N642" s="157"/>
      <c r="O642" s="158"/>
      <c r="P642" s="158"/>
      <c r="Q642" s="158"/>
      <c r="R642" s="158"/>
      <c r="S642" s="158"/>
      <c r="T642" s="158"/>
      <c r="U642" s="158"/>
      <c r="V642" s="158"/>
      <c r="W642" s="158"/>
      <c r="X642" s="158"/>
      <c r="Y642" s="158"/>
      <c r="Z642" s="158"/>
      <c r="AA642" s="158"/>
    </row>
    <row r="643" spans="1:27" ht="15.75" customHeight="1" x14ac:dyDescent="0.55000000000000004">
      <c r="A643" s="166">
        <v>108</v>
      </c>
      <c r="B643" s="166" t="s">
        <v>1596</v>
      </c>
      <c r="C643" s="166" t="s">
        <v>1597</v>
      </c>
      <c r="D643" s="167">
        <v>39624</v>
      </c>
      <c r="E643" s="120" t="s">
        <v>3072</v>
      </c>
      <c r="F643" s="131">
        <v>30</v>
      </c>
      <c r="G643" s="120">
        <v>0</v>
      </c>
      <c r="H643" s="120"/>
      <c r="I643" s="120">
        <v>1</v>
      </c>
      <c r="J643" s="133" t="s">
        <v>2391</v>
      </c>
      <c r="K643" s="133">
        <v>3</v>
      </c>
      <c r="L643" s="117">
        <v>70</v>
      </c>
      <c r="M643" s="133">
        <f t="shared" si="27"/>
        <v>40</v>
      </c>
      <c r="N643" s="157"/>
      <c r="O643" s="158"/>
      <c r="P643" s="158"/>
      <c r="Q643" s="158"/>
      <c r="R643" s="158"/>
      <c r="S643" s="158"/>
      <c r="T643" s="158"/>
      <c r="U643" s="158"/>
      <c r="V643" s="158"/>
      <c r="W643" s="158"/>
      <c r="X643" s="158"/>
      <c r="Y643" s="158"/>
      <c r="Z643" s="158"/>
      <c r="AA643" s="158"/>
    </row>
    <row r="644" spans="1:27" ht="15.75" customHeight="1" x14ac:dyDescent="0.55000000000000004">
      <c r="A644" s="166">
        <v>108</v>
      </c>
      <c r="B644" s="166" t="s">
        <v>1596</v>
      </c>
      <c r="C644" s="166" t="s">
        <v>1597</v>
      </c>
      <c r="D644" s="167">
        <v>39624</v>
      </c>
      <c r="E644" s="120" t="s">
        <v>3073</v>
      </c>
      <c r="F644" s="131">
        <v>26</v>
      </c>
      <c r="G644" s="120">
        <v>1</v>
      </c>
      <c r="H644" s="131">
        <v>2</v>
      </c>
      <c r="I644" s="120">
        <v>1</v>
      </c>
      <c r="J644" s="133" t="s">
        <v>2387</v>
      </c>
      <c r="K644" s="133">
        <v>3</v>
      </c>
      <c r="L644" s="117">
        <v>77.400000000000006</v>
      </c>
      <c r="M644" s="133">
        <f t="shared" si="27"/>
        <v>51.400000000000006</v>
      </c>
      <c r="N644" s="157"/>
      <c r="O644" s="158"/>
      <c r="P644" s="158"/>
      <c r="Q644" s="158"/>
      <c r="R644" s="158"/>
      <c r="S644" s="158"/>
      <c r="T644" s="158"/>
      <c r="U644" s="158"/>
      <c r="V644" s="158"/>
      <c r="W644" s="158"/>
      <c r="X644" s="158"/>
      <c r="Y644" s="158"/>
      <c r="Z644" s="158"/>
      <c r="AA644" s="158"/>
    </row>
    <row r="645" spans="1:27" ht="15.75" customHeight="1" x14ac:dyDescent="0.55000000000000004">
      <c r="A645" s="177">
        <v>109</v>
      </c>
      <c r="B645" s="177" t="s">
        <v>1601</v>
      </c>
      <c r="C645" s="177" t="s">
        <v>1602</v>
      </c>
      <c r="D645" s="178">
        <v>39693</v>
      </c>
      <c r="E645" s="120" t="s">
        <v>3074</v>
      </c>
      <c r="F645" s="131">
        <v>47</v>
      </c>
      <c r="G645" s="120">
        <v>1</v>
      </c>
      <c r="H645" s="161" t="str">
        <f>HYPERLINK("https://www.findagrave.com/memorial/29645639/julie-ann-binschus","0")</f>
        <v>0</v>
      </c>
      <c r="I645" s="120">
        <v>1</v>
      </c>
      <c r="J645" s="133" t="s">
        <v>2394</v>
      </c>
      <c r="K645" s="133">
        <v>5</v>
      </c>
      <c r="L645" s="117">
        <v>74.099999999999994</v>
      </c>
      <c r="M645" s="133">
        <f t="shared" si="27"/>
        <v>27.099999999999994</v>
      </c>
      <c r="N645" s="157"/>
      <c r="O645" s="158"/>
      <c r="P645" s="158"/>
      <c r="Q645" s="158"/>
      <c r="R645" s="158"/>
      <c r="S645" s="158"/>
      <c r="T645" s="158"/>
      <c r="U645" s="158"/>
      <c r="V645" s="158"/>
      <c r="W645" s="158"/>
      <c r="X645" s="158"/>
      <c r="Y645" s="158"/>
      <c r="Z645" s="158"/>
      <c r="AA645" s="158"/>
    </row>
    <row r="646" spans="1:27" ht="15.75" customHeight="1" x14ac:dyDescent="0.55000000000000004">
      <c r="A646" s="177">
        <v>109</v>
      </c>
      <c r="B646" s="177" t="s">
        <v>1601</v>
      </c>
      <c r="C646" s="177" t="s">
        <v>1602</v>
      </c>
      <c r="D646" s="178">
        <v>39693</v>
      </c>
      <c r="E646" s="120" t="s">
        <v>3075</v>
      </c>
      <c r="F646" s="131">
        <v>38</v>
      </c>
      <c r="G646" s="120">
        <v>0</v>
      </c>
      <c r="H646" s="161" t="str">
        <f>HYPERLINK("https://www.findagrave.com/memorial/29615325/greg-n-gillum","0")</f>
        <v>0</v>
      </c>
      <c r="I646" s="120">
        <v>0</v>
      </c>
      <c r="J646" s="133" t="s">
        <v>853</v>
      </c>
      <c r="K646" s="133">
        <v>0</v>
      </c>
      <c r="L646" s="117">
        <v>68</v>
      </c>
      <c r="M646" s="133">
        <f t="shared" si="27"/>
        <v>30</v>
      </c>
      <c r="N646" s="157"/>
      <c r="O646" s="158"/>
      <c r="P646" s="158"/>
      <c r="Q646" s="158"/>
      <c r="R646" s="158"/>
      <c r="S646" s="158"/>
      <c r="T646" s="158"/>
      <c r="U646" s="158"/>
      <c r="V646" s="158"/>
      <c r="W646" s="158"/>
      <c r="X646" s="158"/>
      <c r="Y646" s="158"/>
      <c r="Z646" s="158"/>
      <c r="AA646" s="158"/>
    </row>
    <row r="647" spans="1:27" ht="15.75" customHeight="1" x14ac:dyDescent="0.55000000000000004">
      <c r="A647" s="177">
        <v>109</v>
      </c>
      <c r="B647" s="177" t="s">
        <v>1601</v>
      </c>
      <c r="C647" s="177" t="s">
        <v>1602</v>
      </c>
      <c r="D647" s="178">
        <v>39693</v>
      </c>
      <c r="E647" s="120" t="s">
        <v>3076</v>
      </c>
      <c r="F647" s="131">
        <v>40</v>
      </c>
      <c r="G647" s="120">
        <v>1</v>
      </c>
      <c r="H647" s="131">
        <v>0</v>
      </c>
      <c r="I647" s="131">
        <v>1</v>
      </c>
      <c r="J647" s="133" t="s">
        <v>3077</v>
      </c>
      <c r="K647" s="133">
        <v>5</v>
      </c>
      <c r="L647" s="117">
        <v>75.599999999999994</v>
      </c>
      <c r="M647" s="133">
        <f t="shared" si="27"/>
        <v>35.599999999999994</v>
      </c>
      <c r="N647" s="157"/>
      <c r="O647" s="158"/>
      <c r="P647" s="158"/>
      <c r="Q647" s="158"/>
      <c r="R647" s="158"/>
      <c r="S647" s="158"/>
      <c r="T647" s="158"/>
      <c r="U647" s="158"/>
      <c r="V647" s="158"/>
      <c r="W647" s="158"/>
      <c r="X647" s="158"/>
      <c r="Y647" s="158"/>
      <c r="Z647" s="158"/>
      <c r="AA647" s="158"/>
    </row>
    <row r="648" spans="1:27" ht="15.75" customHeight="1" x14ac:dyDescent="0.55000000000000004">
      <c r="A648" s="177">
        <v>109</v>
      </c>
      <c r="B648" s="177" t="s">
        <v>1601</v>
      </c>
      <c r="C648" s="177" t="s">
        <v>1602</v>
      </c>
      <c r="D648" s="178">
        <v>39693</v>
      </c>
      <c r="E648" s="120" t="s">
        <v>3078</v>
      </c>
      <c r="F648" s="131">
        <v>64</v>
      </c>
      <c r="G648" s="120">
        <v>0</v>
      </c>
      <c r="H648" s="161" t="str">
        <f>HYPERLINK("https://www.findagrave.com/memorial/29579499/leroy-b-lange","0")</f>
        <v>0</v>
      </c>
      <c r="I648" s="120">
        <v>0</v>
      </c>
      <c r="J648" s="133" t="s">
        <v>853</v>
      </c>
      <c r="K648" s="133">
        <v>0</v>
      </c>
      <c r="L648" s="117">
        <v>66.5</v>
      </c>
      <c r="M648" s="133">
        <f t="shared" si="27"/>
        <v>2.5</v>
      </c>
      <c r="N648" s="157"/>
      <c r="O648" s="158"/>
      <c r="P648" s="158"/>
      <c r="Q648" s="158"/>
      <c r="R648" s="158"/>
      <c r="S648" s="158"/>
      <c r="T648" s="158"/>
      <c r="U648" s="158"/>
      <c r="V648" s="158"/>
      <c r="W648" s="158"/>
      <c r="X648" s="158"/>
      <c r="Y648" s="158"/>
      <c r="Z648" s="158"/>
      <c r="AA648" s="158"/>
    </row>
    <row r="649" spans="1:27" ht="15.75" customHeight="1" x14ac:dyDescent="0.55000000000000004">
      <c r="A649" s="177">
        <v>109</v>
      </c>
      <c r="B649" s="177" t="s">
        <v>1601</v>
      </c>
      <c r="C649" s="177" t="s">
        <v>1602</v>
      </c>
      <c r="D649" s="178">
        <v>39693</v>
      </c>
      <c r="E649" s="120" t="s">
        <v>3079</v>
      </c>
      <c r="F649" s="131">
        <v>57</v>
      </c>
      <c r="G649" s="120">
        <v>0</v>
      </c>
      <c r="H649" s="131">
        <v>0</v>
      </c>
      <c r="I649" s="120">
        <v>0</v>
      </c>
      <c r="J649" s="133" t="s">
        <v>853</v>
      </c>
      <c r="K649" s="133">
        <v>0</v>
      </c>
      <c r="L649" s="117">
        <v>66.5</v>
      </c>
      <c r="M649" s="133">
        <f t="shared" si="27"/>
        <v>9.5</v>
      </c>
      <c r="N649" s="157"/>
      <c r="O649" s="158"/>
      <c r="P649" s="158"/>
      <c r="Q649" s="158"/>
      <c r="R649" s="158"/>
      <c r="S649" s="158"/>
      <c r="T649" s="158"/>
      <c r="U649" s="158"/>
      <c r="V649" s="158"/>
      <c r="W649" s="158"/>
      <c r="X649" s="158"/>
      <c r="Y649" s="158"/>
      <c r="Z649" s="158"/>
      <c r="AA649" s="158"/>
    </row>
    <row r="650" spans="1:27" ht="15.75" customHeight="1" x14ac:dyDescent="0.55000000000000004">
      <c r="A650" s="177">
        <v>109</v>
      </c>
      <c r="B650" s="177" t="s">
        <v>1601</v>
      </c>
      <c r="C650" s="177" t="s">
        <v>1602</v>
      </c>
      <c r="D650" s="178">
        <v>39693</v>
      </c>
      <c r="E650" s="120" t="s">
        <v>3080</v>
      </c>
      <c r="F650" s="131">
        <v>58</v>
      </c>
      <c r="G650" s="120">
        <v>0</v>
      </c>
      <c r="H650" s="161" t="str">
        <f>HYPERLINK("https://www.findagrave.com/memorial/29710071/chester-rose","0")</f>
        <v>0</v>
      </c>
      <c r="I650" s="120">
        <v>1</v>
      </c>
      <c r="J650" s="133" t="s">
        <v>2394</v>
      </c>
      <c r="K650" s="133">
        <v>5</v>
      </c>
      <c r="L650" s="117">
        <v>66.5</v>
      </c>
      <c r="M650" s="133">
        <f t="shared" si="27"/>
        <v>8.5</v>
      </c>
      <c r="N650" s="157"/>
      <c r="O650" s="158"/>
      <c r="P650" s="158"/>
      <c r="Q650" s="158"/>
      <c r="R650" s="158"/>
      <c r="S650" s="158"/>
      <c r="T650" s="158"/>
      <c r="U650" s="158"/>
      <c r="V650" s="158"/>
      <c r="W650" s="158"/>
      <c r="X650" s="158"/>
      <c r="Y650" s="158"/>
      <c r="Z650" s="158"/>
      <c r="AA650" s="158"/>
    </row>
    <row r="651" spans="1:27" ht="15.75" customHeight="1" x14ac:dyDescent="0.55000000000000004">
      <c r="A651" s="169">
        <v>110</v>
      </c>
      <c r="B651" s="169" t="s">
        <v>1606</v>
      </c>
      <c r="C651" s="169" t="s">
        <v>859</v>
      </c>
      <c r="D651" s="170">
        <v>39901</v>
      </c>
      <c r="E651" s="120" t="s">
        <v>3081</v>
      </c>
      <c r="F651" s="131">
        <v>39</v>
      </c>
      <c r="G651" s="120">
        <v>0</v>
      </c>
      <c r="H651" s="131">
        <v>3</v>
      </c>
      <c r="I651" s="120">
        <v>0</v>
      </c>
      <c r="J651" s="133" t="s">
        <v>853</v>
      </c>
      <c r="K651" s="133">
        <v>0</v>
      </c>
      <c r="L651" s="117">
        <v>67.099999999999994</v>
      </c>
      <c r="M651" s="133">
        <f t="shared" si="27"/>
        <v>28.099999999999994</v>
      </c>
      <c r="N651" s="157"/>
      <c r="O651" s="158"/>
      <c r="P651" s="158"/>
      <c r="Q651" s="158"/>
      <c r="R651" s="158"/>
      <c r="S651" s="158"/>
      <c r="T651" s="158"/>
      <c r="U651" s="158"/>
      <c r="V651" s="158"/>
      <c r="W651" s="158"/>
      <c r="X651" s="158"/>
      <c r="Y651" s="158"/>
      <c r="Z651" s="158"/>
      <c r="AA651" s="158"/>
    </row>
    <row r="652" spans="1:27" ht="15.75" customHeight="1" x14ac:dyDescent="0.55000000000000004">
      <c r="A652" s="169">
        <v>110</v>
      </c>
      <c r="B652" s="169" t="s">
        <v>1606</v>
      </c>
      <c r="C652" s="169" t="s">
        <v>859</v>
      </c>
      <c r="D652" s="170">
        <v>39901</v>
      </c>
      <c r="E652" s="120" t="s">
        <v>3082</v>
      </c>
      <c r="F652" s="131">
        <v>98</v>
      </c>
      <c r="G652" s="120">
        <v>1</v>
      </c>
      <c r="H652" s="131">
        <v>0</v>
      </c>
      <c r="I652" s="120">
        <v>0</v>
      </c>
      <c r="J652" s="133" t="s">
        <v>853</v>
      </c>
      <c r="K652" s="133">
        <v>0</v>
      </c>
      <c r="L652" s="117">
        <v>87</v>
      </c>
      <c r="M652" s="133">
        <v>0</v>
      </c>
      <c r="N652" s="157"/>
      <c r="O652" s="158"/>
      <c r="P652" s="158"/>
      <c r="Q652" s="158"/>
      <c r="R652" s="158"/>
      <c r="S652" s="158"/>
      <c r="T652" s="158"/>
      <c r="U652" s="158"/>
      <c r="V652" s="158"/>
      <c r="W652" s="158"/>
      <c r="X652" s="158"/>
      <c r="Y652" s="158"/>
      <c r="Z652" s="158"/>
      <c r="AA652" s="158"/>
    </row>
    <row r="653" spans="1:27" ht="15.75" customHeight="1" x14ac:dyDescent="0.55000000000000004">
      <c r="A653" s="169">
        <v>110</v>
      </c>
      <c r="B653" s="169" t="s">
        <v>1606</v>
      </c>
      <c r="C653" s="169" t="s">
        <v>859</v>
      </c>
      <c r="D653" s="170">
        <v>39901</v>
      </c>
      <c r="E653" s="120" t="s">
        <v>3083</v>
      </c>
      <c r="F653" s="131">
        <v>89</v>
      </c>
      <c r="G653" s="120">
        <v>1</v>
      </c>
      <c r="H653" s="131">
        <v>0</v>
      </c>
      <c r="I653" s="120">
        <v>0</v>
      </c>
      <c r="J653" s="133" t="s">
        <v>853</v>
      </c>
      <c r="K653" s="133">
        <v>0</v>
      </c>
      <c r="L653" s="117">
        <v>87</v>
      </c>
      <c r="M653" s="133">
        <v>0</v>
      </c>
      <c r="N653" s="157"/>
      <c r="O653" s="158"/>
      <c r="P653" s="158"/>
      <c r="Q653" s="158"/>
      <c r="R653" s="158"/>
      <c r="S653" s="158"/>
      <c r="T653" s="158"/>
      <c r="U653" s="158"/>
      <c r="V653" s="158"/>
      <c r="W653" s="158"/>
      <c r="X653" s="158"/>
      <c r="Y653" s="158"/>
      <c r="Z653" s="158"/>
      <c r="AA653" s="158"/>
    </row>
    <row r="654" spans="1:27" ht="15.75" customHeight="1" x14ac:dyDescent="0.55000000000000004">
      <c r="A654" s="169">
        <v>110</v>
      </c>
      <c r="B654" s="169" t="s">
        <v>1606</v>
      </c>
      <c r="C654" s="169" t="s">
        <v>859</v>
      </c>
      <c r="D654" s="170">
        <v>39901</v>
      </c>
      <c r="E654" s="120" t="s">
        <v>3084</v>
      </c>
      <c r="F654" s="131">
        <v>88</v>
      </c>
      <c r="G654" s="120">
        <v>1</v>
      </c>
      <c r="H654" s="120"/>
      <c r="I654" s="120">
        <v>0</v>
      </c>
      <c r="J654" s="133" t="s">
        <v>853</v>
      </c>
      <c r="K654" s="133">
        <v>0</v>
      </c>
      <c r="L654" s="117">
        <v>86.9</v>
      </c>
      <c r="M654" s="133">
        <v>0</v>
      </c>
      <c r="N654" s="157"/>
      <c r="O654" s="158"/>
      <c r="P654" s="158"/>
      <c r="Q654" s="158"/>
      <c r="R654" s="158"/>
      <c r="S654" s="158"/>
      <c r="T654" s="158"/>
      <c r="U654" s="158"/>
      <c r="V654" s="158"/>
      <c r="W654" s="158"/>
      <c r="X654" s="158"/>
      <c r="Y654" s="158"/>
      <c r="Z654" s="158"/>
      <c r="AA654" s="158"/>
    </row>
    <row r="655" spans="1:27" ht="15.75" customHeight="1" x14ac:dyDescent="0.55000000000000004">
      <c r="A655" s="169">
        <v>110</v>
      </c>
      <c r="B655" s="169" t="s">
        <v>1606</v>
      </c>
      <c r="C655" s="169" t="s">
        <v>859</v>
      </c>
      <c r="D655" s="170">
        <v>39901</v>
      </c>
      <c r="E655" s="120" t="s">
        <v>3085</v>
      </c>
      <c r="F655" s="131">
        <v>78</v>
      </c>
      <c r="G655" s="120">
        <v>0</v>
      </c>
      <c r="H655" s="161" t="str">
        <f>HYPERLINK("https://www.findagrave.com/memorial/35340404/john-walter-goldston","0")</f>
        <v>0</v>
      </c>
      <c r="I655" s="120">
        <v>0</v>
      </c>
      <c r="J655" s="133" t="s">
        <v>853</v>
      </c>
      <c r="K655" s="133">
        <v>0</v>
      </c>
      <c r="L655" s="117">
        <v>85.6</v>
      </c>
      <c r="M655" s="133">
        <f t="shared" ref="M655:M656" si="28">L655-F655</f>
        <v>7.5999999999999943</v>
      </c>
      <c r="N655" s="157"/>
      <c r="O655" s="158"/>
      <c r="P655" s="158"/>
      <c r="Q655" s="158"/>
      <c r="R655" s="158"/>
      <c r="S655" s="158"/>
      <c r="T655" s="158"/>
      <c r="U655" s="158"/>
      <c r="V655" s="158"/>
      <c r="W655" s="158"/>
      <c r="X655" s="158"/>
      <c r="Y655" s="158"/>
      <c r="Z655" s="158"/>
      <c r="AA655" s="158"/>
    </row>
    <row r="656" spans="1:27" ht="15.75" customHeight="1" x14ac:dyDescent="0.55000000000000004">
      <c r="A656" s="169">
        <v>110</v>
      </c>
      <c r="B656" s="169" t="s">
        <v>1606</v>
      </c>
      <c r="C656" s="169" t="s">
        <v>859</v>
      </c>
      <c r="D656" s="170">
        <v>39901</v>
      </c>
      <c r="E656" s="120" t="s">
        <v>3086</v>
      </c>
      <c r="F656" s="131">
        <v>78</v>
      </c>
      <c r="G656" s="120">
        <v>1</v>
      </c>
      <c r="H656" s="131">
        <v>0</v>
      </c>
      <c r="I656" s="120">
        <v>0</v>
      </c>
      <c r="J656" s="133" t="s">
        <v>853</v>
      </c>
      <c r="K656" s="133">
        <v>0</v>
      </c>
      <c r="L656" s="117">
        <v>87.5</v>
      </c>
      <c r="M656" s="133">
        <f t="shared" si="28"/>
        <v>9.5</v>
      </c>
      <c r="N656" s="157"/>
      <c r="O656" s="158"/>
      <c r="P656" s="158"/>
      <c r="Q656" s="158"/>
      <c r="R656" s="158"/>
      <c r="S656" s="158"/>
      <c r="T656" s="158"/>
      <c r="U656" s="158"/>
      <c r="V656" s="158"/>
      <c r="W656" s="158"/>
      <c r="X656" s="158"/>
      <c r="Y656" s="158"/>
      <c r="Z656" s="158"/>
      <c r="AA656" s="158"/>
    </row>
    <row r="657" spans="1:27" ht="15.75" customHeight="1" x14ac:dyDescent="0.55000000000000004">
      <c r="A657" s="169">
        <v>110</v>
      </c>
      <c r="B657" s="169" t="s">
        <v>1606</v>
      </c>
      <c r="C657" s="169" t="s">
        <v>859</v>
      </c>
      <c r="D657" s="170">
        <v>39901</v>
      </c>
      <c r="E657" s="120" t="s">
        <v>3087</v>
      </c>
      <c r="F657" s="131">
        <v>89</v>
      </c>
      <c r="G657" s="120">
        <v>1</v>
      </c>
      <c r="H657" s="120"/>
      <c r="I657" s="120">
        <v>0</v>
      </c>
      <c r="J657" s="133" t="s">
        <v>853</v>
      </c>
      <c r="K657" s="133">
        <v>0</v>
      </c>
      <c r="L657" s="117">
        <v>86.9</v>
      </c>
      <c r="M657" s="133">
        <v>0</v>
      </c>
      <c r="N657" s="157"/>
      <c r="O657" s="158"/>
      <c r="P657" s="158"/>
      <c r="Q657" s="158"/>
      <c r="R657" s="158"/>
      <c r="S657" s="158"/>
      <c r="T657" s="158"/>
      <c r="U657" s="158"/>
      <c r="V657" s="158"/>
      <c r="W657" s="158"/>
      <c r="X657" s="158"/>
      <c r="Y657" s="158"/>
      <c r="Z657" s="158"/>
      <c r="AA657" s="158"/>
    </row>
    <row r="658" spans="1:27" ht="15.75" customHeight="1" x14ac:dyDescent="0.55000000000000004">
      <c r="A658" s="169">
        <v>110</v>
      </c>
      <c r="B658" s="169" t="s">
        <v>1606</v>
      </c>
      <c r="C658" s="169" t="s">
        <v>859</v>
      </c>
      <c r="D658" s="170">
        <v>39901</v>
      </c>
      <c r="E658" s="120" t="s">
        <v>3088</v>
      </c>
      <c r="F658" s="131">
        <v>88</v>
      </c>
      <c r="G658" s="120">
        <v>0</v>
      </c>
      <c r="H658" s="131">
        <v>0</v>
      </c>
      <c r="I658" s="120">
        <v>0</v>
      </c>
      <c r="J658" s="133" t="s">
        <v>853</v>
      </c>
      <c r="K658" s="133">
        <v>0</v>
      </c>
      <c r="L658" s="117">
        <v>84.7</v>
      </c>
      <c r="M658" s="133">
        <v>0</v>
      </c>
      <c r="N658" s="157"/>
      <c r="O658" s="158"/>
      <c r="P658" s="158"/>
      <c r="Q658" s="158"/>
      <c r="R658" s="158"/>
      <c r="S658" s="158"/>
      <c r="T658" s="158"/>
      <c r="U658" s="158"/>
      <c r="V658" s="158"/>
      <c r="W658" s="158"/>
      <c r="X658" s="158"/>
      <c r="Y658" s="158"/>
      <c r="Z658" s="158"/>
      <c r="AA658" s="158"/>
    </row>
    <row r="659" spans="1:27" ht="15.75" customHeight="1" x14ac:dyDescent="0.55000000000000004">
      <c r="A659" s="175">
        <v>111</v>
      </c>
      <c r="B659" s="175" t="s">
        <v>1612</v>
      </c>
      <c r="C659" s="175" t="s">
        <v>1613</v>
      </c>
      <c r="D659" s="176">
        <v>39906</v>
      </c>
      <c r="E659" s="120" t="s">
        <v>3089</v>
      </c>
      <c r="F659" s="131">
        <v>26</v>
      </c>
      <c r="G659" s="120">
        <v>1</v>
      </c>
      <c r="H659" s="131">
        <v>4</v>
      </c>
      <c r="I659" s="131">
        <v>1</v>
      </c>
      <c r="J659" s="133" t="s">
        <v>3090</v>
      </c>
      <c r="K659" s="133">
        <v>4</v>
      </c>
      <c r="L659" s="117">
        <v>77.400000000000006</v>
      </c>
      <c r="M659" s="133">
        <f t="shared" ref="M659:M853" si="29">L659-F659</f>
        <v>51.400000000000006</v>
      </c>
      <c r="N659" s="157"/>
      <c r="O659" s="158"/>
      <c r="P659" s="158"/>
      <c r="Q659" s="158"/>
      <c r="R659" s="158"/>
      <c r="S659" s="158"/>
      <c r="T659" s="158"/>
      <c r="U659" s="158"/>
      <c r="V659" s="158"/>
      <c r="W659" s="158"/>
      <c r="X659" s="158"/>
      <c r="Y659" s="158"/>
      <c r="Z659" s="158"/>
      <c r="AA659" s="158"/>
    </row>
    <row r="660" spans="1:27" ht="15.75" customHeight="1" x14ac:dyDescent="0.55000000000000004">
      <c r="A660" s="175">
        <v>111</v>
      </c>
      <c r="B660" s="175" t="s">
        <v>1612</v>
      </c>
      <c r="C660" s="175" t="s">
        <v>1613</v>
      </c>
      <c r="D660" s="176">
        <v>39906</v>
      </c>
      <c r="E660" s="120" t="s">
        <v>3091</v>
      </c>
      <c r="F660" s="131">
        <v>43</v>
      </c>
      <c r="G660" s="120">
        <v>0</v>
      </c>
      <c r="H660" s="131">
        <v>2</v>
      </c>
      <c r="I660" s="131">
        <v>1</v>
      </c>
      <c r="J660" s="133" t="s">
        <v>3090</v>
      </c>
      <c r="K660" s="133">
        <v>4</v>
      </c>
      <c r="L660" s="117">
        <v>67.099999999999994</v>
      </c>
      <c r="M660" s="133">
        <f t="shared" si="29"/>
        <v>24.099999999999994</v>
      </c>
      <c r="N660" s="157"/>
      <c r="O660" s="158"/>
      <c r="P660" s="158"/>
      <c r="Q660" s="158"/>
      <c r="R660" s="158"/>
      <c r="S660" s="158"/>
      <c r="T660" s="158"/>
      <c r="U660" s="158"/>
      <c r="V660" s="158"/>
      <c r="W660" s="158"/>
      <c r="X660" s="158"/>
      <c r="Y660" s="158"/>
      <c r="Z660" s="158"/>
      <c r="AA660" s="158"/>
    </row>
    <row r="661" spans="1:27" ht="15.75" customHeight="1" x14ac:dyDescent="0.55000000000000004">
      <c r="A661" s="175">
        <v>111</v>
      </c>
      <c r="B661" s="175" t="s">
        <v>1612</v>
      </c>
      <c r="C661" s="175" t="s">
        <v>1613</v>
      </c>
      <c r="D661" s="176">
        <v>39906</v>
      </c>
      <c r="E661" s="120" t="s">
        <v>3092</v>
      </c>
      <c r="F661" s="131">
        <v>46</v>
      </c>
      <c r="G661" s="120">
        <v>1</v>
      </c>
      <c r="H661" s="131">
        <v>1</v>
      </c>
      <c r="I661" s="131">
        <v>1</v>
      </c>
      <c r="J661" s="133" t="s">
        <v>3093</v>
      </c>
      <c r="K661" s="133">
        <v>4</v>
      </c>
      <c r="L661" s="117">
        <v>66.3</v>
      </c>
      <c r="M661" s="133">
        <f t="shared" si="29"/>
        <v>20.299999999999997</v>
      </c>
      <c r="N661" s="157"/>
      <c r="O661" s="158"/>
      <c r="P661" s="158"/>
      <c r="Q661" s="158"/>
      <c r="R661" s="158"/>
      <c r="S661" s="158"/>
      <c r="T661" s="158"/>
      <c r="U661" s="158"/>
      <c r="V661" s="158"/>
      <c r="W661" s="158"/>
      <c r="X661" s="158"/>
      <c r="Y661" s="158"/>
      <c r="Z661" s="158"/>
      <c r="AA661" s="158"/>
    </row>
    <row r="662" spans="1:27" ht="15.75" customHeight="1" x14ac:dyDescent="0.55000000000000004">
      <c r="A662" s="175">
        <v>111</v>
      </c>
      <c r="B662" s="175" t="s">
        <v>1612</v>
      </c>
      <c r="C662" s="175" t="s">
        <v>1613</v>
      </c>
      <c r="D662" s="176">
        <v>39906</v>
      </c>
      <c r="E662" s="120" t="s">
        <v>3094</v>
      </c>
      <c r="F662" s="131">
        <v>44</v>
      </c>
      <c r="G662" s="120">
        <v>0</v>
      </c>
      <c r="H662" s="131">
        <v>1</v>
      </c>
      <c r="I662" s="131">
        <v>1</v>
      </c>
      <c r="J662" s="133" t="s">
        <v>3090</v>
      </c>
      <c r="K662" s="133">
        <v>4</v>
      </c>
      <c r="L662" s="117">
        <v>60</v>
      </c>
      <c r="M662" s="133">
        <f t="shared" si="29"/>
        <v>16</v>
      </c>
      <c r="N662" s="157"/>
      <c r="O662" s="158"/>
      <c r="P662" s="158"/>
      <c r="Q662" s="158"/>
      <c r="R662" s="158"/>
      <c r="S662" s="158"/>
      <c r="T662" s="158"/>
      <c r="U662" s="158"/>
      <c r="V662" s="158"/>
      <c r="W662" s="158"/>
      <c r="X662" s="158"/>
      <c r="Y662" s="158"/>
      <c r="Z662" s="158"/>
      <c r="AA662" s="158"/>
    </row>
    <row r="663" spans="1:27" ht="15.75" customHeight="1" x14ac:dyDescent="0.55000000000000004">
      <c r="A663" s="175">
        <v>111</v>
      </c>
      <c r="B663" s="175" t="s">
        <v>1612</v>
      </c>
      <c r="C663" s="175" t="s">
        <v>1613</v>
      </c>
      <c r="D663" s="176">
        <v>39906</v>
      </c>
      <c r="E663" s="120" t="s">
        <v>3095</v>
      </c>
      <c r="F663" s="131">
        <v>47</v>
      </c>
      <c r="G663" s="120">
        <v>1</v>
      </c>
      <c r="H663" s="131">
        <v>3</v>
      </c>
      <c r="I663" s="131">
        <v>1</v>
      </c>
      <c r="J663" s="133" t="s">
        <v>3090</v>
      </c>
      <c r="K663" s="133">
        <v>4</v>
      </c>
      <c r="L663" s="117">
        <v>73.099999999999994</v>
      </c>
      <c r="M663" s="133">
        <f t="shared" si="29"/>
        <v>26.099999999999994</v>
      </c>
      <c r="N663" s="157"/>
      <c r="O663" s="158"/>
      <c r="P663" s="158"/>
      <c r="Q663" s="158"/>
      <c r="R663" s="158"/>
      <c r="S663" s="158"/>
      <c r="T663" s="158"/>
      <c r="U663" s="158"/>
      <c r="V663" s="158"/>
      <c r="W663" s="158"/>
      <c r="X663" s="158"/>
      <c r="Y663" s="158"/>
      <c r="Z663" s="158"/>
      <c r="AA663" s="158"/>
    </row>
    <row r="664" spans="1:27" ht="15.75" customHeight="1" x14ac:dyDescent="0.55000000000000004">
      <c r="A664" s="175">
        <v>111</v>
      </c>
      <c r="B664" s="175" t="s">
        <v>1612</v>
      </c>
      <c r="C664" s="175" t="s">
        <v>1613</v>
      </c>
      <c r="D664" s="176">
        <v>39906</v>
      </c>
      <c r="E664" s="120" t="s">
        <v>3096</v>
      </c>
      <c r="F664" s="131">
        <v>39</v>
      </c>
      <c r="G664" s="120">
        <v>1</v>
      </c>
      <c r="H664" s="131">
        <v>3</v>
      </c>
      <c r="I664" s="131">
        <v>1</v>
      </c>
      <c r="J664" s="133" t="s">
        <v>3097</v>
      </c>
      <c r="K664" s="133">
        <v>4</v>
      </c>
      <c r="L664" s="117">
        <v>74.7</v>
      </c>
      <c r="M664" s="133">
        <f t="shared" si="29"/>
        <v>35.700000000000003</v>
      </c>
      <c r="N664" s="157"/>
      <c r="O664" s="158"/>
      <c r="P664" s="158"/>
      <c r="Q664" s="158"/>
      <c r="R664" s="158"/>
      <c r="S664" s="158"/>
      <c r="T664" s="158"/>
      <c r="U664" s="158"/>
      <c r="V664" s="158"/>
      <c r="W664" s="158"/>
      <c r="X664" s="158"/>
      <c r="Y664" s="158"/>
      <c r="Z664" s="158"/>
      <c r="AA664" s="158"/>
    </row>
    <row r="665" spans="1:27" ht="15.75" customHeight="1" x14ac:dyDescent="0.55000000000000004">
      <c r="A665" s="175">
        <v>111</v>
      </c>
      <c r="B665" s="175" t="s">
        <v>1612</v>
      </c>
      <c r="C665" s="175" t="s">
        <v>1613</v>
      </c>
      <c r="D665" s="176">
        <v>39906</v>
      </c>
      <c r="E665" s="120" t="s">
        <v>3098</v>
      </c>
      <c r="F665" s="131">
        <v>57</v>
      </c>
      <c r="G665" s="120">
        <v>1</v>
      </c>
      <c r="H665" s="131">
        <v>4</v>
      </c>
      <c r="I665" s="131">
        <v>0</v>
      </c>
      <c r="J665" s="133" t="s">
        <v>853</v>
      </c>
      <c r="K665" s="133">
        <v>0</v>
      </c>
      <c r="L665" s="117">
        <v>71.099999999999994</v>
      </c>
      <c r="M665" s="133">
        <f t="shared" si="29"/>
        <v>14.099999999999994</v>
      </c>
      <c r="N665" s="157"/>
      <c r="O665" s="158"/>
      <c r="P665" s="158"/>
      <c r="Q665" s="158"/>
      <c r="R665" s="158"/>
      <c r="S665" s="158"/>
      <c r="T665" s="158"/>
      <c r="U665" s="158"/>
      <c r="V665" s="158"/>
      <c r="W665" s="158"/>
      <c r="X665" s="158"/>
      <c r="Y665" s="158"/>
      <c r="Z665" s="158"/>
      <c r="AA665" s="158"/>
    </row>
    <row r="666" spans="1:27" ht="15.75" customHeight="1" x14ac:dyDescent="0.55000000000000004">
      <c r="A666" s="175">
        <v>111</v>
      </c>
      <c r="B666" s="175" t="s">
        <v>1612</v>
      </c>
      <c r="C666" s="175" t="s">
        <v>1613</v>
      </c>
      <c r="D666" s="176">
        <v>39906</v>
      </c>
      <c r="E666" s="120" t="s">
        <v>3099</v>
      </c>
      <c r="F666" s="131">
        <v>72</v>
      </c>
      <c r="G666" s="120">
        <v>1</v>
      </c>
      <c r="H666" s="131">
        <v>0</v>
      </c>
      <c r="I666" s="131">
        <v>2</v>
      </c>
      <c r="J666" s="133" t="s">
        <v>3100</v>
      </c>
      <c r="K666" s="133">
        <v>5</v>
      </c>
      <c r="L666" s="117">
        <v>84.3</v>
      </c>
      <c r="M666" s="133">
        <f t="shared" si="29"/>
        <v>12.299999999999997</v>
      </c>
      <c r="N666" s="157"/>
      <c r="O666" s="158"/>
      <c r="P666" s="158"/>
      <c r="Q666" s="158"/>
      <c r="R666" s="158"/>
      <c r="S666" s="158"/>
      <c r="T666" s="158"/>
      <c r="U666" s="158"/>
      <c r="V666" s="158"/>
      <c r="W666" s="158"/>
      <c r="X666" s="158"/>
      <c r="Y666" s="158"/>
      <c r="Z666" s="158"/>
      <c r="AA666" s="158"/>
    </row>
    <row r="667" spans="1:27" ht="15.75" customHeight="1" x14ac:dyDescent="0.55000000000000004">
      <c r="A667" s="175">
        <v>111</v>
      </c>
      <c r="B667" s="175" t="s">
        <v>1612</v>
      </c>
      <c r="C667" s="175" t="s">
        <v>1613</v>
      </c>
      <c r="D667" s="176">
        <v>39906</v>
      </c>
      <c r="E667" s="120" t="s">
        <v>3101</v>
      </c>
      <c r="F667" s="131">
        <v>22</v>
      </c>
      <c r="G667" s="120">
        <v>1</v>
      </c>
      <c r="H667" s="131">
        <v>3</v>
      </c>
      <c r="I667" s="131">
        <v>1</v>
      </c>
      <c r="J667" s="133" t="s">
        <v>3090</v>
      </c>
      <c r="K667" s="133">
        <v>4</v>
      </c>
      <c r="L667" s="117">
        <v>78.8</v>
      </c>
      <c r="M667" s="133">
        <f t="shared" si="29"/>
        <v>56.8</v>
      </c>
      <c r="N667" s="157"/>
      <c r="O667" s="158"/>
      <c r="P667" s="158"/>
      <c r="Q667" s="158"/>
      <c r="R667" s="158"/>
      <c r="S667" s="158"/>
      <c r="T667" s="158"/>
      <c r="U667" s="158"/>
      <c r="V667" s="158"/>
      <c r="W667" s="158"/>
      <c r="X667" s="158"/>
      <c r="Y667" s="158"/>
      <c r="Z667" s="158"/>
      <c r="AA667" s="158"/>
    </row>
    <row r="668" spans="1:27" ht="15.75" customHeight="1" x14ac:dyDescent="0.55000000000000004">
      <c r="A668" s="175">
        <v>111</v>
      </c>
      <c r="B668" s="175" t="s">
        <v>1612</v>
      </c>
      <c r="C668" s="175" t="s">
        <v>1613</v>
      </c>
      <c r="D668" s="176">
        <v>39906</v>
      </c>
      <c r="E668" s="120" t="s">
        <v>3102</v>
      </c>
      <c r="F668" s="131">
        <v>35</v>
      </c>
      <c r="G668" s="120">
        <v>1</v>
      </c>
      <c r="H668" s="131">
        <v>3</v>
      </c>
      <c r="I668" s="131">
        <v>1</v>
      </c>
      <c r="J668" s="133" t="s">
        <v>3090</v>
      </c>
      <c r="K668" s="133">
        <v>4</v>
      </c>
      <c r="L668" s="117">
        <v>76.599999999999994</v>
      </c>
      <c r="M668" s="133">
        <f t="shared" si="29"/>
        <v>41.599999999999994</v>
      </c>
      <c r="N668" s="157"/>
      <c r="O668" s="158"/>
      <c r="P668" s="158"/>
      <c r="Q668" s="158"/>
      <c r="R668" s="158"/>
      <c r="S668" s="158"/>
      <c r="T668" s="158"/>
      <c r="U668" s="158"/>
      <c r="V668" s="158"/>
      <c r="W668" s="158"/>
      <c r="X668" s="158"/>
      <c r="Y668" s="158"/>
      <c r="Z668" s="158"/>
      <c r="AA668" s="158"/>
    </row>
    <row r="669" spans="1:27" ht="15.75" customHeight="1" x14ac:dyDescent="0.55000000000000004">
      <c r="A669" s="175">
        <v>111</v>
      </c>
      <c r="B669" s="175" t="s">
        <v>1612</v>
      </c>
      <c r="C669" s="175" t="s">
        <v>1613</v>
      </c>
      <c r="D669" s="176">
        <v>39906</v>
      </c>
      <c r="E669" s="120" t="s">
        <v>3103</v>
      </c>
      <c r="F669" s="131">
        <v>53</v>
      </c>
      <c r="G669" s="120">
        <v>1</v>
      </c>
      <c r="H669" s="131">
        <v>3</v>
      </c>
      <c r="I669" s="131">
        <v>1</v>
      </c>
      <c r="J669" s="133" t="s">
        <v>3090</v>
      </c>
      <c r="K669" s="133">
        <v>4</v>
      </c>
      <c r="L669" s="117">
        <v>73.099999999999994</v>
      </c>
      <c r="M669" s="133">
        <f t="shared" si="29"/>
        <v>20.099999999999994</v>
      </c>
      <c r="N669" s="157"/>
      <c r="O669" s="158"/>
      <c r="P669" s="158"/>
      <c r="Q669" s="158"/>
      <c r="R669" s="158"/>
      <c r="S669" s="158"/>
      <c r="T669" s="158"/>
      <c r="U669" s="158"/>
      <c r="V669" s="158"/>
      <c r="W669" s="158"/>
      <c r="X669" s="158"/>
      <c r="Y669" s="158"/>
      <c r="Z669" s="158"/>
      <c r="AA669" s="158"/>
    </row>
    <row r="670" spans="1:27" ht="15.75" customHeight="1" x14ac:dyDescent="0.55000000000000004">
      <c r="A670" s="175">
        <v>111</v>
      </c>
      <c r="B670" s="175" t="s">
        <v>1612</v>
      </c>
      <c r="C670" s="175" t="s">
        <v>1613</v>
      </c>
      <c r="D670" s="176">
        <v>39906</v>
      </c>
      <c r="E670" s="120" t="s">
        <v>3104</v>
      </c>
      <c r="F670" s="131">
        <v>54</v>
      </c>
      <c r="G670" s="120">
        <v>1</v>
      </c>
      <c r="H670" s="131">
        <v>3</v>
      </c>
      <c r="I670" s="131">
        <v>1</v>
      </c>
      <c r="J670" s="133" t="s">
        <v>3090</v>
      </c>
      <c r="K670" s="133">
        <v>4</v>
      </c>
      <c r="L670" s="117">
        <v>73.099999999999994</v>
      </c>
      <c r="M670" s="133">
        <f t="shared" si="29"/>
        <v>19.099999999999994</v>
      </c>
      <c r="N670" s="157"/>
      <c r="O670" s="158"/>
      <c r="P670" s="158"/>
      <c r="Q670" s="158"/>
      <c r="R670" s="158"/>
      <c r="S670" s="158"/>
      <c r="T670" s="158"/>
      <c r="U670" s="158"/>
      <c r="V670" s="158"/>
      <c r="W670" s="158"/>
      <c r="X670" s="158"/>
      <c r="Y670" s="158"/>
      <c r="Z670" s="158"/>
      <c r="AA670" s="158"/>
    </row>
    <row r="671" spans="1:27" ht="15.75" customHeight="1" x14ac:dyDescent="0.55000000000000004">
      <c r="A671" s="175">
        <v>111</v>
      </c>
      <c r="B671" s="175" t="s">
        <v>1612</v>
      </c>
      <c r="C671" s="175" t="s">
        <v>1613</v>
      </c>
      <c r="D671" s="176">
        <v>39906</v>
      </c>
      <c r="E671" s="120" t="s">
        <v>3105</v>
      </c>
      <c r="F671" s="131">
        <v>60</v>
      </c>
      <c r="G671" s="120">
        <v>1</v>
      </c>
      <c r="H671" s="131">
        <v>0</v>
      </c>
      <c r="I671" s="131">
        <v>2</v>
      </c>
      <c r="J671" s="133" t="s">
        <v>3100</v>
      </c>
      <c r="K671" s="133">
        <v>5</v>
      </c>
      <c r="L671" s="117">
        <v>72.2</v>
      </c>
      <c r="M671" s="133">
        <f t="shared" si="29"/>
        <v>12.200000000000003</v>
      </c>
      <c r="N671" s="157"/>
      <c r="O671" s="158"/>
      <c r="P671" s="158"/>
      <c r="Q671" s="158"/>
      <c r="R671" s="158"/>
      <c r="S671" s="158"/>
      <c r="T671" s="158"/>
      <c r="U671" s="158"/>
      <c r="V671" s="158"/>
      <c r="W671" s="158"/>
      <c r="X671" s="158"/>
      <c r="Y671" s="158"/>
      <c r="Z671" s="158"/>
      <c r="AA671" s="158"/>
    </row>
    <row r="672" spans="1:27" ht="15.75" customHeight="1" x14ac:dyDescent="0.55000000000000004">
      <c r="A672" s="159">
        <v>112</v>
      </c>
      <c r="B672" s="159" t="s">
        <v>1619</v>
      </c>
      <c r="C672" s="159" t="s">
        <v>1620</v>
      </c>
      <c r="D672" s="160">
        <v>40118</v>
      </c>
      <c r="E672" s="120" t="s">
        <v>3106</v>
      </c>
      <c r="F672" s="131">
        <v>21</v>
      </c>
      <c r="G672" s="120">
        <v>0</v>
      </c>
      <c r="H672" s="120">
        <v>2</v>
      </c>
      <c r="I672" s="120">
        <v>1</v>
      </c>
      <c r="J672" s="133" t="s">
        <v>3107</v>
      </c>
      <c r="K672" s="133">
        <v>5</v>
      </c>
      <c r="L672" s="117">
        <v>71.8</v>
      </c>
      <c r="M672" s="133">
        <f t="shared" si="29"/>
        <v>50.8</v>
      </c>
      <c r="N672" s="157"/>
      <c r="O672" s="158"/>
      <c r="P672" s="158"/>
      <c r="Q672" s="158"/>
      <c r="R672" s="158"/>
      <c r="S672" s="158"/>
      <c r="T672" s="158"/>
      <c r="U672" s="158"/>
      <c r="V672" s="158"/>
      <c r="W672" s="158"/>
      <c r="X672" s="158"/>
      <c r="Y672" s="158"/>
      <c r="Z672" s="158"/>
      <c r="AA672" s="158"/>
    </row>
    <row r="673" spans="1:27" ht="15.75" customHeight="1" x14ac:dyDescent="0.55000000000000004">
      <c r="A673" s="159">
        <v>112</v>
      </c>
      <c r="B673" s="159" t="s">
        <v>1619</v>
      </c>
      <c r="C673" s="159" t="s">
        <v>1620</v>
      </c>
      <c r="D673" s="160">
        <v>40118</v>
      </c>
      <c r="E673" s="120" t="s">
        <v>3108</v>
      </c>
      <c r="F673" s="131">
        <v>26</v>
      </c>
      <c r="G673" s="120">
        <v>0</v>
      </c>
      <c r="H673" s="120">
        <v>2</v>
      </c>
      <c r="I673" s="120">
        <v>1</v>
      </c>
      <c r="J673" s="133" t="s">
        <v>3107</v>
      </c>
      <c r="K673" s="133">
        <v>5</v>
      </c>
      <c r="L673" s="117">
        <v>70</v>
      </c>
      <c r="M673" s="133">
        <f t="shared" si="29"/>
        <v>44</v>
      </c>
      <c r="N673" s="157"/>
      <c r="O673" s="158"/>
      <c r="P673" s="158"/>
      <c r="Q673" s="158"/>
      <c r="R673" s="158"/>
      <c r="S673" s="158"/>
      <c r="T673" s="158"/>
      <c r="U673" s="158"/>
      <c r="V673" s="158"/>
      <c r="W673" s="158"/>
      <c r="X673" s="158"/>
      <c r="Y673" s="158"/>
      <c r="Z673" s="158"/>
      <c r="AA673" s="158"/>
    </row>
    <row r="674" spans="1:27" ht="15.75" customHeight="1" x14ac:dyDescent="0.55000000000000004">
      <c r="A674" s="159">
        <v>112</v>
      </c>
      <c r="B674" s="159" t="s">
        <v>1619</v>
      </c>
      <c r="C674" s="159" t="s">
        <v>1620</v>
      </c>
      <c r="D674" s="160">
        <v>40118</v>
      </c>
      <c r="E674" s="120" t="s">
        <v>3109</v>
      </c>
      <c r="F674" s="131">
        <v>22</v>
      </c>
      <c r="G674" s="120">
        <v>0</v>
      </c>
      <c r="H674" s="120">
        <v>2</v>
      </c>
      <c r="I674" s="120">
        <v>1</v>
      </c>
      <c r="J674" s="133" t="s">
        <v>3107</v>
      </c>
      <c r="K674" s="133">
        <v>5</v>
      </c>
      <c r="L674" s="117">
        <v>71.8</v>
      </c>
      <c r="M674" s="133">
        <f t="shared" si="29"/>
        <v>49.8</v>
      </c>
      <c r="N674" s="157"/>
      <c r="O674" s="158"/>
      <c r="P674" s="158"/>
      <c r="Q674" s="158"/>
      <c r="R674" s="158"/>
      <c r="S674" s="158"/>
      <c r="T674" s="158"/>
      <c r="U674" s="158"/>
      <c r="V674" s="158"/>
      <c r="W674" s="158"/>
      <c r="X674" s="158"/>
      <c r="Y674" s="158"/>
      <c r="Z674" s="158"/>
      <c r="AA674" s="158"/>
    </row>
    <row r="675" spans="1:27" ht="15.75" customHeight="1" x14ac:dyDescent="0.55000000000000004">
      <c r="A675" s="159">
        <v>112</v>
      </c>
      <c r="B675" s="159" t="s">
        <v>1619</v>
      </c>
      <c r="C675" s="159" t="s">
        <v>1620</v>
      </c>
      <c r="D675" s="160">
        <v>40118</v>
      </c>
      <c r="E675" s="120" t="s">
        <v>3110</v>
      </c>
      <c r="F675" s="131">
        <v>21</v>
      </c>
      <c r="G675" s="120">
        <v>0</v>
      </c>
      <c r="H675" s="120">
        <v>2</v>
      </c>
      <c r="I675" s="120">
        <v>1</v>
      </c>
      <c r="J675" s="133" t="s">
        <v>3107</v>
      </c>
      <c r="K675" s="133">
        <v>5</v>
      </c>
      <c r="L675" s="117">
        <v>71.8</v>
      </c>
      <c r="M675" s="133">
        <f t="shared" si="29"/>
        <v>50.8</v>
      </c>
      <c r="N675" s="157"/>
      <c r="O675" s="158"/>
      <c r="P675" s="158"/>
      <c r="Q675" s="158"/>
      <c r="R675" s="158"/>
      <c r="S675" s="158"/>
      <c r="T675" s="158"/>
      <c r="U675" s="158"/>
      <c r="V675" s="158"/>
      <c r="W675" s="158"/>
      <c r="X675" s="158"/>
      <c r="Y675" s="158"/>
      <c r="Z675" s="158"/>
      <c r="AA675" s="158"/>
    </row>
    <row r="676" spans="1:27" ht="15.75" customHeight="1" x14ac:dyDescent="0.55000000000000004">
      <c r="A676" s="162">
        <v>113</v>
      </c>
      <c r="B676" s="162" t="s">
        <v>1623</v>
      </c>
      <c r="C676" s="162" t="s">
        <v>1624</v>
      </c>
      <c r="D676" s="163">
        <v>40122</v>
      </c>
      <c r="E676" s="120" t="s">
        <v>3111</v>
      </c>
      <c r="F676" s="131">
        <v>62</v>
      </c>
      <c r="G676" s="120">
        <v>0</v>
      </c>
      <c r="H676" s="120">
        <v>0</v>
      </c>
      <c r="I676" s="120">
        <v>2</v>
      </c>
      <c r="J676" s="133" t="s">
        <v>3112</v>
      </c>
      <c r="K676" s="133">
        <v>5</v>
      </c>
      <c r="L676" s="117">
        <v>66.5</v>
      </c>
      <c r="M676" s="133">
        <f t="shared" si="29"/>
        <v>4.5</v>
      </c>
      <c r="N676" s="157"/>
      <c r="O676" s="158"/>
      <c r="P676" s="158"/>
      <c r="Q676" s="158"/>
      <c r="R676" s="158"/>
      <c r="S676" s="158"/>
      <c r="T676" s="158"/>
      <c r="U676" s="158"/>
      <c r="V676" s="158"/>
      <c r="W676" s="158"/>
      <c r="X676" s="158"/>
      <c r="Y676" s="158"/>
      <c r="Z676" s="158"/>
      <c r="AA676" s="158"/>
    </row>
    <row r="677" spans="1:27" ht="15.75" customHeight="1" x14ac:dyDescent="0.55000000000000004">
      <c r="A677" s="162">
        <v>113</v>
      </c>
      <c r="B677" s="162" t="s">
        <v>1623</v>
      </c>
      <c r="C677" s="162" t="s">
        <v>1624</v>
      </c>
      <c r="D677" s="163">
        <v>40122</v>
      </c>
      <c r="E677" s="120" t="s">
        <v>3113</v>
      </c>
      <c r="F677" s="131">
        <v>52</v>
      </c>
      <c r="G677" s="120">
        <v>0</v>
      </c>
      <c r="H677" s="120">
        <v>2</v>
      </c>
      <c r="I677" s="120">
        <v>0</v>
      </c>
      <c r="J677" s="133" t="s">
        <v>3114</v>
      </c>
      <c r="K677" s="133">
        <v>5</v>
      </c>
      <c r="L677" s="117">
        <v>66.599999999999994</v>
      </c>
      <c r="M677" s="133">
        <f t="shared" si="29"/>
        <v>14.599999999999994</v>
      </c>
      <c r="N677" s="157"/>
      <c r="O677" s="158"/>
      <c r="P677" s="158"/>
      <c r="Q677" s="158"/>
      <c r="R677" s="158"/>
      <c r="S677" s="158"/>
      <c r="T677" s="158"/>
      <c r="U677" s="158"/>
      <c r="V677" s="158"/>
      <c r="W677" s="158"/>
      <c r="X677" s="158"/>
      <c r="Y677" s="158"/>
      <c r="Z677" s="158"/>
      <c r="AA677" s="158"/>
    </row>
    <row r="678" spans="1:27" ht="15.75" customHeight="1" x14ac:dyDescent="0.55000000000000004">
      <c r="A678" s="162">
        <v>113</v>
      </c>
      <c r="B678" s="162" t="s">
        <v>1623</v>
      </c>
      <c r="C678" s="162" t="s">
        <v>1624</v>
      </c>
      <c r="D678" s="163">
        <v>40122</v>
      </c>
      <c r="E678" s="120" t="s">
        <v>3115</v>
      </c>
      <c r="F678" s="131">
        <v>32</v>
      </c>
      <c r="G678" s="120">
        <v>0</v>
      </c>
      <c r="H678" s="120">
        <v>0</v>
      </c>
      <c r="I678" s="120">
        <v>2</v>
      </c>
      <c r="J678" s="133" t="s">
        <v>3116</v>
      </c>
      <c r="K678" s="133">
        <v>5</v>
      </c>
      <c r="L678" s="117">
        <v>69.5</v>
      </c>
      <c r="M678" s="133">
        <f t="shared" si="29"/>
        <v>37.5</v>
      </c>
      <c r="N678" s="157"/>
      <c r="O678" s="158"/>
      <c r="P678" s="158"/>
      <c r="Q678" s="158"/>
      <c r="R678" s="158"/>
      <c r="S678" s="158"/>
      <c r="T678" s="158"/>
      <c r="U678" s="158"/>
      <c r="V678" s="158"/>
      <c r="W678" s="158"/>
      <c r="X678" s="158"/>
      <c r="Y678" s="158"/>
      <c r="Z678" s="158"/>
      <c r="AA678" s="158"/>
    </row>
    <row r="679" spans="1:27" ht="15.75" customHeight="1" x14ac:dyDescent="0.55000000000000004">
      <c r="A679" s="162">
        <v>113</v>
      </c>
      <c r="B679" s="162" t="s">
        <v>1623</v>
      </c>
      <c r="C679" s="162" t="s">
        <v>1624</v>
      </c>
      <c r="D679" s="163">
        <v>40122</v>
      </c>
      <c r="E679" s="120" t="s">
        <v>3117</v>
      </c>
      <c r="F679" s="131">
        <v>56</v>
      </c>
      <c r="G679" s="120">
        <v>0</v>
      </c>
      <c r="H679" s="131">
        <v>0</v>
      </c>
      <c r="I679" s="120">
        <v>0</v>
      </c>
      <c r="J679" s="133" t="s">
        <v>3114</v>
      </c>
      <c r="K679" s="133">
        <v>5</v>
      </c>
      <c r="L679" s="117">
        <v>66.5</v>
      </c>
      <c r="M679" s="133">
        <f t="shared" si="29"/>
        <v>10.5</v>
      </c>
      <c r="N679" s="157"/>
      <c r="O679" s="158"/>
      <c r="P679" s="158"/>
      <c r="Q679" s="158"/>
      <c r="R679" s="158"/>
      <c r="S679" s="158"/>
      <c r="T679" s="158"/>
      <c r="U679" s="158"/>
      <c r="V679" s="158"/>
      <c r="W679" s="158"/>
      <c r="X679" s="158"/>
      <c r="Y679" s="158"/>
      <c r="Z679" s="158"/>
      <c r="AA679" s="158"/>
    </row>
    <row r="680" spans="1:27" ht="15.75" customHeight="1" x14ac:dyDescent="0.55000000000000004">
      <c r="A680" s="162">
        <v>113</v>
      </c>
      <c r="B680" s="162" t="s">
        <v>1623</v>
      </c>
      <c r="C680" s="162" t="s">
        <v>1624</v>
      </c>
      <c r="D680" s="163">
        <v>40122</v>
      </c>
      <c r="E680" s="120" t="s">
        <v>3118</v>
      </c>
      <c r="F680" s="131">
        <v>29</v>
      </c>
      <c r="G680" s="120">
        <v>0</v>
      </c>
      <c r="H680" s="120">
        <v>0</v>
      </c>
      <c r="I680" s="120">
        <v>2</v>
      </c>
      <c r="J680" s="133" t="s">
        <v>3116</v>
      </c>
      <c r="K680" s="133">
        <v>5</v>
      </c>
      <c r="L680" s="117">
        <v>70.7</v>
      </c>
      <c r="M680" s="133">
        <f t="shared" si="29"/>
        <v>41.7</v>
      </c>
      <c r="N680" s="157"/>
      <c r="O680" s="158"/>
      <c r="P680" s="158"/>
      <c r="Q680" s="158"/>
      <c r="R680" s="158"/>
      <c r="S680" s="158"/>
      <c r="T680" s="158"/>
      <c r="U680" s="158"/>
      <c r="V680" s="158"/>
      <c r="W680" s="158"/>
      <c r="X680" s="158"/>
      <c r="Y680" s="158"/>
      <c r="Z680" s="158"/>
      <c r="AA680" s="158"/>
    </row>
    <row r="681" spans="1:27" ht="15.75" customHeight="1" x14ac:dyDescent="0.55000000000000004">
      <c r="A681" s="162">
        <v>113</v>
      </c>
      <c r="B681" s="162" t="s">
        <v>1623</v>
      </c>
      <c r="C681" s="162" t="s">
        <v>1624</v>
      </c>
      <c r="D681" s="163">
        <v>40122</v>
      </c>
      <c r="E681" s="120" t="s">
        <v>3119</v>
      </c>
      <c r="F681" s="131">
        <v>22</v>
      </c>
      <c r="G681" s="120">
        <v>0</v>
      </c>
      <c r="H681" s="120">
        <v>0</v>
      </c>
      <c r="I681" s="120">
        <v>2</v>
      </c>
      <c r="J681" s="133" t="s">
        <v>3116</v>
      </c>
      <c r="K681" s="133">
        <v>5</v>
      </c>
      <c r="L681" s="117">
        <v>72.7</v>
      </c>
      <c r="M681" s="133">
        <f t="shared" si="29"/>
        <v>50.7</v>
      </c>
      <c r="N681" s="157"/>
      <c r="O681" s="158"/>
      <c r="P681" s="158"/>
      <c r="Q681" s="158"/>
      <c r="R681" s="158"/>
      <c r="S681" s="158"/>
      <c r="T681" s="158"/>
      <c r="U681" s="158"/>
      <c r="V681" s="158"/>
      <c r="W681" s="158"/>
      <c r="X681" s="158"/>
      <c r="Y681" s="158"/>
      <c r="Z681" s="158"/>
      <c r="AA681" s="158"/>
    </row>
    <row r="682" spans="1:27" ht="15.75" customHeight="1" x14ac:dyDescent="0.55000000000000004">
      <c r="A682" s="162">
        <v>113</v>
      </c>
      <c r="B682" s="162" t="s">
        <v>1623</v>
      </c>
      <c r="C682" s="162" t="s">
        <v>1624</v>
      </c>
      <c r="D682" s="163">
        <v>40122</v>
      </c>
      <c r="E682" s="120" t="s">
        <v>3120</v>
      </c>
      <c r="F682" s="131">
        <v>29</v>
      </c>
      <c r="G682" s="120">
        <v>1</v>
      </c>
      <c r="H682" s="120">
        <v>0</v>
      </c>
      <c r="I682" s="120">
        <v>0</v>
      </c>
      <c r="J682" s="133" t="s">
        <v>3121</v>
      </c>
      <c r="K682" s="133">
        <v>5</v>
      </c>
      <c r="L682" s="117">
        <v>78.099999999999994</v>
      </c>
      <c r="M682" s="133">
        <f t="shared" si="29"/>
        <v>49.099999999999994</v>
      </c>
      <c r="N682" s="157"/>
      <c r="O682" s="158"/>
      <c r="P682" s="158"/>
      <c r="Q682" s="158"/>
      <c r="R682" s="158"/>
      <c r="S682" s="158"/>
      <c r="T682" s="158"/>
      <c r="U682" s="158"/>
      <c r="V682" s="158"/>
      <c r="W682" s="158"/>
      <c r="X682" s="158"/>
      <c r="Y682" s="158"/>
      <c r="Z682" s="158"/>
      <c r="AA682" s="158"/>
    </row>
    <row r="683" spans="1:27" ht="15.75" customHeight="1" x14ac:dyDescent="0.55000000000000004">
      <c r="A683" s="162">
        <v>113</v>
      </c>
      <c r="B683" s="162" t="s">
        <v>1623</v>
      </c>
      <c r="C683" s="162" t="s">
        <v>1624</v>
      </c>
      <c r="D683" s="163">
        <v>40122</v>
      </c>
      <c r="E683" s="120" t="s">
        <v>3122</v>
      </c>
      <c r="F683" s="131">
        <v>19</v>
      </c>
      <c r="G683" s="120">
        <v>0</v>
      </c>
      <c r="H683" s="120">
        <v>0</v>
      </c>
      <c r="I683" s="120">
        <v>2</v>
      </c>
      <c r="J683" s="133" t="s">
        <v>3116</v>
      </c>
      <c r="K683" s="133">
        <v>5</v>
      </c>
      <c r="L683" s="117">
        <v>72.7</v>
      </c>
      <c r="M683" s="133">
        <f t="shared" si="29"/>
        <v>53.7</v>
      </c>
      <c r="N683" s="157"/>
      <c r="O683" s="158"/>
      <c r="P683" s="158"/>
      <c r="Q683" s="158"/>
      <c r="R683" s="158"/>
      <c r="S683" s="158"/>
      <c r="T683" s="158"/>
      <c r="U683" s="158"/>
      <c r="V683" s="158"/>
      <c r="W683" s="158"/>
      <c r="X683" s="158"/>
      <c r="Y683" s="158"/>
      <c r="Z683" s="158"/>
      <c r="AA683" s="158"/>
    </row>
    <row r="684" spans="1:27" ht="15.75" customHeight="1" x14ac:dyDescent="0.55000000000000004">
      <c r="A684" s="162">
        <v>113</v>
      </c>
      <c r="B684" s="162" t="s">
        <v>1623</v>
      </c>
      <c r="C684" s="162" t="s">
        <v>1624</v>
      </c>
      <c r="D684" s="163">
        <v>40122</v>
      </c>
      <c r="E684" s="120" t="s">
        <v>3123</v>
      </c>
      <c r="F684" s="131">
        <v>22</v>
      </c>
      <c r="G684" s="120">
        <v>0</v>
      </c>
      <c r="H684" s="120">
        <v>0</v>
      </c>
      <c r="I684" s="120">
        <v>2</v>
      </c>
      <c r="J684" s="133" t="s">
        <v>3116</v>
      </c>
      <c r="K684" s="133">
        <v>5</v>
      </c>
      <c r="L684" s="117">
        <v>72.7</v>
      </c>
      <c r="M684" s="133">
        <f t="shared" si="29"/>
        <v>50.7</v>
      </c>
      <c r="N684" s="157"/>
      <c r="O684" s="158"/>
      <c r="P684" s="158"/>
      <c r="Q684" s="158"/>
      <c r="R684" s="158"/>
      <c r="S684" s="158"/>
      <c r="T684" s="158"/>
      <c r="U684" s="158"/>
      <c r="V684" s="158"/>
      <c r="W684" s="158"/>
      <c r="X684" s="158"/>
      <c r="Y684" s="158"/>
      <c r="Z684" s="158"/>
      <c r="AA684" s="158"/>
    </row>
    <row r="685" spans="1:27" ht="15.75" customHeight="1" x14ac:dyDescent="0.55000000000000004">
      <c r="A685" s="162">
        <v>113</v>
      </c>
      <c r="B685" s="162" t="s">
        <v>1623</v>
      </c>
      <c r="C685" s="162" t="s">
        <v>1624</v>
      </c>
      <c r="D685" s="163">
        <v>40122</v>
      </c>
      <c r="E685" s="120" t="s">
        <v>3124</v>
      </c>
      <c r="F685" s="131">
        <v>51</v>
      </c>
      <c r="G685" s="120">
        <v>0</v>
      </c>
      <c r="H685" s="120">
        <v>0</v>
      </c>
      <c r="I685" s="120">
        <v>2</v>
      </c>
      <c r="J685" s="133" t="s">
        <v>3125</v>
      </c>
      <c r="K685" s="133">
        <v>5</v>
      </c>
      <c r="L685" s="117">
        <v>67.400000000000006</v>
      </c>
      <c r="M685" s="133">
        <f t="shared" si="29"/>
        <v>16.400000000000006</v>
      </c>
      <c r="N685" s="157"/>
      <c r="O685" s="158"/>
      <c r="P685" s="158"/>
      <c r="Q685" s="158"/>
      <c r="R685" s="158"/>
      <c r="S685" s="158"/>
      <c r="T685" s="158"/>
      <c r="U685" s="158"/>
      <c r="V685" s="158"/>
      <c r="W685" s="158"/>
      <c r="X685" s="158"/>
      <c r="Y685" s="158"/>
      <c r="Z685" s="158"/>
      <c r="AA685" s="158"/>
    </row>
    <row r="686" spans="1:27" ht="15.75" customHeight="1" x14ac:dyDescent="0.55000000000000004">
      <c r="A686" s="162">
        <v>113</v>
      </c>
      <c r="B686" s="162" t="s">
        <v>1623</v>
      </c>
      <c r="C686" s="162" t="s">
        <v>1624</v>
      </c>
      <c r="D686" s="163">
        <v>40122</v>
      </c>
      <c r="E686" s="120" t="s">
        <v>3126</v>
      </c>
      <c r="F686" s="131">
        <v>21</v>
      </c>
      <c r="G686" s="120">
        <v>1</v>
      </c>
      <c r="H686" s="120">
        <v>2</v>
      </c>
      <c r="I686" s="120">
        <v>2</v>
      </c>
      <c r="J686" s="133" t="s">
        <v>3116</v>
      </c>
      <c r="K686" s="133">
        <v>5</v>
      </c>
      <c r="L686" s="117">
        <v>78.8</v>
      </c>
      <c r="M686" s="133">
        <f t="shared" si="29"/>
        <v>57.8</v>
      </c>
      <c r="N686" s="157"/>
      <c r="O686" s="158"/>
      <c r="P686" s="158"/>
      <c r="Q686" s="158"/>
      <c r="R686" s="158"/>
      <c r="S686" s="158"/>
      <c r="T686" s="158"/>
      <c r="U686" s="158"/>
      <c r="V686" s="158"/>
      <c r="W686" s="158"/>
      <c r="X686" s="158"/>
      <c r="Y686" s="158"/>
      <c r="Z686" s="158"/>
      <c r="AA686" s="158"/>
    </row>
    <row r="687" spans="1:27" ht="15.75" customHeight="1" x14ac:dyDescent="0.55000000000000004">
      <c r="A687" s="162">
        <v>113</v>
      </c>
      <c r="B687" s="162" t="s">
        <v>1623</v>
      </c>
      <c r="C687" s="162" t="s">
        <v>1624</v>
      </c>
      <c r="D687" s="163">
        <v>40122</v>
      </c>
      <c r="E687" s="120" t="s">
        <v>3127</v>
      </c>
      <c r="F687" s="131">
        <v>55</v>
      </c>
      <c r="G687" s="120">
        <v>1</v>
      </c>
      <c r="H687" s="120">
        <v>0</v>
      </c>
      <c r="I687" s="120">
        <v>2</v>
      </c>
      <c r="J687" s="133" t="s">
        <v>3112</v>
      </c>
      <c r="K687" s="133">
        <v>5</v>
      </c>
      <c r="L687" s="117">
        <v>72.2</v>
      </c>
      <c r="M687" s="133">
        <f t="shared" si="29"/>
        <v>17.200000000000003</v>
      </c>
      <c r="N687" s="157"/>
      <c r="O687" s="158"/>
      <c r="P687" s="158"/>
      <c r="Q687" s="158"/>
      <c r="R687" s="158"/>
      <c r="S687" s="158"/>
      <c r="T687" s="158"/>
      <c r="U687" s="158"/>
      <c r="V687" s="158"/>
      <c r="W687" s="158"/>
      <c r="X687" s="158"/>
      <c r="Y687" s="158"/>
      <c r="Z687" s="158"/>
      <c r="AA687" s="158"/>
    </row>
    <row r="688" spans="1:27" ht="15.75" customHeight="1" x14ac:dyDescent="0.55000000000000004">
      <c r="A688" s="162">
        <v>113</v>
      </c>
      <c r="B688" s="162" t="s">
        <v>1623</v>
      </c>
      <c r="C688" s="162" t="s">
        <v>1624</v>
      </c>
      <c r="D688" s="163">
        <v>40122</v>
      </c>
      <c r="E688" s="120" t="s">
        <v>3128</v>
      </c>
      <c r="F688" s="131">
        <v>23</v>
      </c>
      <c r="G688" s="120">
        <v>1</v>
      </c>
      <c r="H688" s="120">
        <v>3</v>
      </c>
      <c r="I688" s="120">
        <v>2</v>
      </c>
      <c r="J688" s="133" t="s">
        <v>3116</v>
      </c>
      <c r="K688" s="133">
        <v>5</v>
      </c>
      <c r="L688" s="117">
        <v>78.8</v>
      </c>
      <c r="M688" s="133">
        <f t="shared" si="29"/>
        <v>55.8</v>
      </c>
      <c r="N688" s="157"/>
      <c r="O688" s="158"/>
      <c r="P688" s="158"/>
      <c r="Q688" s="158"/>
      <c r="R688" s="158"/>
      <c r="S688" s="158"/>
      <c r="T688" s="158"/>
      <c r="U688" s="158"/>
      <c r="V688" s="158"/>
      <c r="W688" s="158"/>
      <c r="X688" s="158"/>
      <c r="Y688" s="158"/>
      <c r="Z688" s="158"/>
      <c r="AA688" s="158"/>
    </row>
    <row r="689" spans="1:27" ht="15.75" customHeight="1" x14ac:dyDescent="0.55000000000000004">
      <c r="A689" s="164">
        <v>114</v>
      </c>
      <c r="B689" s="164" t="s">
        <v>1630</v>
      </c>
      <c r="C689" s="164" t="s">
        <v>1631</v>
      </c>
      <c r="D689" s="165">
        <v>40146</v>
      </c>
      <c r="E689" s="120" t="s">
        <v>3129</v>
      </c>
      <c r="F689" s="131">
        <v>40</v>
      </c>
      <c r="G689" s="120">
        <v>1</v>
      </c>
      <c r="H689" s="120">
        <v>0</v>
      </c>
      <c r="I689" s="120">
        <v>0</v>
      </c>
      <c r="J689" s="133" t="s">
        <v>853</v>
      </c>
      <c r="K689" s="133">
        <v>0</v>
      </c>
      <c r="L689" s="117">
        <v>75.599999999999994</v>
      </c>
      <c r="M689" s="133">
        <f t="shared" si="29"/>
        <v>35.599999999999994</v>
      </c>
      <c r="N689" s="157"/>
      <c r="O689" s="158"/>
      <c r="P689" s="158"/>
      <c r="Q689" s="158"/>
      <c r="R689" s="158"/>
      <c r="S689" s="158"/>
      <c r="T689" s="158"/>
      <c r="U689" s="158"/>
      <c r="V689" s="158"/>
      <c r="W689" s="158"/>
      <c r="X689" s="158"/>
      <c r="Y689" s="158"/>
      <c r="Z689" s="158"/>
      <c r="AA689" s="158"/>
    </row>
    <row r="690" spans="1:27" ht="15.75" customHeight="1" x14ac:dyDescent="0.55000000000000004">
      <c r="A690" s="164">
        <v>114</v>
      </c>
      <c r="B690" s="164" t="s">
        <v>1630</v>
      </c>
      <c r="C690" s="164" t="s">
        <v>1631</v>
      </c>
      <c r="D690" s="165">
        <v>40146</v>
      </c>
      <c r="E690" s="120" t="s">
        <v>3130</v>
      </c>
      <c r="F690" s="131">
        <v>37</v>
      </c>
      <c r="G690" s="120">
        <v>0</v>
      </c>
      <c r="H690" s="120">
        <v>0</v>
      </c>
      <c r="I690" s="120">
        <v>0</v>
      </c>
      <c r="J690" s="133" t="s">
        <v>853</v>
      </c>
      <c r="K690" s="133">
        <v>0</v>
      </c>
      <c r="L690" s="117">
        <v>68</v>
      </c>
      <c r="M690" s="133">
        <f t="shared" si="29"/>
        <v>31</v>
      </c>
      <c r="N690" s="157"/>
      <c r="O690" s="158"/>
      <c r="P690" s="158"/>
      <c r="Q690" s="158"/>
      <c r="R690" s="158"/>
      <c r="S690" s="158"/>
      <c r="T690" s="158"/>
      <c r="U690" s="158"/>
      <c r="V690" s="158"/>
      <c r="W690" s="158"/>
      <c r="X690" s="158"/>
      <c r="Y690" s="158"/>
      <c r="Z690" s="158"/>
      <c r="AA690" s="158"/>
    </row>
    <row r="691" spans="1:27" ht="15.75" customHeight="1" x14ac:dyDescent="0.55000000000000004">
      <c r="A691" s="164">
        <v>114</v>
      </c>
      <c r="B691" s="164" t="s">
        <v>1630</v>
      </c>
      <c r="C691" s="164" t="s">
        <v>1631</v>
      </c>
      <c r="D691" s="165">
        <v>40146</v>
      </c>
      <c r="E691" s="120" t="s">
        <v>3131</v>
      </c>
      <c r="F691" s="131">
        <v>39</v>
      </c>
      <c r="G691" s="120">
        <v>0</v>
      </c>
      <c r="H691" s="120">
        <v>0</v>
      </c>
      <c r="I691" s="120">
        <v>0</v>
      </c>
      <c r="J691" s="133" t="s">
        <v>853</v>
      </c>
      <c r="K691" s="133">
        <v>0</v>
      </c>
      <c r="L691" s="117">
        <v>68</v>
      </c>
      <c r="M691" s="133">
        <f t="shared" si="29"/>
        <v>29</v>
      </c>
      <c r="N691" s="157"/>
      <c r="O691" s="158"/>
      <c r="P691" s="158"/>
      <c r="Q691" s="158"/>
      <c r="R691" s="158"/>
      <c r="S691" s="158"/>
      <c r="T691" s="158"/>
      <c r="U691" s="158"/>
      <c r="V691" s="158"/>
      <c r="W691" s="158"/>
      <c r="X691" s="158"/>
      <c r="Y691" s="158"/>
      <c r="Z691" s="158"/>
      <c r="AA691" s="158"/>
    </row>
    <row r="692" spans="1:27" ht="15.75" customHeight="1" x14ac:dyDescent="0.55000000000000004">
      <c r="A692" s="164">
        <v>114</v>
      </c>
      <c r="B692" s="164" t="s">
        <v>1630</v>
      </c>
      <c r="C692" s="164" t="s">
        <v>1631</v>
      </c>
      <c r="D692" s="165">
        <v>40146</v>
      </c>
      <c r="E692" s="120" t="s">
        <v>3132</v>
      </c>
      <c r="F692" s="131">
        <v>42</v>
      </c>
      <c r="G692" s="120">
        <v>0</v>
      </c>
      <c r="H692" s="120">
        <v>0</v>
      </c>
      <c r="I692" s="120">
        <v>0</v>
      </c>
      <c r="J692" s="133" t="s">
        <v>853</v>
      </c>
      <c r="K692" s="133">
        <v>0</v>
      </c>
      <c r="L692" s="117">
        <v>68</v>
      </c>
      <c r="M692" s="133">
        <f t="shared" si="29"/>
        <v>26</v>
      </c>
      <c r="N692" s="157"/>
      <c r="O692" s="158"/>
      <c r="P692" s="158"/>
      <c r="Q692" s="158"/>
      <c r="R692" s="158"/>
      <c r="S692" s="158"/>
      <c r="T692" s="158"/>
      <c r="U692" s="158"/>
      <c r="V692" s="158"/>
      <c r="W692" s="158"/>
      <c r="X692" s="158"/>
      <c r="Y692" s="158"/>
      <c r="Z692" s="158"/>
      <c r="AA692" s="158"/>
    </row>
    <row r="693" spans="1:27" ht="15.75" customHeight="1" x14ac:dyDescent="0.55000000000000004">
      <c r="A693" s="166">
        <v>115</v>
      </c>
      <c r="B693" s="166" t="s">
        <v>1641</v>
      </c>
      <c r="C693" s="166" t="s">
        <v>1642</v>
      </c>
      <c r="D693" s="167">
        <v>40271</v>
      </c>
      <c r="E693" s="120" t="s">
        <v>3133</v>
      </c>
      <c r="F693" s="131">
        <v>28</v>
      </c>
      <c r="G693" s="120">
        <v>0</v>
      </c>
      <c r="H693" s="131">
        <v>3</v>
      </c>
      <c r="I693" s="120">
        <v>1</v>
      </c>
      <c r="J693" s="133" t="s">
        <v>2746</v>
      </c>
      <c r="K693" s="133">
        <v>5</v>
      </c>
      <c r="L693" s="117">
        <v>70</v>
      </c>
      <c r="M693" s="133">
        <f t="shared" si="29"/>
        <v>42</v>
      </c>
      <c r="N693" s="157"/>
      <c r="O693" s="158"/>
      <c r="P693" s="158"/>
      <c r="Q693" s="158"/>
      <c r="R693" s="158"/>
      <c r="S693" s="158"/>
      <c r="T693" s="158"/>
      <c r="U693" s="158"/>
      <c r="V693" s="158"/>
      <c r="W693" s="158"/>
      <c r="X693" s="158"/>
      <c r="Y693" s="158"/>
      <c r="Z693" s="158"/>
      <c r="AA693" s="158"/>
    </row>
    <row r="694" spans="1:27" ht="15.75" customHeight="1" x14ac:dyDescent="0.55000000000000004">
      <c r="A694" s="166">
        <v>115</v>
      </c>
      <c r="B694" s="166" t="s">
        <v>1641</v>
      </c>
      <c r="C694" s="166" t="s">
        <v>1642</v>
      </c>
      <c r="D694" s="167">
        <v>40271</v>
      </c>
      <c r="E694" s="120" t="s">
        <v>3134</v>
      </c>
      <c r="F694" s="131">
        <v>26</v>
      </c>
      <c r="G694" s="120">
        <v>0</v>
      </c>
      <c r="H694" s="131">
        <v>3</v>
      </c>
      <c r="I694" s="120">
        <v>1</v>
      </c>
      <c r="J694" s="133" t="s">
        <v>2746</v>
      </c>
      <c r="K694" s="133">
        <v>5</v>
      </c>
      <c r="L694" s="117">
        <v>70</v>
      </c>
      <c r="M694" s="133">
        <f t="shared" si="29"/>
        <v>44</v>
      </c>
      <c r="N694" s="157"/>
      <c r="O694" s="158"/>
      <c r="P694" s="158"/>
      <c r="Q694" s="158"/>
      <c r="R694" s="158"/>
      <c r="S694" s="158"/>
      <c r="T694" s="158"/>
      <c r="U694" s="158"/>
      <c r="V694" s="158"/>
      <c r="W694" s="158"/>
      <c r="X694" s="158"/>
      <c r="Y694" s="158"/>
      <c r="Z694" s="158"/>
      <c r="AA694" s="158"/>
    </row>
    <row r="695" spans="1:27" ht="15.75" customHeight="1" x14ac:dyDescent="0.55000000000000004">
      <c r="A695" s="166">
        <v>115</v>
      </c>
      <c r="B695" s="166" t="s">
        <v>1641</v>
      </c>
      <c r="C695" s="166" t="s">
        <v>1642</v>
      </c>
      <c r="D695" s="167">
        <v>40271</v>
      </c>
      <c r="E695" s="120" t="s">
        <v>3135</v>
      </c>
      <c r="F695" s="131">
        <v>31</v>
      </c>
      <c r="G695" s="120">
        <v>0</v>
      </c>
      <c r="H695" s="131">
        <v>3</v>
      </c>
      <c r="I695" s="120">
        <v>1</v>
      </c>
      <c r="J695" s="133" t="s">
        <v>2746</v>
      </c>
      <c r="K695" s="133">
        <v>5</v>
      </c>
      <c r="L695" s="117">
        <v>70</v>
      </c>
      <c r="M695" s="133">
        <f t="shared" si="29"/>
        <v>39</v>
      </c>
      <c r="N695" s="157"/>
      <c r="O695" s="158"/>
      <c r="P695" s="158"/>
      <c r="Q695" s="158"/>
      <c r="R695" s="158"/>
      <c r="S695" s="158"/>
      <c r="T695" s="158"/>
      <c r="U695" s="158"/>
      <c r="V695" s="158"/>
      <c r="W695" s="158"/>
      <c r="X695" s="158"/>
      <c r="Y695" s="158"/>
      <c r="Z695" s="158"/>
      <c r="AA695" s="158"/>
    </row>
    <row r="696" spans="1:27" ht="15.75" customHeight="1" x14ac:dyDescent="0.55000000000000004">
      <c r="A696" s="166">
        <v>115</v>
      </c>
      <c r="B696" s="166" t="s">
        <v>1641</v>
      </c>
      <c r="C696" s="166" t="s">
        <v>1642</v>
      </c>
      <c r="D696" s="167">
        <v>40271</v>
      </c>
      <c r="E696" s="120" t="s">
        <v>3136</v>
      </c>
      <c r="F696" s="131">
        <v>25</v>
      </c>
      <c r="G696" s="120">
        <v>0</v>
      </c>
      <c r="H696" s="131">
        <v>3</v>
      </c>
      <c r="I696" s="120">
        <v>1</v>
      </c>
      <c r="J696" s="133" t="s">
        <v>2746</v>
      </c>
      <c r="K696" s="133">
        <v>5</v>
      </c>
      <c r="L696" s="117">
        <v>71.8</v>
      </c>
      <c r="M696" s="133">
        <f t="shared" si="29"/>
        <v>46.8</v>
      </c>
      <c r="N696" s="157"/>
      <c r="O696" s="158"/>
      <c r="P696" s="158"/>
      <c r="Q696" s="158"/>
      <c r="R696" s="158"/>
      <c r="S696" s="158"/>
      <c r="T696" s="158"/>
      <c r="U696" s="158"/>
      <c r="V696" s="158"/>
      <c r="W696" s="158"/>
      <c r="X696" s="158"/>
      <c r="Y696" s="158"/>
      <c r="Z696" s="158"/>
      <c r="AA696" s="158"/>
    </row>
    <row r="697" spans="1:27" ht="15.75" customHeight="1" x14ac:dyDescent="0.55000000000000004">
      <c r="A697" s="177">
        <v>116</v>
      </c>
      <c r="B697" s="177" t="s">
        <v>1644</v>
      </c>
      <c r="C697" s="177" t="s">
        <v>1645</v>
      </c>
      <c r="D697" s="178">
        <v>40335</v>
      </c>
      <c r="E697" s="120" t="s">
        <v>3137</v>
      </c>
      <c r="F697" s="131">
        <v>56</v>
      </c>
      <c r="G697" s="120">
        <v>1</v>
      </c>
      <c r="H697" s="120">
        <v>2</v>
      </c>
      <c r="I697" s="120">
        <v>0</v>
      </c>
      <c r="J697" s="133" t="s">
        <v>853</v>
      </c>
      <c r="K697" s="133">
        <v>0</v>
      </c>
      <c r="L697" s="117">
        <v>71.099999999999994</v>
      </c>
      <c r="M697" s="133">
        <f t="shared" si="29"/>
        <v>15.099999999999994</v>
      </c>
      <c r="N697" s="157"/>
      <c r="O697" s="158"/>
      <c r="P697" s="158"/>
      <c r="Q697" s="158"/>
      <c r="R697" s="158"/>
      <c r="S697" s="158"/>
      <c r="T697" s="158"/>
      <c r="U697" s="158"/>
      <c r="V697" s="158"/>
      <c r="W697" s="158"/>
      <c r="X697" s="158"/>
      <c r="Y697" s="158"/>
      <c r="Z697" s="158"/>
      <c r="AA697" s="158"/>
    </row>
    <row r="698" spans="1:27" ht="15.75" customHeight="1" x14ac:dyDescent="0.55000000000000004">
      <c r="A698" s="177">
        <v>116</v>
      </c>
      <c r="B698" s="177" t="s">
        <v>1644</v>
      </c>
      <c r="C698" s="177" t="s">
        <v>1645</v>
      </c>
      <c r="D698" s="178">
        <v>40335</v>
      </c>
      <c r="E698" s="120" t="s">
        <v>3138</v>
      </c>
      <c r="F698" s="131">
        <v>32</v>
      </c>
      <c r="G698" s="120">
        <v>1</v>
      </c>
      <c r="H698" s="120">
        <v>2</v>
      </c>
      <c r="I698" s="120">
        <v>0</v>
      </c>
      <c r="J698" s="133" t="s">
        <v>853</v>
      </c>
      <c r="K698" s="133">
        <v>0</v>
      </c>
      <c r="L698" s="117">
        <v>77.400000000000006</v>
      </c>
      <c r="M698" s="133">
        <f t="shared" si="29"/>
        <v>45.400000000000006</v>
      </c>
      <c r="N698" s="157"/>
      <c r="O698" s="158"/>
      <c r="P698" s="158"/>
      <c r="Q698" s="158"/>
      <c r="R698" s="158"/>
      <c r="S698" s="158"/>
      <c r="T698" s="158"/>
      <c r="U698" s="158"/>
      <c r="V698" s="158"/>
      <c r="W698" s="158"/>
      <c r="X698" s="158"/>
      <c r="Y698" s="158"/>
      <c r="Z698" s="158"/>
      <c r="AA698" s="158"/>
    </row>
    <row r="699" spans="1:27" ht="15.75" customHeight="1" x14ac:dyDescent="0.55000000000000004">
      <c r="A699" s="177">
        <v>116</v>
      </c>
      <c r="B699" s="177" t="s">
        <v>1644</v>
      </c>
      <c r="C699" s="177" t="s">
        <v>1645</v>
      </c>
      <c r="D699" s="178">
        <v>40335</v>
      </c>
      <c r="E699" s="120" t="s">
        <v>3139</v>
      </c>
      <c r="F699" s="131">
        <v>47</v>
      </c>
      <c r="G699" s="120">
        <v>1</v>
      </c>
      <c r="H699" s="120">
        <v>2</v>
      </c>
      <c r="I699" s="120">
        <v>0</v>
      </c>
      <c r="J699" s="133" t="s">
        <v>853</v>
      </c>
      <c r="K699" s="133">
        <v>0</v>
      </c>
      <c r="L699" s="117">
        <v>73.099999999999994</v>
      </c>
      <c r="M699" s="133">
        <f t="shared" si="29"/>
        <v>26.099999999999994</v>
      </c>
      <c r="N699" s="157"/>
      <c r="O699" s="158"/>
      <c r="P699" s="158"/>
      <c r="Q699" s="158"/>
      <c r="R699" s="158"/>
      <c r="S699" s="158"/>
      <c r="T699" s="158"/>
      <c r="U699" s="158"/>
      <c r="V699" s="158"/>
      <c r="W699" s="158"/>
      <c r="X699" s="158"/>
      <c r="Y699" s="158"/>
      <c r="Z699" s="158"/>
      <c r="AA699" s="158"/>
    </row>
    <row r="700" spans="1:27" ht="15.75" customHeight="1" x14ac:dyDescent="0.55000000000000004">
      <c r="A700" s="177">
        <v>116</v>
      </c>
      <c r="B700" s="177" t="s">
        <v>1644</v>
      </c>
      <c r="C700" s="177" t="s">
        <v>1645</v>
      </c>
      <c r="D700" s="178">
        <v>40335</v>
      </c>
      <c r="E700" s="120" t="s">
        <v>3140</v>
      </c>
      <c r="F700" s="131">
        <v>24</v>
      </c>
      <c r="G700" s="120">
        <v>1</v>
      </c>
      <c r="H700" s="120">
        <v>2</v>
      </c>
      <c r="I700" s="120">
        <v>1</v>
      </c>
      <c r="J700" s="133" t="s">
        <v>2362</v>
      </c>
      <c r="K700" s="133">
        <v>2</v>
      </c>
      <c r="L700" s="117">
        <v>78.8</v>
      </c>
      <c r="M700" s="133">
        <f t="shared" si="29"/>
        <v>54.8</v>
      </c>
      <c r="N700" s="157"/>
      <c r="O700" s="158"/>
      <c r="P700" s="158"/>
      <c r="Q700" s="158"/>
      <c r="R700" s="158"/>
      <c r="S700" s="158"/>
      <c r="T700" s="158"/>
      <c r="U700" s="158"/>
      <c r="V700" s="158"/>
      <c r="W700" s="158"/>
      <c r="X700" s="158"/>
      <c r="Y700" s="158"/>
      <c r="Z700" s="158"/>
      <c r="AA700" s="158"/>
    </row>
    <row r="701" spans="1:27" ht="15.75" customHeight="1" x14ac:dyDescent="0.55000000000000004">
      <c r="A701" s="169">
        <v>117</v>
      </c>
      <c r="B701" s="169" t="s">
        <v>1570</v>
      </c>
      <c r="C701" s="169" t="s">
        <v>1649</v>
      </c>
      <c r="D701" s="170">
        <v>40393</v>
      </c>
      <c r="E701" s="120" t="s">
        <v>3141</v>
      </c>
      <c r="F701" s="131">
        <v>51</v>
      </c>
      <c r="G701" s="120">
        <v>0</v>
      </c>
      <c r="H701" s="131">
        <v>0</v>
      </c>
      <c r="I701" s="120">
        <v>1</v>
      </c>
      <c r="J701" s="133" t="s">
        <v>2387</v>
      </c>
      <c r="K701" s="133">
        <v>3</v>
      </c>
      <c r="L701" s="117">
        <v>67.400000000000006</v>
      </c>
      <c r="M701" s="133">
        <f t="shared" si="29"/>
        <v>16.400000000000006</v>
      </c>
      <c r="N701" s="157"/>
      <c r="O701" s="158"/>
      <c r="P701" s="158"/>
      <c r="Q701" s="158"/>
      <c r="R701" s="158"/>
      <c r="S701" s="158"/>
      <c r="T701" s="158"/>
      <c r="U701" s="158"/>
      <c r="V701" s="158"/>
      <c r="W701" s="158"/>
      <c r="X701" s="158"/>
      <c r="Y701" s="158"/>
      <c r="Z701" s="158"/>
      <c r="AA701" s="158"/>
    </row>
    <row r="702" spans="1:27" ht="15.75" customHeight="1" x14ac:dyDescent="0.55000000000000004">
      <c r="A702" s="169">
        <v>117</v>
      </c>
      <c r="B702" s="169" t="s">
        <v>1570</v>
      </c>
      <c r="C702" s="169" t="s">
        <v>1649</v>
      </c>
      <c r="D702" s="170">
        <v>40393</v>
      </c>
      <c r="E702" s="120" t="s">
        <v>3142</v>
      </c>
      <c r="F702" s="131">
        <v>51</v>
      </c>
      <c r="G702" s="120">
        <v>0</v>
      </c>
      <c r="H702" s="131">
        <v>0</v>
      </c>
      <c r="I702" s="120">
        <v>1</v>
      </c>
      <c r="J702" s="133" t="s">
        <v>3143</v>
      </c>
      <c r="K702" s="133">
        <v>5</v>
      </c>
      <c r="L702" s="117">
        <v>67.400000000000006</v>
      </c>
      <c r="M702" s="133">
        <f t="shared" si="29"/>
        <v>16.400000000000006</v>
      </c>
      <c r="N702" s="157"/>
      <c r="O702" s="158"/>
      <c r="P702" s="158"/>
      <c r="Q702" s="158"/>
      <c r="R702" s="158"/>
      <c r="S702" s="158"/>
      <c r="T702" s="158"/>
      <c r="U702" s="158"/>
      <c r="V702" s="158"/>
      <c r="W702" s="158"/>
      <c r="X702" s="158"/>
      <c r="Y702" s="158"/>
      <c r="Z702" s="158"/>
      <c r="AA702" s="158"/>
    </row>
    <row r="703" spans="1:27" ht="15.75" customHeight="1" x14ac:dyDescent="0.55000000000000004">
      <c r="A703" s="169">
        <v>117</v>
      </c>
      <c r="B703" s="169" t="s">
        <v>1570</v>
      </c>
      <c r="C703" s="169" t="s">
        <v>1649</v>
      </c>
      <c r="D703" s="170">
        <v>40393</v>
      </c>
      <c r="E703" s="120" t="s">
        <v>3144</v>
      </c>
      <c r="F703" s="131">
        <v>57</v>
      </c>
      <c r="G703" s="120">
        <v>0</v>
      </c>
      <c r="H703" s="131">
        <v>0</v>
      </c>
      <c r="I703" s="120">
        <v>1</v>
      </c>
      <c r="J703" s="133" t="s">
        <v>2387</v>
      </c>
      <c r="K703" s="133">
        <v>3</v>
      </c>
      <c r="L703" s="117">
        <v>66.5</v>
      </c>
      <c r="M703" s="133">
        <f t="shared" si="29"/>
        <v>9.5</v>
      </c>
      <c r="N703" s="157"/>
      <c r="O703" s="158"/>
      <c r="P703" s="158"/>
      <c r="Q703" s="158"/>
      <c r="R703" s="158"/>
      <c r="S703" s="158"/>
      <c r="T703" s="158"/>
      <c r="U703" s="158"/>
      <c r="V703" s="158"/>
      <c r="W703" s="158"/>
      <c r="X703" s="158"/>
      <c r="Y703" s="158"/>
      <c r="Z703" s="158"/>
      <c r="AA703" s="158"/>
    </row>
    <row r="704" spans="1:27" ht="15.75" customHeight="1" x14ac:dyDescent="0.55000000000000004">
      <c r="A704" s="169">
        <v>117</v>
      </c>
      <c r="B704" s="169" t="s">
        <v>1570</v>
      </c>
      <c r="C704" s="169" t="s">
        <v>1649</v>
      </c>
      <c r="D704" s="170">
        <v>40393</v>
      </c>
      <c r="E704" s="120" t="s">
        <v>3145</v>
      </c>
      <c r="F704" s="131">
        <v>50</v>
      </c>
      <c r="G704" s="120">
        <v>0</v>
      </c>
      <c r="H704" s="131">
        <v>0</v>
      </c>
      <c r="I704" s="131">
        <v>1</v>
      </c>
      <c r="J704" s="133" t="s">
        <v>2391</v>
      </c>
      <c r="K704" s="133">
        <v>3</v>
      </c>
      <c r="L704" s="117">
        <v>67.400000000000006</v>
      </c>
      <c r="M704" s="133">
        <f t="shared" si="29"/>
        <v>17.400000000000006</v>
      </c>
      <c r="N704" s="157"/>
      <c r="O704" s="158"/>
      <c r="P704" s="158"/>
      <c r="Q704" s="158"/>
      <c r="R704" s="158"/>
      <c r="S704" s="158"/>
      <c r="T704" s="158"/>
      <c r="U704" s="158"/>
      <c r="V704" s="158"/>
      <c r="W704" s="158"/>
      <c r="X704" s="158"/>
      <c r="Y704" s="158"/>
      <c r="Z704" s="158"/>
      <c r="AA704" s="158"/>
    </row>
    <row r="705" spans="1:27" ht="15.75" customHeight="1" x14ac:dyDescent="0.55000000000000004">
      <c r="A705" s="169">
        <v>117</v>
      </c>
      <c r="B705" s="169" t="s">
        <v>1570</v>
      </c>
      <c r="C705" s="169" t="s">
        <v>1649</v>
      </c>
      <c r="D705" s="170">
        <v>40393</v>
      </c>
      <c r="E705" s="120" t="s">
        <v>3146</v>
      </c>
      <c r="F705" s="131">
        <v>59</v>
      </c>
      <c r="G705" s="120">
        <v>0</v>
      </c>
      <c r="H705" s="131">
        <v>0</v>
      </c>
      <c r="I705" s="120">
        <v>1</v>
      </c>
      <c r="J705" s="133" t="s">
        <v>2387</v>
      </c>
      <c r="K705" s="133">
        <v>3</v>
      </c>
      <c r="L705" s="117">
        <v>66.5</v>
      </c>
      <c r="M705" s="133">
        <f t="shared" si="29"/>
        <v>7.5</v>
      </c>
      <c r="N705" s="157"/>
      <c r="O705" s="158"/>
      <c r="P705" s="158"/>
      <c r="Q705" s="158"/>
      <c r="R705" s="158"/>
      <c r="S705" s="158"/>
      <c r="T705" s="158"/>
      <c r="U705" s="158"/>
      <c r="V705" s="158"/>
      <c r="W705" s="158"/>
      <c r="X705" s="158"/>
      <c r="Y705" s="158"/>
      <c r="Z705" s="158"/>
      <c r="AA705" s="158"/>
    </row>
    <row r="706" spans="1:27" ht="15.75" customHeight="1" x14ac:dyDescent="0.55000000000000004">
      <c r="A706" s="169">
        <v>117</v>
      </c>
      <c r="B706" s="169" t="s">
        <v>1570</v>
      </c>
      <c r="C706" s="169" t="s">
        <v>1649</v>
      </c>
      <c r="D706" s="170">
        <v>40393</v>
      </c>
      <c r="E706" s="120" t="s">
        <v>3147</v>
      </c>
      <c r="F706" s="131">
        <v>49</v>
      </c>
      <c r="G706" s="120">
        <v>0</v>
      </c>
      <c r="H706" s="131">
        <v>0</v>
      </c>
      <c r="I706" s="120">
        <v>2</v>
      </c>
      <c r="J706" s="133" t="s">
        <v>3148</v>
      </c>
      <c r="K706" s="133">
        <v>5</v>
      </c>
      <c r="L706" s="117">
        <v>67.400000000000006</v>
      </c>
      <c r="M706" s="133">
        <f t="shared" si="29"/>
        <v>18.400000000000006</v>
      </c>
      <c r="N706" s="157"/>
      <c r="O706" s="158"/>
      <c r="P706" s="158"/>
      <c r="Q706" s="158"/>
      <c r="R706" s="158"/>
      <c r="S706" s="158"/>
      <c r="T706" s="158"/>
      <c r="U706" s="158"/>
      <c r="V706" s="158"/>
      <c r="W706" s="158"/>
      <c r="X706" s="158"/>
      <c r="Y706" s="158"/>
      <c r="Z706" s="158"/>
      <c r="AA706" s="158"/>
    </row>
    <row r="707" spans="1:27" ht="15.75" customHeight="1" x14ac:dyDescent="0.55000000000000004">
      <c r="A707" s="169">
        <v>117</v>
      </c>
      <c r="B707" s="169" t="s">
        <v>1570</v>
      </c>
      <c r="C707" s="169" t="s">
        <v>1649</v>
      </c>
      <c r="D707" s="170">
        <v>40393</v>
      </c>
      <c r="E707" s="120" t="s">
        <v>3149</v>
      </c>
      <c r="F707" s="131">
        <v>60</v>
      </c>
      <c r="G707" s="120">
        <v>0</v>
      </c>
      <c r="H707" s="131">
        <v>0</v>
      </c>
      <c r="I707" s="120">
        <v>1</v>
      </c>
      <c r="J707" s="133" t="s">
        <v>2387</v>
      </c>
      <c r="K707" s="133">
        <v>3</v>
      </c>
      <c r="L707" s="117">
        <v>66.5</v>
      </c>
      <c r="M707" s="133">
        <f t="shared" si="29"/>
        <v>6.5</v>
      </c>
      <c r="N707" s="157"/>
      <c r="O707" s="158"/>
      <c r="P707" s="158"/>
      <c r="Q707" s="158"/>
      <c r="R707" s="158"/>
      <c r="S707" s="158"/>
      <c r="T707" s="158"/>
      <c r="U707" s="158"/>
      <c r="V707" s="158"/>
      <c r="W707" s="158"/>
      <c r="X707" s="158"/>
      <c r="Y707" s="158"/>
      <c r="Z707" s="158"/>
      <c r="AA707" s="158"/>
    </row>
    <row r="708" spans="1:27" ht="15.75" customHeight="1" x14ac:dyDescent="0.55000000000000004">
      <c r="A708" s="169">
        <v>117</v>
      </c>
      <c r="B708" s="169" t="s">
        <v>1570</v>
      </c>
      <c r="C708" s="169" t="s">
        <v>1649</v>
      </c>
      <c r="D708" s="170">
        <v>40393</v>
      </c>
      <c r="E708" s="120" t="s">
        <v>3150</v>
      </c>
      <c r="F708" s="131">
        <v>56</v>
      </c>
      <c r="G708" s="120">
        <v>0</v>
      </c>
      <c r="H708" s="131">
        <v>0</v>
      </c>
      <c r="I708" s="120">
        <v>1</v>
      </c>
      <c r="J708" s="133" t="s">
        <v>2387</v>
      </c>
      <c r="K708" s="133">
        <v>3</v>
      </c>
      <c r="L708" s="117">
        <v>66.5</v>
      </c>
      <c r="M708" s="133">
        <f t="shared" si="29"/>
        <v>10.5</v>
      </c>
      <c r="N708" s="157"/>
      <c r="O708" s="158"/>
      <c r="P708" s="158"/>
      <c r="Q708" s="158"/>
      <c r="R708" s="158"/>
      <c r="S708" s="158"/>
      <c r="T708" s="158"/>
      <c r="U708" s="158"/>
      <c r="V708" s="158"/>
      <c r="W708" s="158"/>
      <c r="X708" s="158"/>
      <c r="Y708" s="158"/>
      <c r="Z708" s="158"/>
      <c r="AA708" s="158"/>
    </row>
    <row r="709" spans="1:27" ht="15.75" customHeight="1" x14ac:dyDescent="0.55000000000000004">
      <c r="A709" s="175">
        <v>118</v>
      </c>
      <c r="B709" s="175" t="s">
        <v>1654</v>
      </c>
      <c r="C709" s="175" t="s">
        <v>1655</v>
      </c>
      <c r="D709" s="176">
        <v>40404</v>
      </c>
      <c r="E709" s="120" t="s">
        <v>3151</v>
      </c>
      <c r="F709" s="131">
        <v>27</v>
      </c>
      <c r="G709" s="120">
        <v>1</v>
      </c>
      <c r="H709" s="131">
        <v>1</v>
      </c>
      <c r="I709" s="120">
        <v>0</v>
      </c>
      <c r="J709" s="133" t="s">
        <v>853</v>
      </c>
      <c r="K709" s="133">
        <v>0</v>
      </c>
      <c r="L709" s="117">
        <v>72.5</v>
      </c>
      <c r="M709" s="133">
        <f t="shared" si="29"/>
        <v>45.5</v>
      </c>
      <c r="N709" s="157"/>
      <c r="O709" s="158"/>
      <c r="P709" s="158"/>
      <c r="Q709" s="158"/>
      <c r="R709" s="158"/>
      <c r="S709" s="158"/>
      <c r="T709" s="158"/>
      <c r="U709" s="158"/>
      <c r="V709" s="158"/>
      <c r="W709" s="158"/>
      <c r="X709" s="158"/>
      <c r="Y709" s="158"/>
      <c r="Z709" s="158"/>
      <c r="AA709" s="158"/>
    </row>
    <row r="710" spans="1:27" ht="15.75" customHeight="1" x14ac:dyDescent="0.55000000000000004">
      <c r="A710" s="175">
        <v>118</v>
      </c>
      <c r="B710" s="175" t="s">
        <v>1654</v>
      </c>
      <c r="C710" s="175" t="s">
        <v>1655</v>
      </c>
      <c r="D710" s="176">
        <v>40404</v>
      </c>
      <c r="E710" s="120" t="s">
        <v>3152</v>
      </c>
      <c r="F710" s="131">
        <v>26</v>
      </c>
      <c r="G710" s="120">
        <v>0</v>
      </c>
      <c r="H710" s="131">
        <v>1</v>
      </c>
      <c r="I710" s="120">
        <v>0</v>
      </c>
      <c r="J710" s="133" t="s">
        <v>853</v>
      </c>
      <c r="K710" s="133">
        <v>0</v>
      </c>
      <c r="L710" s="117">
        <v>63.8</v>
      </c>
      <c r="M710" s="133">
        <f t="shared" si="29"/>
        <v>37.799999999999997</v>
      </c>
      <c r="N710" s="157"/>
      <c r="O710" s="158"/>
      <c r="P710" s="158"/>
      <c r="Q710" s="158"/>
      <c r="R710" s="158"/>
      <c r="S710" s="158"/>
      <c r="T710" s="158"/>
      <c r="U710" s="158"/>
      <c r="V710" s="158"/>
      <c r="W710" s="158"/>
      <c r="X710" s="158"/>
      <c r="Y710" s="158"/>
      <c r="Z710" s="158"/>
      <c r="AA710" s="158"/>
    </row>
    <row r="711" spans="1:27" ht="15.75" customHeight="1" x14ac:dyDescent="0.55000000000000004">
      <c r="A711" s="175">
        <v>118</v>
      </c>
      <c r="B711" s="175" t="s">
        <v>1654</v>
      </c>
      <c r="C711" s="175" t="s">
        <v>1655</v>
      </c>
      <c r="D711" s="176">
        <v>40404</v>
      </c>
      <c r="E711" s="120" t="s">
        <v>3153</v>
      </c>
      <c r="F711" s="131">
        <v>30</v>
      </c>
      <c r="G711" s="120">
        <v>0</v>
      </c>
      <c r="H711" s="131">
        <v>1</v>
      </c>
      <c r="I711" s="120">
        <v>0</v>
      </c>
      <c r="J711" s="133" t="s">
        <v>853</v>
      </c>
      <c r="K711" s="133">
        <v>0</v>
      </c>
      <c r="L711" s="117">
        <v>63.8</v>
      </c>
      <c r="M711" s="133">
        <f t="shared" si="29"/>
        <v>33.799999999999997</v>
      </c>
      <c r="N711" s="157"/>
      <c r="O711" s="158"/>
      <c r="P711" s="158"/>
      <c r="Q711" s="158"/>
      <c r="R711" s="158"/>
      <c r="S711" s="158"/>
      <c r="T711" s="158"/>
      <c r="U711" s="158"/>
      <c r="V711" s="158"/>
      <c r="W711" s="158"/>
      <c r="X711" s="158"/>
      <c r="Y711" s="158"/>
      <c r="Z711" s="158"/>
      <c r="AA711" s="158"/>
    </row>
    <row r="712" spans="1:27" ht="15.75" customHeight="1" x14ac:dyDescent="0.55000000000000004">
      <c r="A712" s="175">
        <v>118</v>
      </c>
      <c r="B712" s="175" t="s">
        <v>1654</v>
      </c>
      <c r="C712" s="175" t="s">
        <v>1655</v>
      </c>
      <c r="D712" s="176">
        <v>40404</v>
      </c>
      <c r="E712" s="120" t="s">
        <v>3154</v>
      </c>
      <c r="F712" s="131">
        <v>32</v>
      </c>
      <c r="G712" s="120">
        <v>1</v>
      </c>
      <c r="H712" s="131">
        <v>1</v>
      </c>
      <c r="I712" s="120">
        <v>0</v>
      </c>
      <c r="J712" s="133" t="s">
        <v>853</v>
      </c>
      <c r="K712" s="133">
        <v>0</v>
      </c>
      <c r="L712" s="117">
        <v>72.5</v>
      </c>
      <c r="M712" s="133">
        <f t="shared" si="29"/>
        <v>40.5</v>
      </c>
      <c r="N712" s="157"/>
      <c r="O712" s="158"/>
      <c r="P712" s="158"/>
      <c r="Q712" s="158"/>
      <c r="R712" s="158"/>
      <c r="S712" s="158"/>
      <c r="T712" s="158"/>
      <c r="U712" s="158"/>
      <c r="V712" s="158"/>
      <c r="W712" s="158"/>
      <c r="X712" s="158"/>
      <c r="Y712" s="158"/>
      <c r="Z712" s="158"/>
      <c r="AA712" s="158"/>
    </row>
    <row r="713" spans="1:27" ht="15.75" customHeight="1" x14ac:dyDescent="0.55000000000000004">
      <c r="A713" s="159">
        <v>119</v>
      </c>
      <c r="B713" s="159" t="s">
        <v>1659</v>
      </c>
      <c r="C713" s="159" t="s">
        <v>1660</v>
      </c>
      <c r="D713" s="160">
        <v>40432</v>
      </c>
      <c r="E713" s="120" t="s">
        <v>3155</v>
      </c>
      <c r="F713" s="131">
        <v>30</v>
      </c>
      <c r="G713" s="120">
        <v>1</v>
      </c>
      <c r="H713" s="131">
        <v>0</v>
      </c>
      <c r="I713" s="120">
        <v>1</v>
      </c>
      <c r="J713" s="133" t="s">
        <v>2394</v>
      </c>
      <c r="K713" s="133">
        <v>5</v>
      </c>
      <c r="L713" s="117">
        <v>78.099999999999994</v>
      </c>
      <c r="M713" s="133">
        <f t="shared" si="29"/>
        <v>48.099999999999994</v>
      </c>
      <c r="N713" s="157"/>
      <c r="O713" s="158"/>
      <c r="P713" s="158"/>
      <c r="Q713" s="158"/>
      <c r="R713" s="158"/>
      <c r="S713" s="158"/>
      <c r="T713" s="158"/>
      <c r="U713" s="158"/>
      <c r="V713" s="158"/>
      <c r="W713" s="158"/>
      <c r="X713" s="158"/>
      <c r="Y713" s="158"/>
      <c r="Z713" s="158"/>
      <c r="AA713" s="158"/>
    </row>
    <row r="714" spans="1:27" ht="15.75" customHeight="1" x14ac:dyDescent="0.55000000000000004">
      <c r="A714" s="159">
        <v>119</v>
      </c>
      <c r="B714" s="159" t="s">
        <v>1659</v>
      </c>
      <c r="C714" s="159" t="s">
        <v>1660</v>
      </c>
      <c r="D714" s="160">
        <v>40432</v>
      </c>
      <c r="E714" s="120" t="s">
        <v>3156</v>
      </c>
      <c r="F714" s="131">
        <v>40</v>
      </c>
      <c r="G714" s="120">
        <v>1</v>
      </c>
      <c r="H714" s="131">
        <v>0</v>
      </c>
      <c r="I714" s="120">
        <v>1</v>
      </c>
      <c r="J714" s="133" t="s">
        <v>2394</v>
      </c>
      <c r="K714" s="133">
        <v>5</v>
      </c>
      <c r="L714" s="117">
        <v>77.3</v>
      </c>
      <c r="M714" s="133">
        <f t="shared" si="29"/>
        <v>37.299999999999997</v>
      </c>
      <c r="N714" s="157"/>
      <c r="O714" s="158"/>
      <c r="P714" s="158"/>
      <c r="Q714" s="158"/>
      <c r="R714" s="158"/>
      <c r="S714" s="158"/>
      <c r="T714" s="158"/>
      <c r="U714" s="158"/>
      <c r="V714" s="158"/>
      <c r="W714" s="158"/>
      <c r="X714" s="158"/>
      <c r="Y714" s="158"/>
      <c r="Z714" s="158"/>
      <c r="AA714" s="158"/>
    </row>
    <row r="715" spans="1:27" ht="15.75" customHeight="1" x14ac:dyDescent="0.55000000000000004">
      <c r="A715" s="159">
        <v>119</v>
      </c>
      <c r="B715" s="159" t="s">
        <v>1659</v>
      </c>
      <c r="C715" s="159" t="s">
        <v>1660</v>
      </c>
      <c r="D715" s="160">
        <v>40432</v>
      </c>
      <c r="E715" s="120" t="s">
        <v>3157</v>
      </c>
      <c r="F715" s="131">
        <v>54</v>
      </c>
      <c r="G715" s="120">
        <v>1</v>
      </c>
      <c r="H715" s="120"/>
      <c r="I715" s="131">
        <v>1</v>
      </c>
      <c r="J715" s="133" t="s">
        <v>2362</v>
      </c>
      <c r="K715" s="133">
        <v>2</v>
      </c>
      <c r="L715" s="117">
        <v>73.099999999999994</v>
      </c>
      <c r="M715" s="133">
        <f t="shared" si="29"/>
        <v>19.099999999999994</v>
      </c>
      <c r="N715" s="157"/>
      <c r="O715" s="158"/>
      <c r="P715" s="158"/>
      <c r="Q715" s="158"/>
      <c r="R715" s="158"/>
      <c r="S715" s="158"/>
      <c r="T715" s="158"/>
      <c r="U715" s="158"/>
      <c r="V715" s="158"/>
      <c r="W715" s="158"/>
      <c r="X715" s="158"/>
      <c r="Y715" s="158"/>
      <c r="Z715" s="158"/>
      <c r="AA715" s="158"/>
    </row>
    <row r="716" spans="1:27" ht="15.75" customHeight="1" x14ac:dyDescent="0.55000000000000004">
      <c r="A716" s="159">
        <v>119</v>
      </c>
      <c r="B716" s="159" t="s">
        <v>1659</v>
      </c>
      <c r="C716" s="159" t="s">
        <v>1660</v>
      </c>
      <c r="D716" s="160">
        <v>40432</v>
      </c>
      <c r="E716" s="120" t="s">
        <v>3158</v>
      </c>
      <c r="F716" s="131">
        <v>28</v>
      </c>
      <c r="G716" s="120">
        <v>1</v>
      </c>
      <c r="H716" s="120"/>
      <c r="I716" s="131">
        <v>1</v>
      </c>
      <c r="J716" s="133" t="s">
        <v>3159</v>
      </c>
      <c r="K716" s="133">
        <v>1</v>
      </c>
      <c r="L716" s="117">
        <v>77.400000000000006</v>
      </c>
      <c r="M716" s="133">
        <f t="shared" si="29"/>
        <v>49.400000000000006</v>
      </c>
      <c r="N716" s="157"/>
      <c r="O716" s="158"/>
      <c r="P716" s="158"/>
      <c r="Q716" s="158"/>
      <c r="R716" s="158"/>
      <c r="S716" s="158"/>
      <c r="T716" s="158"/>
      <c r="U716" s="158"/>
      <c r="V716" s="158"/>
      <c r="W716" s="158"/>
      <c r="X716" s="158"/>
      <c r="Y716" s="158"/>
      <c r="Z716" s="158"/>
      <c r="AA716" s="158"/>
    </row>
    <row r="717" spans="1:27" ht="15.75" customHeight="1" x14ac:dyDescent="0.55000000000000004">
      <c r="A717" s="159">
        <v>119</v>
      </c>
      <c r="B717" s="159" t="s">
        <v>1659</v>
      </c>
      <c r="C717" s="159" t="s">
        <v>1660</v>
      </c>
      <c r="D717" s="160">
        <v>40432</v>
      </c>
      <c r="E717" s="120" t="s">
        <v>3160</v>
      </c>
      <c r="F717" s="131">
        <v>31</v>
      </c>
      <c r="G717" s="120">
        <v>0</v>
      </c>
      <c r="H717" s="131">
        <v>0</v>
      </c>
      <c r="I717" s="131">
        <v>1</v>
      </c>
      <c r="J717" s="133" t="s">
        <v>3161</v>
      </c>
      <c r="K717" s="133">
        <v>5</v>
      </c>
      <c r="L717" s="117">
        <v>70.7</v>
      </c>
      <c r="M717" s="133">
        <f t="shared" si="29"/>
        <v>39.700000000000003</v>
      </c>
      <c r="N717" s="157"/>
      <c r="O717" s="158"/>
      <c r="P717" s="158"/>
      <c r="Q717" s="158"/>
      <c r="R717" s="158"/>
      <c r="S717" s="158"/>
      <c r="T717" s="158"/>
      <c r="U717" s="158"/>
      <c r="V717" s="158"/>
      <c r="W717" s="158"/>
      <c r="X717" s="158"/>
      <c r="Y717" s="158"/>
      <c r="Z717" s="158"/>
      <c r="AA717" s="158"/>
    </row>
    <row r="718" spans="1:27" ht="15.75" customHeight="1" x14ac:dyDescent="0.55000000000000004">
      <c r="A718" s="162">
        <v>120</v>
      </c>
      <c r="B718" s="162" t="s">
        <v>1664</v>
      </c>
      <c r="C718" s="162" t="s">
        <v>1665</v>
      </c>
      <c r="D718" s="163">
        <v>40551</v>
      </c>
      <c r="E718" s="120" t="s">
        <v>3162</v>
      </c>
      <c r="F718" s="131">
        <v>9</v>
      </c>
      <c r="G718" s="120">
        <v>1</v>
      </c>
      <c r="H718" s="131">
        <v>0</v>
      </c>
      <c r="I718" s="120">
        <v>0</v>
      </c>
      <c r="J718" s="133" t="s">
        <v>853</v>
      </c>
      <c r="K718" s="133">
        <v>0</v>
      </c>
      <c r="L718" s="117">
        <v>80.099999999999994</v>
      </c>
      <c r="M718" s="133">
        <f t="shared" si="29"/>
        <v>71.099999999999994</v>
      </c>
      <c r="N718" s="157"/>
      <c r="O718" s="158"/>
      <c r="P718" s="158"/>
      <c r="Q718" s="158"/>
      <c r="R718" s="158"/>
      <c r="S718" s="158"/>
      <c r="T718" s="158"/>
      <c r="U718" s="158"/>
      <c r="V718" s="158"/>
      <c r="W718" s="158"/>
      <c r="X718" s="158"/>
      <c r="Y718" s="158"/>
      <c r="Z718" s="158"/>
      <c r="AA718" s="158"/>
    </row>
    <row r="719" spans="1:27" ht="15.75" customHeight="1" x14ac:dyDescent="0.55000000000000004">
      <c r="A719" s="162">
        <v>120</v>
      </c>
      <c r="B719" s="162" t="s">
        <v>1664</v>
      </c>
      <c r="C719" s="162" t="s">
        <v>1665</v>
      </c>
      <c r="D719" s="163">
        <v>40551</v>
      </c>
      <c r="E719" s="120" t="s">
        <v>3163</v>
      </c>
      <c r="F719" s="131">
        <v>76</v>
      </c>
      <c r="G719" s="120">
        <v>1</v>
      </c>
      <c r="H719" s="131">
        <v>0</v>
      </c>
      <c r="I719" s="120">
        <v>0</v>
      </c>
      <c r="J719" s="133" t="s">
        <v>853</v>
      </c>
      <c r="K719" s="133">
        <v>0</v>
      </c>
      <c r="L719" s="117">
        <v>87.8</v>
      </c>
      <c r="M719" s="133">
        <f t="shared" si="29"/>
        <v>11.799999999999997</v>
      </c>
      <c r="N719" s="157"/>
      <c r="O719" s="158"/>
      <c r="P719" s="158"/>
      <c r="Q719" s="158"/>
      <c r="R719" s="158"/>
      <c r="S719" s="158"/>
      <c r="T719" s="158"/>
      <c r="U719" s="158"/>
      <c r="V719" s="158"/>
      <c r="W719" s="158"/>
      <c r="X719" s="158"/>
      <c r="Y719" s="158"/>
      <c r="Z719" s="158"/>
      <c r="AA719" s="158"/>
    </row>
    <row r="720" spans="1:27" ht="15.75" customHeight="1" x14ac:dyDescent="0.55000000000000004">
      <c r="A720" s="162">
        <v>120</v>
      </c>
      <c r="B720" s="162" t="s">
        <v>1664</v>
      </c>
      <c r="C720" s="162" t="s">
        <v>1665</v>
      </c>
      <c r="D720" s="163">
        <v>40551</v>
      </c>
      <c r="E720" s="120" t="s">
        <v>3164</v>
      </c>
      <c r="F720" s="131">
        <v>63</v>
      </c>
      <c r="G720" s="120">
        <v>0</v>
      </c>
      <c r="H720" s="131">
        <v>0</v>
      </c>
      <c r="I720" s="120">
        <v>0</v>
      </c>
      <c r="J720" s="133" t="s">
        <v>853</v>
      </c>
      <c r="K720" s="133">
        <v>0</v>
      </c>
      <c r="L720" s="117">
        <v>66.5</v>
      </c>
      <c r="M720" s="133">
        <f t="shared" si="29"/>
        <v>3.5</v>
      </c>
      <c r="N720" s="157"/>
      <c r="O720" s="158"/>
      <c r="P720" s="158"/>
      <c r="Q720" s="158"/>
      <c r="R720" s="158"/>
      <c r="S720" s="158"/>
      <c r="T720" s="158"/>
      <c r="U720" s="158"/>
      <c r="V720" s="158"/>
      <c r="W720" s="158"/>
      <c r="X720" s="158"/>
      <c r="Y720" s="158"/>
      <c r="Z720" s="158"/>
      <c r="AA720" s="158"/>
    </row>
    <row r="721" spans="1:27" ht="15.75" customHeight="1" x14ac:dyDescent="0.55000000000000004">
      <c r="A721" s="162">
        <v>120</v>
      </c>
      <c r="B721" s="162" t="s">
        <v>1664</v>
      </c>
      <c r="C721" s="162" t="s">
        <v>1665</v>
      </c>
      <c r="D721" s="163">
        <v>40551</v>
      </c>
      <c r="E721" s="120" t="s">
        <v>3165</v>
      </c>
      <c r="F721" s="131">
        <v>79</v>
      </c>
      <c r="G721" s="120">
        <v>1</v>
      </c>
      <c r="H721" s="131">
        <v>0</v>
      </c>
      <c r="I721" s="120">
        <v>0</v>
      </c>
      <c r="J721" s="133" t="s">
        <v>853</v>
      </c>
      <c r="K721" s="133">
        <v>0</v>
      </c>
      <c r="L721" s="117">
        <v>87.6</v>
      </c>
      <c r="M721" s="133">
        <f t="shared" si="29"/>
        <v>8.5999999999999943</v>
      </c>
      <c r="N721" s="157"/>
      <c r="O721" s="158"/>
      <c r="P721" s="158"/>
      <c r="Q721" s="158"/>
      <c r="R721" s="158"/>
      <c r="S721" s="158"/>
      <c r="T721" s="158"/>
      <c r="U721" s="158"/>
      <c r="V721" s="158"/>
      <c r="W721" s="158"/>
      <c r="X721" s="158"/>
      <c r="Y721" s="158"/>
      <c r="Z721" s="158"/>
      <c r="AA721" s="158"/>
    </row>
    <row r="722" spans="1:27" ht="15.75" customHeight="1" x14ac:dyDescent="0.55000000000000004">
      <c r="A722" s="162">
        <v>120</v>
      </c>
      <c r="B722" s="162" t="s">
        <v>1664</v>
      </c>
      <c r="C722" s="162" t="s">
        <v>1665</v>
      </c>
      <c r="D722" s="163">
        <v>40551</v>
      </c>
      <c r="E722" s="120" t="s">
        <v>3166</v>
      </c>
      <c r="F722" s="131">
        <v>76</v>
      </c>
      <c r="G722" s="120">
        <v>0</v>
      </c>
      <c r="H722" s="131">
        <v>0</v>
      </c>
      <c r="I722" s="120">
        <v>0</v>
      </c>
      <c r="J722" s="133" t="s">
        <v>853</v>
      </c>
      <c r="K722" s="133">
        <v>0</v>
      </c>
      <c r="L722" s="117">
        <v>86</v>
      </c>
      <c r="M722" s="133">
        <f t="shared" si="29"/>
        <v>10</v>
      </c>
      <c r="N722" s="157"/>
      <c r="O722" s="158"/>
      <c r="P722" s="158"/>
      <c r="Q722" s="158"/>
      <c r="R722" s="158"/>
      <c r="S722" s="158"/>
      <c r="T722" s="158"/>
      <c r="U722" s="158"/>
      <c r="V722" s="158"/>
      <c r="W722" s="158"/>
      <c r="X722" s="158"/>
      <c r="Y722" s="158"/>
      <c r="Z722" s="158"/>
      <c r="AA722" s="158"/>
    </row>
    <row r="723" spans="1:27" ht="15.75" customHeight="1" x14ac:dyDescent="0.55000000000000004">
      <c r="A723" s="162">
        <v>120</v>
      </c>
      <c r="B723" s="162" t="s">
        <v>1664</v>
      </c>
      <c r="C723" s="162" t="s">
        <v>1665</v>
      </c>
      <c r="D723" s="163">
        <v>40551</v>
      </c>
      <c r="E723" s="120" t="s">
        <v>3167</v>
      </c>
      <c r="F723" s="131">
        <v>30</v>
      </c>
      <c r="G723" s="120">
        <v>0</v>
      </c>
      <c r="H723" s="131">
        <v>0</v>
      </c>
      <c r="I723" s="120">
        <v>0</v>
      </c>
      <c r="J723" s="133" t="s">
        <v>853</v>
      </c>
      <c r="K723" s="133">
        <v>0</v>
      </c>
      <c r="L723" s="117">
        <v>70.7</v>
      </c>
      <c r="M723" s="133">
        <f t="shared" si="29"/>
        <v>40.700000000000003</v>
      </c>
      <c r="N723" s="157"/>
      <c r="O723" s="158"/>
      <c r="P723" s="158"/>
      <c r="Q723" s="158"/>
      <c r="R723" s="158"/>
      <c r="S723" s="158"/>
      <c r="T723" s="158"/>
      <c r="U723" s="158"/>
      <c r="V723" s="158"/>
      <c r="W723" s="158"/>
      <c r="X723" s="158"/>
      <c r="Y723" s="158"/>
      <c r="Z723" s="158"/>
      <c r="AA723" s="158"/>
    </row>
    <row r="724" spans="1:27" ht="15.75" customHeight="1" x14ac:dyDescent="0.55000000000000004">
      <c r="A724" s="164">
        <v>121</v>
      </c>
      <c r="B724" s="164" t="s">
        <v>1671</v>
      </c>
      <c r="C724" s="164" t="s">
        <v>1046</v>
      </c>
      <c r="D724" s="165">
        <v>40762</v>
      </c>
      <c r="E724" s="120" t="s">
        <v>3168</v>
      </c>
      <c r="F724" s="131">
        <v>51</v>
      </c>
      <c r="G724" s="120">
        <v>0</v>
      </c>
      <c r="H724" s="131">
        <v>0</v>
      </c>
      <c r="I724" s="120">
        <v>1</v>
      </c>
      <c r="J724" s="133" t="s">
        <v>3169</v>
      </c>
      <c r="K724" s="133">
        <v>5</v>
      </c>
      <c r="L724" s="117">
        <v>67.400000000000006</v>
      </c>
      <c r="M724" s="133">
        <f t="shared" si="29"/>
        <v>16.400000000000006</v>
      </c>
      <c r="N724" s="157"/>
      <c r="O724" s="158"/>
      <c r="P724" s="158"/>
      <c r="Q724" s="158"/>
      <c r="R724" s="158"/>
      <c r="S724" s="158"/>
      <c r="T724" s="158"/>
      <c r="U724" s="158"/>
      <c r="V724" s="158"/>
      <c r="W724" s="158"/>
      <c r="X724" s="158"/>
      <c r="Y724" s="158"/>
      <c r="Z724" s="158"/>
      <c r="AA724" s="158"/>
    </row>
    <row r="725" spans="1:27" ht="15.75" customHeight="1" x14ac:dyDescent="0.55000000000000004">
      <c r="A725" s="164">
        <v>121</v>
      </c>
      <c r="B725" s="164" t="s">
        <v>1671</v>
      </c>
      <c r="C725" s="164" t="s">
        <v>1046</v>
      </c>
      <c r="D725" s="165">
        <v>40762</v>
      </c>
      <c r="E725" s="120" t="s">
        <v>3170</v>
      </c>
      <c r="F725" s="131">
        <v>11</v>
      </c>
      <c r="G725" s="120">
        <v>0</v>
      </c>
      <c r="H725" s="131">
        <v>0</v>
      </c>
      <c r="I725" s="120">
        <v>1</v>
      </c>
      <c r="J725" s="133" t="s">
        <v>3171</v>
      </c>
      <c r="K725" s="133">
        <v>5</v>
      </c>
      <c r="L725" s="117">
        <v>74.7</v>
      </c>
      <c r="M725" s="133">
        <f t="shared" si="29"/>
        <v>63.7</v>
      </c>
      <c r="N725" s="157"/>
      <c r="O725" s="158"/>
      <c r="P725" s="158"/>
      <c r="Q725" s="158"/>
      <c r="R725" s="158"/>
      <c r="S725" s="158"/>
      <c r="T725" s="158"/>
      <c r="U725" s="158"/>
      <c r="V725" s="158"/>
      <c r="W725" s="158"/>
      <c r="X725" s="158"/>
      <c r="Y725" s="158"/>
      <c r="Z725" s="158"/>
      <c r="AA725" s="158"/>
    </row>
    <row r="726" spans="1:27" ht="15.75" customHeight="1" x14ac:dyDescent="0.55000000000000004">
      <c r="A726" s="164">
        <v>121</v>
      </c>
      <c r="B726" s="164" t="s">
        <v>1671</v>
      </c>
      <c r="C726" s="164" t="s">
        <v>1046</v>
      </c>
      <c r="D726" s="165">
        <v>40762</v>
      </c>
      <c r="E726" s="120" t="s">
        <v>3172</v>
      </c>
      <c r="F726" s="131">
        <v>16</v>
      </c>
      <c r="G726" s="120">
        <v>1</v>
      </c>
      <c r="H726" s="131">
        <v>0</v>
      </c>
      <c r="I726" s="131">
        <v>1</v>
      </c>
      <c r="J726" s="133" t="s">
        <v>2394</v>
      </c>
      <c r="K726" s="133">
        <v>5</v>
      </c>
      <c r="L726" s="117">
        <v>79.599999999999994</v>
      </c>
      <c r="M726" s="133">
        <f t="shared" si="29"/>
        <v>63.599999999999994</v>
      </c>
      <c r="N726" s="157"/>
      <c r="O726" s="158"/>
      <c r="P726" s="158"/>
      <c r="Q726" s="158"/>
      <c r="R726" s="158"/>
      <c r="S726" s="158"/>
      <c r="T726" s="158"/>
      <c r="U726" s="158"/>
      <c r="V726" s="158"/>
      <c r="W726" s="158"/>
      <c r="X726" s="158"/>
      <c r="Y726" s="158"/>
      <c r="Z726" s="158"/>
      <c r="AA726" s="158"/>
    </row>
    <row r="727" spans="1:27" ht="15.75" customHeight="1" x14ac:dyDescent="0.55000000000000004">
      <c r="A727" s="164">
        <v>121</v>
      </c>
      <c r="B727" s="164" t="s">
        <v>1671</v>
      </c>
      <c r="C727" s="164" t="s">
        <v>1046</v>
      </c>
      <c r="D727" s="165">
        <v>40762</v>
      </c>
      <c r="E727" s="120" t="s">
        <v>3173</v>
      </c>
      <c r="F727" s="131">
        <v>44</v>
      </c>
      <c r="G727" s="120">
        <v>0</v>
      </c>
      <c r="H727" s="131">
        <v>0</v>
      </c>
      <c r="I727" s="131">
        <v>1</v>
      </c>
      <c r="J727" s="133" t="s">
        <v>2394</v>
      </c>
      <c r="K727" s="133">
        <v>5</v>
      </c>
      <c r="L727" s="117">
        <v>68</v>
      </c>
      <c r="M727" s="133">
        <f t="shared" si="29"/>
        <v>24</v>
      </c>
      <c r="N727" s="157"/>
      <c r="O727" s="158"/>
      <c r="P727" s="158"/>
      <c r="Q727" s="158"/>
      <c r="R727" s="158"/>
      <c r="S727" s="158"/>
      <c r="T727" s="158"/>
      <c r="U727" s="158"/>
      <c r="V727" s="158"/>
      <c r="W727" s="158"/>
      <c r="X727" s="158"/>
      <c r="Y727" s="158"/>
      <c r="Z727" s="158"/>
      <c r="AA727" s="158"/>
    </row>
    <row r="728" spans="1:27" ht="15.75" customHeight="1" x14ac:dyDescent="0.55000000000000004">
      <c r="A728" s="164">
        <v>121</v>
      </c>
      <c r="B728" s="164" t="s">
        <v>1671</v>
      </c>
      <c r="C728" s="164" t="s">
        <v>1046</v>
      </c>
      <c r="D728" s="165">
        <v>40762</v>
      </c>
      <c r="E728" s="120" t="s">
        <v>3174</v>
      </c>
      <c r="F728" s="131">
        <v>64</v>
      </c>
      <c r="G728" s="120">
        <v>1</v>
      </c>
      <c r="H728" s="131">
        <v>0</v>
      </c>
      <c r="I728" s="120">
        <v>1</v>
      </c>
      <c r="J728" s="133" t="s">
        <v>2394</v>
      </c>
      <c r="K728" s="133">
        <v>5</v>
      </c>
      <c r="L728" s="117">
        <v>72.2</v>
      </c>
      <c r="M728" s="133">
        <f t="shared" si="29"/>
        <v>8.2000000000000028</v>
      </c>
      <c r="N728" s="157"/>
      <c r="O728" s="158"/>
      <c r="P728" s="158"/>
      <c r="Q728" s="158"/>
      <c r="R728" s="158"/>
      <c r="S728" s="158"/>
      <c r="T728" s="158"/>
      <c r="U728" s="158"/>
      <c r="V728" s="158"/>
      <c r="W728" s="158"/>
      <c r="X728" s="158"/>
      <c r="Y728" s="158"/>
      <c r="Z728" s="158"/>
      <c r="AA728" s="158"/>
    </row>
    <row r="729" spans="1:27" ht="15.75" customHeight="1" x14ac:dyDescent="0.55000000000000004">
      <c r="A729" s="164">
        <v>121</v>
      </c>
      <c r="B729" s="164" t="s">
        <v>1671</v>
      </c>
      <c r="C729" s="164" t="s">
        <v>1046</v>
      </c>
      <c r="D729" s="165">
        <v>40762</v>
      </c>
      <c r="E729" s="120" t="s">
        <v>3175</v>
      </c>
      <c r="F729" s="131">
        <v>67</v>
      </c>
      <c r="G729" s="120">
        <v>0</v>
      </c>
      <c r="H729" s="131">
        <v>0</v>
      </c>
      <c r="I729" s="120">
        <v>1</v>
      </c>
      <c r="J729" s="133" t="s">
        <v>2394</v>
      </c>
      <c r="K729" s="133">
        <v>5</v>
      </c>
      <c r="L729" s="117">
        <v>82.7</v>
      </c>
      <c r="M729" s="133">
        <f t="shared" si="29"/>
        <v>15.700000000000003</v>
      </c>
      <c r="N729" s="157"/>
      <c r="O729" s="158"/>
      <c r="P729" s="158"/>
      <c r="Q729" s="158"/>
      <c r="R729" s="158"/>
      <c r="S729" s="158"/>
      <c r="T729" s="158"/>
      <c r="U729" s="158"/>
      <c r="V729" s="158"/>
      <c r="W729" s="158"/>
      <c r="X729" s="158"/>
      <c r="Y729" s="158"/>
      <c r="Z729" s="158"/>
      <c r="AA729" s="158"/>
    </row>
    <row r="730" spans="1:27" ht="15.75" customHeight="1" x14ac:dyDescent="0.55000000000000004">
      <c r="A730" s="164">
        <v>121</v>
      </c>
      <c r="B730" s="164" t="s">
        <v>1671</v>
      </c>
      <c r="C730" s="164" t="s">
        <v>1046</v>
      </c>
      <c r="D730" s="165">
        <v>40762</v>
      </c>
      <c r="E730" s="120" t="s">
        <v>3176</v>
      </c>
      <c r="F730" s="131">
        <v>16</v>
      </c>
      <c r="G730" s="120">
        <v>1</v>
      </c>
      <c r="H730" s="131">
        <v>0</v>
      </c>
      <c r="I730" s="120">
        <v>0</v>
      </c>
      <c r="J730" s="133" t="s">
        <v>853</v>
      </c>
      <c r="K730" s="133">
        <v>0</v>
      </c>
      <c r="L730" s="117">
        <v>79.599999999999994</v>
      </c>
      <c r="M730" s="133">
        <f t="shared" si="29"/>
        <v>63.599999999999994</v>
      </c>
      <c r="N730" s="157"/>
      <c r="O730" s="158"/>
      <c r="P730" s="158"/>
      <c r="Q730" s="158"/>
      <c r="R730" s="158"/>
      <c r="S730" s="158"/>
      <c r="T730" s="158"/>
      <c r="U730" s="158"/>
      <c r="V730" s="158"/>
      <c r="W730" s="158"/>
      <c r="X730" s="158"/>
      <c r="Y730" s="158"/>
      <c r="Z730" s="158"/>
      <c r="AA730" s="158"/>
    </row>
    <row r="731" spans="1:27" ht="15.75" customHeight="1" x14ac:dyDescent="0.55000000000000004">
      <c r="A731" s="166">
        <v>122</v>
      </c>
      <c r="B731" s="166" t="s">
        <v>1676</v>
      </c>
      <c r="C731" s="166" t="s">
        <v>1677</v>
      </c>
      <c r="D731" s="167">
        <v>40792</v>
      </c>
      <c r="E731" s="120" t="s">
        <v>3177</v>
      </c>
      <c r="F731" s="131">
        <v>67</v>
      </c>
      <c r="G731" s="120">
        <v>1</v>
      </c>
      <c r="H731" s="131">
        <v>0</v>
      </c>
      <c r="I731" s="120">
        <v>0</v>
      </c>
      <c r="J731" s="133" t="s">
        <v>853</v>
      </c>
      <c r="K731" s="133">
        <v>0</v>
      </c>
      <c r="L731" s="117">
        <v>85.3</v>
      </c>
      <c r="M731" s="133">
        <f t="shared" si="29"/>
        <v>18.299999999999997</v>
      </c>
      <c r="N731" s="157"/>
      <c r="O731" s="158"/>
      <c r="P731" s="158"/>
      <c r="Q731" s="158"/>
      <c r="R731" s="158"/>
      <c r="S731" s="158"/>
      <c r="T731" s="158"/>
      <c r="U731" s="158"/>
      <c r="V731" s="158"/>
      <c r="W731" s="158"/>
      <c r="X731" s="158"/>
      <c r="Y731" s="158"/>
      <c r="Z731" s="158"/>
      <c r="AA731" s="158"/>
    </row>
    <row r="732" spans="1:27" ht="15.75" customHeight="1" x14ac:dyDescent="0.55000000000000004">
      <c r="A732" s="166">
        <v>122</v>
      </c>
      <c r="B732" s="166" t="s">
        <v>1676</v>
      </c>
      <c r="C732" s="166" t="s">
        <v>1677</v>
      </c>
      <c r="D732" s="167">
        <v>40792</v>
      </c>
      <c r="E732" s="131" t="s">
        <v>3178</v>
      </c>
      <c r="F732" s="131">
        <v>35</v>
      </c>
      <c r="G732" s="120">
        <v>0</v>
      </c>
      <c r="H732" s="131">
        <v>0</v>
      </c>
      <c r="I732" s="120">
        <v>0</v>
      </c>
      <c r="J732" s="133" t="s">
        <v>853</v>
      </c>
      <c r="K732" s="133">
        <v>0</v>
      </c>
      <c r="L732" s="117">
        <v>69.5</v>
      </c>
      <c r="M732" s="133">
        <f t="shared" si="29"/>
        <v>34.5</v>
      </c>
      <c r="N732" s="157"/>
      <c r="O732" s="158"/>
      <c r="P732" s="158"/>
      <c r="Q732" s="158"/>
      <c r="R732" s="158"/>
      <c r="S732" s="158"/>
      <c r="T732" s="158"/>
      <c r="U732" s="158"/>
      <c r="V732" s="158"/>
      <c r="W732" s="158"/>
      <c r="X732" s="158"/>
      <c r="Y732" s="158"/>
      <c r="Z732" s="158"/>
      <c r="AA732" s="158"/>
    </row>
    <row r="733" spans="1:27" ht="15.75" customHeight="1" x14ac:dyDescent="0.55000000000000004">
      <c r="A733" s="166">
        <v>122</v>
      </c>
      <c r="B733" s="166" t="s">
        <v>1676</v>
      </c>
      <c r="C733" s="166" t="s">
        <v>1677</v>
      </c>
      <c r="D733" s="167">
        <v>40792</v>
      </c>
      <c r="E733" s="131" t="s">
        <v>3179</v>
      </c>
      <c r="F733" s="131">
        <v>31</v>
      </c>
      <c r="G733" s="120">
        <v>1</v>
      </c>
      <c r="H733" s="131">
        <v>0</v>
      </c>
      <c r="I733" s="120">
        <v>0</v>
      </c>
      <c r="J733" s="133" t="s">
        <v>853</v>
      </c>
      <c r="K733" s="133">
        <v>0</v>
      </c>
      <c r="L733" s="117">
        <v>78.099999999999994</v>
      </c>
      <c r="M733" s="133">
        <f t="shared" si="29"/>
        <v>47.099999999999994</v>
      </c>
      <c r="N733" s="157"/>
      <c r="O733" s="158"/>
      <c r="P733" s="158"/>
      <c r="Q733" s="158"/>
      <c r="R733" s="158"/>
      <c r="S733" s="158"/>
      <c r="T733" s="158"/>
      <c r="U733" s="158"/>
      <c r="V733" s="158"/>
      <c r="W733" s="158"/>
      <c r="X733" s="158"/>
      <c r="Y733" s="158"/>
      <c r="Z733" s="158"/>
      <c r="AA733" s="158"/>
    </row>
    <row r="734" spans="1:27" ht="15.75" customHeight="1" x14ac:dyDescent="0.55000000000000004">
      <c r="A734" s="166">
        <v>122</v>
      </c>
      <c r="B734" s="166" t="s">
        <v>1676</v>
      </c>
      <c r="C734" s="166" t="s">
        <v>1677</v>
      </c>
      <c r="D734" s="167">
        <v>40792</v>
      </c>
      <c r="E734" s="120" t="s">
        <v>3180</v>
      </c>
      <c r="F734" s="131">
        <v>38</v>
      </c>
      <c r="G734" s="120">
        <v>0</v>
      </c>
      <c r="H734" s="131">
        <v>0</v>
      </c>
      <c r="I734" s="120">
        <v>0</v>
      </c>
      <c r="J734" s="133" t="s">
        <v>853</v>
      </c>
      <c r="K734" s="133">
        <v>0</v>
      </c>
      <c r="L734" s="117">
        <v>69.5</v>
      </c>
      <c r="M734" s="133">
        <f t="shared" si="29"/>
        <v>31.5</v>
      </c>
      <c r="N734" s="157"/>
      <c r="O734" s="158"/>
      <c r="P734" s="158"/>
      <c r="Q734" s="158"/>
      <c r="R734" s="158"/>
      <c r="S734" s="158"/>
      <c r="T734" s="158"/>
      <c r="U734" s="158"/>
      <c r="V734" s="158"/>
      <c r="W734" s="158"/>
      <c r="X734" s="158"/>
      <c r="Y734" s="158"/>
      <c r="Z734" s="158"/>
      <c r="AA734" s="158"/>
    </row>
    <row r="735" spans="1:27" ht="15.75" customHeight="1" x14ac:dyDescent="0.55000000000000004">
      <c r="A735" s="177">
        <v>123</v>
      </c>
      <c r="B735" s="177" t="s">
        <v>1681</v>
      </c>
      <c r="C735" s="177" t="s">
        <v>1682</v>
      </c>
      <c r="D735" s="178">
        <v>40828</v>
      </c>
      <c r="E735" s="120" t="s">
        <v>3181</v>
      </c>
      <c r="F735" s="131">
        <v>54</v>
      </c>
      <c r="G735" s="120">
        <v>1</v>
      </c>
      <c r="H735" s="131">
        <v>0</v>
      </c>
      <c r="I735" s="120">
        <v>0</v>
      </c>
      <c r="J735" s="133" t="s">
        <v>853</v>
      </c>
      <c r="K735" s="133">
        <v>0</v>
      </c>
      <c r="L735" s="117">
        <v>74.099999999999994</v>
      </c>
      <c r="M735" s="133">
        <f t="shared" si="29"/>
        <v>20.099999999999994</v>
      </c>
      <c r="N735" s="157"/>
      <c r="O735" s="158"/>
      <c r="P735" s="158"/>
      <c r="Q735" s="158"/>
      <c r="R735" s="158"/>
      <c r="S735" s="158"/>
      <c r="T735" s="158"/>
      <c r="U735" s="158"/>
      <c r="V735" s="158"/>
      <c r="W735" s="158"/>
      <c r="X735" s="158"/>
      <c r="Y735" s="158"/>
      <c r="Z735" s="158"/>
      <c r="AA735" s="158"/>
    </row>
    <row r="736" spans="1:27" ht="15.75" customHeight="1" x14ac:dyDescent="0.55000000000000004">
      <c r="A736" s="177">
        <v>123</v>
      </c>
      <c r="B736" s="177" t="s">
        <v>1681</v>
      </c>
      <c r="C736" s="177" t="s">
        <v>1682</v>
      </c>
      <c r="D736" s="178">
        <v>40828</v>
      </c>
      <c r="E736" s="120" t="s">
        <v>3182</v>
      </c>
      <c r="F736" s="131">
        <v>64</v>
      </c>
      <c r="G736" s="120">
        <v>0</v>
      </c>
      <c r="H736" s="131">
        <v>0</v>
      </c>
      <c r="I736" s="120">
        <v>0</v>
      </c>
      <c r="J736" s="133" t="s">
        <v>853</v>
      </c>
      <c r="K736" s="133">
        <v>0</v>
      </c>
      <c r="L736" s="117">
        <v>66.5</v>
      </c>
      <c r="M736" s="133">
        <f t="shared" si="29"/>
        <v>2.5</v>
      </c>
      <c r="N736" s="157"/>
      <c r="O736" s="158"/>
      <c r="P736" s="158"/>
      <c r="Q736" s="158"/>
      <c r="R736" s="158"/>
      <c r="S736" s="158"/>
      <c r="T736" s="158"/>
      <c r="U736" s="158"/>
      <c r="V736" s="158"/>
      <c r="W736" s="158"/>
      <c r="X736" s="158"/>
      <c r="Y736" s="158"/>
      <c r="Z736" s="158"/>
      <c r="AA736" s="158"/>
    </row>
    <row r="737" spans="1:27" ht="15.75" customHeight="1" x14ac:dyDescent="0.55000000000000004">
      <c r="A737" s="177">
        <v>123</v>
      </c>
      <c r="B737" s="177" t="s">
        <v>1681</v>
      </c>
      <c r="C737" s="177" t="s">
        <v>1682</v>
      </c>
      <c r="D737" s="178">
        <v>40828</v>
      </c>
      <c r="E737" s="131" t="s">
        <v>3183</v>
      </c>
      <c r="F737" s="131">
        <v>62</v>
      </c>
      <c r="G737" s="120">
        <v>0</v>
      </c>
      <c r="H737" s="131">
        <v>0</v>
      </c>
      <c r="I737" s="120">
        <v>0</v>
      </c>
      <c r="J737" s="133" t="s">
        <v>853</v>
      </c>
      <c r="K737" s="133">
        <v>0</v>
      </c>
      <c r="L737" s="117">
        <v>66.5</v>
      </c>
      <c r="M737" s="133">
        <f t="shared" si="29"/>
        <v>4.5</v>
      </c>
      <c r="N737" s="157"/>
      <c r="O737" s="158"/>
      <c r="P737" s="158"/>
      <c r="Q737" s="158"/>
      <c r="R737" s="158"/>
      <c r="S737" s="158"/>
      <c r="T737" s="158"/>
      <c r="U737" s="158"/>
      <c r="V737" s="158"/>
      <c r="W737" s="158"/>
      <c r="X737" s="158"/>
      <c r="Y737" s="158"/>
      <c r="Z737" s="158"/>
      <c r="AA737" s="158"/>
    </row>
    <row r="738" spans="1:27" ht="15.75" customHeight="1" x14ac:dyDescent="0.55000000000000004">
      <c r="A738" s="177">
        <v>123</v>
      </c>
      <c r="B738" s="177" t="s">
        <v>1681</v>
      </c>
      <c r="C738" s="177" t="s">
        <v>1682</v>
      </c>
      <c r="D738" s="178">
        <v>40828</v>
      </c>
      <c r="E738" s="120" t="s">
        <v>3184</v>
      </c>
      <c r="F738" s="131">
        <v>47</v>
      </c>
      <c r="G738" s="120">
        <v>1</v>
      </c>
      <c r="H738" s="131">
        <v>0</v>
      </c>
      <c r="I738" s="120">
        <v>0</v>
      </c>
      <c r="J738" s="133" t="s">
        <v>853</v>
      </c>
      <c r="K738" s="133">
        <v>0</v>
      </c>
      <c r="L738" s="117">
        <v>74.099999999999994</v>
      </c>
      <c r="M738" s="133">
        <f t="shared" si="29"/>
        <v>27.099999999999994</v>
      </c>
      <c r="N738" s="157"/>
      <c r="O738" s="158"/>
      <c r="P738" s="158"/>
      <c r="Q738" s="158"/>
      <c r="R738" s="158"/>
      <c r="S738" s="158"/>
      <c r="T738" s="158"/>
      <c r="U738" s="158"/>
      <c r="V738" s="158"/>
      <c r="W738" s="158"/>
      <c r="X738" s="158"/>
      <c r="Y738" s="158"/>
      <c r="Z738" s="158"/>
      <c r="AA738" s="158"/>
    </row>
    <row r="739" spans="1:27" ht="15.75" customHeight="1" x14ac:dyDescent="0.55000000000000004">
      <c r="A739" s="177">
        <v>123</v>
      </c>
      <c r="B739" s="177" t="s">
        <v>1681</v>
      </c>
      <c r="C739" s="177" t="s">
        <v>1682</v>
      </c>
      <c r="D739" s="178">
        <v>40828</v>
      </c>
      <c r="E739" s="131" t="s">
        <v>3185</v>
      </c>
      <c r="F739" s="131">
        <v>48</v>
      </c>
      <c r="G739" s="120">
        <v>1</v>
      </c>
      <c r="H739" s="131">
        <v>0</v>
      </c>
      <c r="I739" s="120">
        <v>1</v>
      </c>
      <c r="J739" s="133" t="s">
        <v>3186</v>
      </c>
      <c r="K739" s="133">
        <v>2</v>
      </c>
      <c r="L739" s="117">
        <v>74.099999999999994</v>
      </c>
      <c r="M739" s="133">
        <f t="shared" si="29"/>
        <v>26.099999999999994</v>
      </c>
      <c r="N739" s="157"/>
      <c r="O739" s="158"/>
      <c r="P739" s="158"/>
      <c r="Q739" s="158"/>
      <c r="R739" s="158"/>
      <c r="S739" s="158"/>
      <c r="T739" s="158"/>
      <c r="U739" s="158"/>
      <c r="V739" s="158"/>
      <c r="W739" s="158"/>
      <c r="X739" s="158"/>
      <c r="Y739" s="158"/>
      <c r="Z739" s="158"/>
      <c r="AA739" s="158"/>
    </row>
    <row r="740" spans="1:27" ht="15.75" customHeight="1" x14ac:dyDescent="0.55000000000000004">
      <c r="A740" s="177">
        <v>123</v>
      </c>
      <c r="B740" s="177" t="s">
        <v>1681</v>
      </c>
      <c r="C740" s="177" t="s">
        <v>1682</v>
      </c>
      <c r="D740" s="178">
        <v>40828</v>
      </c>
      <c r="E740" s="131" t="s">
        <v>3187</v>
      </c>
      <c r="F740" s="131">
        <v>65</v>
      </c>
      <c r="G740" s="120">
        <v>1</v>
      </c>
      <c r="H740" s="131">
        <v>0</v>
      </c>
      <c r="I740" s="120">
        <v>0</v>
      </c>
      <c r="J740" s="133" t="s">
        <v>853</v>
      </c>
      <c r="K740" s="133">
        <v>0</v>
      </c>
      <c r="L740" s="117">
        <v>85.4</v>
      </c>
      <c r="M740" s="133">
        <f t="shared" si="29"/>
        <v>20.400000000000006</v>
      </c>
      <c r="N740" s="157"/>
      <c r="O740" s="158"/>
      <c r="P740" s="158"/>
      <c r="Q740" s="158"/>
      <c r="R740" s="158"/>
      <c r="S740" s="158"/>
      <c r="T740" s="158"/>
      <c r="U740" s="158"/>
      <c r="V740" s="158"/>
      <c r="W740" s="158"/>
      <c r="X740" s="158"/>
      <c r="Y740" s="158"/>
      <c r="Z740" s="158"/>
      <c r="AA740" s="158"/>
    </row>
    <row r="741" spans="1:27" ht="15.75" customHeight="1" x14ac:dyDescent="0.55000000000000004">
      <c r="A741" s="177">
        <v>123</v>
      </c>
      <c r="B741" s="177" t="s">
        <v>1681</v>
      </c>
      <c r="C741" s="177" t="s">
        <v>1682</v>
      </c>
      <c r="D741" s="178">
        <v>40828</v>
      </c>
      <c r="E741" s="131" t="s">
        <v>3188</v>
      </c>
      <c r="F741" s="131">
        <v>46</v>
      </c>
      <c r="G741" s="120">
        <v>1</v>
      </c>
      <c r="H741" s="131">
        <v>0</v>
      </c>
      <c r="I741" s="120">
        <v>0</v>
      </c>
      <c r="J741" s="133" t="s">
        <v>853</v>
      </c>
      <c r="K741" s="133">
        <v>0</v>
      </c>
      <c r="L741" s="117">
        <v>75.599999999999994</v>
      </c>
      <c r="M741" s="133">
        <f t="shared" si="29"/>
        <v>29.599999999999994</v>
      </c>
      <c r="N741" s="157"/>
      <c r="O741" s="158"/>
      <c r="P741" s="158"/>
      <c r="Q741" s="158"/>
      <c r="R741" s="158"/>
      <c r="S741" s="158"/>
      <c r="T741" s="158"/>
      <c r="U741" s="158"/>
      <c r="V741" s="158"/>
      <c r="W741" s="158"/>
      <c r="X741" s="158"/>
      <c r="Y741" s="158"/>
      <c r="Z741" s="158"/>
      <c r="AA741" s="158"/>
    </row>
    <row r="742" spans="1:27" ht="15.75" customHeight="1" x14ac:dyDescent="0.55000000000000004">
      <c r="A742" s="177">
        <v>123</v>
      </c>
      <c r="B742" s="177" t="s">
        <v>1681</v>
      </c>
      <c r="C742" s="177" t="s">
        <v>1682</v>
      </c>
      <c r="D742" s="178">
        <v>40828</v>
      </c>
      <c r="E742" s="131" t="s">
        <v>3189</v>
      </c>
      <c r="F742" s="131">
        <v>47</v>
      </c>
      <c r="G742" s="120">
        <v>1</v>
      </c>
      <c r="H742" s="131">
        <v>0</v>
      </c>
      <c r="I742" s="131">
        <v>1</v>
      </c>
      <c r="J742" s="133" t="s">
        <v>2746</v>
      </c>
      <c r="K742" s="133">
        <v>5</v>
      </c>
      <c r="L742" s="117">
        <v>74.099999999999994</v>
      </c>
      <c r="M742" s="133">
        <f t="shared" si="29"/>
        <v>27.099999999999994</v>
      </c>
      <c r="N742" s="157"/>
      <c r="O742" s="158"/>
      <c r="P742" s="158"/>
      <c r="Q742" s="158"/>
      <c r="R742" s="158"/>
      <c r="S742" s="158"/>
      <c r="T742" s="158"/>
      <c r="U742" s="158"/>
      <c r="V742" s="158"/>
      <c r="W742" s="158"/>
      <c r="X742" s="158"/>
      <c r="Y742" s="158"/>
      <c r="Z742" s="158"/>
      <c r="AA742" s="158"/>
    </row>
    <row r="743" spans="1:27" ht="15.75" customHeight="1" x14ac:dyDescent="0.55000000000000004">
      <c r="A743" s="173">
        <v>124</v>
      </c>
      <c r="B743" s="173" t="s">
        <v>1689</v>
      </c>
      <c r="C743" s="173" t="s">
        <v>1690</v>
      </c>
      <c r="D743" s="174">
        <v>41001</v>
      </c>
      <c r="E743" s="120" t="s">
        <v>3190</v>
      </c>
      <c r="F743" s="131">
        <v>38</v>
      </c>
      <c r="G743" s="120">
        <v>0</v>
      </c>
      <c r="H743" s="161" t="str">
        <f>HYPERLINK("https://www.findagrave.com/memorial/107374976/tshering-rinzing-bhutia","3")</f>
        <v>3</v>
      </c>
      <c r="I743" s="131">
        <v>1</v>
      </c>
      <c r="J743" s="133" t="s">
        <v>3090</v>
      </c>
      <c r="K743" s="133">
        <v>4</v>
      </c>
      <c r="L743" s="117">
        <v>68.8</v>
      </c>
      <c r="M743" s="133">
        <f t="shared" si="29"/>
        <v>30.799999999999997</v>
      </c>
      <c r="N743" s="157"/>
      <c r="O743" s="158"/>
      <c r="P743" s="158"/>
      <c r="Q743" s="158"/>
      <c r="R743" s="158"/>
      <c r="S743" s="158"/>
      <c r="T743" s="158"/>
      <c r="U743" s="158"/>
      <c r="V743" s="158"/>
      <c r="W743" s="158"/>
      <c r="X743" s="158"/>
      <c r="Y743" s="158"/>
      <c r="Z743" s="158"/>
      <c r="AA743" s="158"/>
    </row>
    <row r="744" spans="1:27" ht="15.75" customHeight="1" x14ac:dyDescent="0.55000000000000004">
      <c r="A744" s="173">
        <v>124</v>
      </c>
      <c r="B744" s="173" t="s">
        <v>1689</v>
      </c>
      <c r="C744" s="173" t="s">
        <v>1690</v>
      </c>
      <c r="D744" s="174">
        <v>41001</v>
      </c>
      <c r="E744" s="120" t="s">
        <v>3191</v>
      </c>
      <c r="F744" s="131">
        <v>40</v>
      </c>
      <c r="G744" s="120">
        <v>1</v>
      </c>
      <c r="H744" s="161" t="str">
        <f>HYPERLINK("http://saharareporters.com/2012/04/04/forty-year-old-nigerian-woman-enugu-among-victims-mass-shooting-oakland-california","1")</f>
        <v>1</v>
      </c>
      <c r="I744" s="120">
        <v>1</v>
      </c>
      <c r="J744" s="133" t="s">
        <v>3090</v>
      </c>
      <c r="K744" s="133">
        <v>4</v>
      </c>
      <c r="L744" s="117">
        <v>68.3</v>
      </c>
      <c r="M744" s="133">
        <f t="shared" si="29"/>
        <v>28.299999999999997</v>
      </c>
      <c r="N744" s="157"/>
      <c r="O744" s="158"/>
      <c r="P744" s="158"/>
      <c r="Q744" s="158"/>
      <c r="R744" s="158"/>
      <c r="S744" s="158"/>
      <c r="T744" s="158"/>
      <c r="U744" s="158"/>
      <c r="V744" s="158"/>
      <c r="W744" s="158"/>
      <c r="X744" s="158"/>
      <c r="Y744" s="158"/>
      <c r="Z744" s="158"/>
      <c r="AA744" s="158"/>
    </row>
    <row r="745" spans="1:27" ht="15.75" customHeight="1" x14ac:dyDescent="0.55000000000000004">
      <c r="A745" s="173">
        <v>124</v>
      </c>
      <c r="B745" s="173" t="s">
        <v>1689</v>
      </c>
      <c r="C745" s="173" t="s">
        <v>1690</v>
      </c>
      <c r="D745" s="174">
        <v>41001</v>
      </c>
      <c r="E745" s="120" t="s">
        <v>3192</v>
      </c>
      <c r="F745" s="131">
        <v>33</v>
      </c>
      <c r="G745" s="120">
        <v>1</v>
      </c>
      <c r="H745" s="161" t="str">
        <f>HYPERLINK("https://www.mercurynews.com/2012/04/03/oakland-university-shooting-victim-sonam-chodon-worked-for-tibets-exiled-government-before-pursuing-nursing-career/","3")</f>
        <v>3</v>
      </c>
      <c r="I745" s="120">
        <v>1</v>
      </c>
      <c r="J745" s="133" t="s">
        <v>3090</v>
      </c>
      <c r="K745" s="133">
        <v>4</v>
      </c>
      <c r="L745" s="117">
        <v>77.400000000000006</v>
      </c>
      <c r="M745" s="133">
        <f t="shared" si="29"/>
        <v>44.400000000000006</v>
      </c>
      <c r="N745" s="157"/>
      <c r="O745" s="158"/>
      <c r="P745" s="158"/>
      <c r="Q745" s="158"/>
      <c r="R745" s="158"/>
      <c r="S745" s="158"/>
      <c r="T745" s="158"/>
      <c r="U745" s="158"/>
      <c r="V745" s="158"/>
      <c r="W745" s="158"/>
      <c r="X745" s="158"/>
      <c r="Y745" s="158"/>
      <c r="Z745" s="158"/>
      <c r="AA745" s="158"/>
    </row>
    <row r="746" spans="1:27" ht="15.75" customHeight="1" x14ac:dyDescent="0.55000000000000004">
      <c r="A746" s="173">
        <v>124</v>
      </c>
      <c r="B746" s="173" t="s">
        <v>1689</v>
      </c>
      <c r="C746" s="173" t="s">
        <v>1690</v>
      </c>
      <c r="D746" s="174">
        <v>41001</v>
      </c>
      <c r="E746" s="120" t="s">
        <v>3193</v>
      </c>
      <c r="F746" s="131">
        <v>23</v>
      </c>
      <c r="G746" s="120">
        <v>1</v>
      </c>
      <c r="H746" s="161" t="str">
        <f>HYPERLINK("https://www.sfgate.com/crime/article/Oikos-shooting-victim-Grace-Eunhea-Kim-3457417.php","3")</f>
        <v>3</v>
      </c>
      <c r="I746" s="120">
        <v>1</v>
      </c>
      <c r="J746" s="133" t="s">
        <v>3090</v>
      </c>
      <c r="K746" s="133">
        <v>4</v>
      </c>
      <c r="L746" s="117">
        <v>78.8</v>
      </c>
      <c r="M746" s="133">
        <f t="shared" si="29"/>
        <v>55.8</v>
      </c>
      <c r="N746" s="157"/>
      <c r="O746" s="158"/>
      <c r="P746" s="158"/>
      <c r="Q746" s="158"/>
      <c r="R746" s="158"/>
      <c r="S746" s="158"/>
      <c r="T746" s="158"/>
      <c r="U746" s="158"/>
      <c r="V746" s="158"/>
      <c r="W746" s="158"/>
      <c r="X746" s="158"/>
      <c r="Y746" s="158"/>
      <c r="Z746" s="158"/>
      <c r="AA746" s="158"/>
    </row>
    <row r="747" spans="1:27" ht="15.75" customHeight="1" x14ac:dyDescent="0.55000000000000004">
      <c r="A747" s="173">
        <v>124</v>
      </c>
      <c r="B747" s="173" t="s">
        <v>1689</v>
      </c>
      <c r="C747" s="173" t="s">
        <v>1690</v>
      </c>
      <c r="D747" s="174">
        <v>41001</v>
      </c>
      <c r="E747" s="120" t="s">
        <v>3194</v>
      </c>
      <c r="F747" s="161" t="str">
        <f>HYPERLINK("https://www.mercurynews.com/2012/04/03/oakland-university-shooting-oakland-family-grieves-for-young-mother-of-one-katleen-ping/","24")</f>
        <v>24</v>
      </c>
      <c r="G747" s="120">
        <v>1</v>
      </c>
      <c r="H747" s="161" t="str">
        <f>HYPERLINK("https://www.mercurynews.com/2012/04/03/oakland-university-shooting-oakland-family-grieves-for-young-mother-of-one-katleen-ping/","3")</f>
        <v>3</v>
      </c>
      <c r="I747" s="120">
        <v>1</v>
      </c>
      <c r="J747" s="133" t="s">
        <v>3195</v>
      </c>
      <c r="K747" s="133">
        <v>4</v>
      </c>
      <c r="L747" s="117">
        <v>78.8</v>
      </c>
      <c r="M747" s="133">
        <f t="shared" si="29"/>
        <v>54.8</v>
      </c>
      <c r="N747" s="157"/>
      <c r="O747" s="158"/>
      <c r="P747" s="158"/>
      <c r="Q747" s="158"/>
      <c r="R747" s="158"/>
      <c r="S747" s="158"/>
      <c r="T747" s="158"/>
      <c r="U747" s="158"/>
      <c r="V747" s="158"/>
      <c r="W747" s="158"/>
      <c r="X747" s="158"/>
      <c r="Y747" s="158"/>
      <c r="Z747" s="158"/>
      <c r="AA747" s="158"/>
    </row>
    <row r="748" spans="1:27" ht="15.75" customHeight="1" x14ac:dyDescent="0.55000000000000004">
      <c r="A748" s="173">
        <v>124</v>
      </c>
      <c r="B748" s="173" t="s">
        <v>1689</v>
      </c>
      <c r="C748" s="173" t="s">
        <v>1690</v>
      </c>
      <c r="D748" s="174">
        <v>41001</v>
      </c>
      <c r="E748" s="120" t="s">
        <v>3196</v>
      </c>
      <c r="F748" s="131">
        <v>53</v>
      </c>
      <c r="G748" s="120">
        <v>1</v>
      </c>
      <c r="H748" s="161" t="str">
        <f>HYPERLINK("https://www.mercurynews.com/2012/04/03/oakland-university-shooting-willow-glen-mom-judith-seymour-killed-in-rampage/","1")</f>
        <v>1</v>
      </c>
      <c r="I748" s="120">
        <v>1</v>
      </c>
      <c r="J748" s="133" t="s">
        <v>3090</v>
      </c>
      <c r="K748" s="133">
        <v>4</v>
      </c>
      <c r="L748" s="117">
        <v>66.3</v>
      </c>
      <c r="M748" s="133">
        <f t="shared" si="29"/>
        <v>13.299999999999997</v>
      </c>
      <c r="N748" s="157"/>
      <c r="O748" s="158"/>
      <c r="P748" s="158"/>
      <c r="Q748" s="158"/>
      <c r="R748" s="158"/>
      <c r="S748" s="158"/>
      <c r="T748" s="158"/>
      <c r="U748" s="158"/>
      <c r="V748" s="158"/>
      <c r="W748" s="158"/>
      <c r="X748" s="158"/>
      <c r="Y748" s="158"/>
      <c r="Z748" s="158"/>
      <c r="AA748" s="158"/>
    </row>
    <row r="749" spans="1:27" ht="15.75" customHeight="1" x14ac:dyDescent="0.55000000000000004">
      <c r="A749" s="173">
        <v>124</v>
      </c>
      <c r="B749" s="173" t="s">
        <v>1689</v>
      </c>
      <c r="C749" s="173" t="s">
        <v>1690</v>
      </c>
      <c r="D749" s="174">
        <v>41001</v>
      </c>
      <c r="E749" s="120" t="s">
        <v>3197</v>
      </c>
      <c r="F749" s="131">
        <v>21</v>
      </c>
      <c r="G749" s="120">
        <v>1</v>
      </c>
      <c r="H749" s="161" t="str">
        <f>HYPERLINK("https://www.mercurynews.com/2012/04/03/oakland-school-shooting-hayward-family-grieves-for-nursing-student-lydia-sim/","3")</f>
        <v>3</v>
      </c>
      <c r="I749" s="120">
        <v>1</v>
      </c>
      <c r="J749" s="133" t="s">
        <v>3090</v>
      </c>
      <c r="K749" s="133">
        <v>4</v>
      </c>
      <c r="L749" s="117">
        <v>78.8</v>
      </c>
      <c r="M749" s="133">
        <f t="shared" si="29"/>
        <v>57.8</v>
      </c>
      <c r="N749" s="157"/>
      <c r="O749" s="158"/>
      <c r="P749" s="158"/>
      <c r="Q749" s="158"/>
      <c r="R749" s="158"/>
      <c r="S749" s="158"/>
      <c r="T749" s="158"/>
      <c r="U749" s="158"/>
      <c r="V749" s="158"/>
      <c r="W749" s="158"/>
      <c r="X749" s="158"/>
      <c r="Y749" s="158"/>
      <c r="Z749" s="158"/>
      <c r="AA749" s="158"/>
    </row>
    <row r="750" spans="1:27" ht="15.75" customHeight="1" x14ac:dyDescent="0.55000000000000004">
      <c r="A750" s="175">
        <v>125</v>
      </c>
      <c r="B750" s="175" t="s">
        <v>1694</v>
      </c>
      <c r="C750" s="175" t="s">
        <v>1695</v>
      </c>
      <c r="D750" s="176">
        <v>41059</v>
      </c>
      <c r="E750" s="120" t="s">
        <v>3198</v>
      </c>
      <c r="F750" s="131">
        <v>52</v>
      </c>
      <c r="G750" s="120">
        <v>0</v>
      </c>
      <c r="H750" s="161" t="str">
        <f>HYPERLINK("https://www.findagrave.com/memorial/91068283/joseph-vito-albanese","0")</f>
        <v>0</v>
      </c>
      <c r="I750" s="131">
        <v>1</v>
      </c>
      <c r="J750" s="133" t="s">
        <v>2746</v>
      </c>
      <c r="K750" s="133">
        <v>5</v>
      </c>
      <c r="L750" s="117">
        <v>67.400000000000006</v>
      </c>
      <c r="M750" s="133">
        <f t="shared" si="29"/>
        <v>15.400000000000006</v>
      </c>
      <c r="N750" s="157"/>
      <c r="O750" s="158"/>
      <c r="P750" s="158"/>
      <c r="Q750" s="158"/>
      <c r="R750" s="158"/>
      <c r="S750" s="158"/>
      <c r="T750" s="158"/>
      <c r="U750" s="158"/>
      <c r="V750" s="158"/>
      <c r="W750" s="158"/>
      <c r="X750" s="158"/>
      <c r="Y750" s="158"/>
      <c r="Z750" s="158"/>
      <c r="AA750" s="158"/>
    </row>
    <row r="751" spans="1:27" ht="15.75" customHeight="1" x14ac:dyDescent="0.55000000000000004">
      <c r="A751" s="175">
        <v>125</v>
      </c>
      <c r="B751" s="175" t="s">
        <v>1694</v>
      </c>
      <c r="C751" s="175" t="s">
        <v>1695</v>
      </c>
      <c r="D751" s="176">
        <v>41059</v>
      </c>
      <c r="E751" s="120" t="s">
        <v>3199</v>
      </c>
      <c r="F751" s="131">
        <v>45</v>
      </c>
      <c r="G751" s="120">
        <v>0</v>
      </c>
      <c r="H751" s="161" t="str">
        <f>HYPERLINK("https://www.findagrave.com/memorial/91068257/andrew-thomas-keriakedes","0")</f>
        <v>0</v>
      </c>
      <c r="I751" s="131">
        <v>1</v>
      </c>
      <c r="J751" s="133" t="s">
        <v>2746</v>
      </c>
      <c r="K751" s="133">
        <v>5</v>
      </c>
      <c r="L751" s="117">
        <v>68</v>
      </c>
      <c r="M751" s="133">
        <f t="shared" si="29"/>
        <v>23</v>
      </c>
      <c r="N751" s="157"/>
      <c r="O751" s="158"/>
      <c r="P751" s="158"/>
      <c r="Q751" s="158"/>
      <c r="R751" s="158"/>
      <c r="S751" s="158"/>
      <c r="T751" s="158"/>
      <c r="U751" s="158"/>
      <c r="V751" s="158"/>
      <c r="W751" s="158"/>
      <c r="X751" s="158"/>
      <c r="Y751" s="158"/>
      <c r="Z751" s="158"/>
      <c r="AA751" s="158"/>
    </row>
    <row r="752" spans="1:27" ht="15.75" customHeight="1" x14ac:dyDescent="0.55000000000000004">
      <c r="A752" s="175">
        <v>125</v>
      </c>
      <c r="B752" s="175" t="s">
        <v>1694</v>
      </c>
      <c r="C752" s="175" t="s">
        <v>1695</v>
      </c>
      <c r="D752" s="176">
        <v>41059</v>
      </c>
      <c r="E752" s="120" t="s">
        <v>3200</v>
      </c>
      <c r="F752" s="131">
        <v>57</v>
      </c>
      <c r="G752" s="120">
        <v>0</v>
      </c>
      <c r="H752" s="161" t="str">
        <f>HYPERLINK("https://www.findagrave.com/memorial/91144969/donald-b-largen","0")</f>
        <v>0</v>
      </c>
      <c r="I752" s="120">
        <v>0</v>
      </c>
      <c r="J752" s="133" t="s">
        <v>853</v>
      </c>
      <c r="K752" s="133">
        <v>0</v>
      </c>
      <c r="L752" s="117">
        <v>67.400000000000006</v>
      </c>
      <c r="M752" s="133">
        <f t="shared" si="29"/>
        <v>10.400000000000006</v>
      </c>
      <c r="N752" s="157"/>
      <c r="O752" s="158"/>
      <c r="P752" s="158"/>
      <c r="Q752" s="158"/>
      <c r="R752" s="158"/>
      <c r="S752" s="158"/>
      <c r="T752" s="158"/>
      <c r="U752" s="158"/>
      <c r="V752" s="158"/>
      <c r="W752" s="158"/>
      <c r="X752" s="158"/>
      <c r="Y752" s="158"/>
      <c r="Z752" s="158"/>
      <c r="AA752" s="158"/>
    </row>
    <row r="753" spans="1:27" ht="15.75" customHeight="1" x14ac:dyDescent="0.55000000000000004">
      <c r="A753" s="175">
        <v>125</v>
      </c>
      <c r="B753" s="175" t="s">
        <v>1694</v>
      </c>
      <c r="C753" s="175" t="s">
        <v>1695</v>
      </c>
      <c r="D753" s="176">
        <v>41059</v>
      </c>
      <c r="E753" s="120" t="s">
        <v>3201</v>
      </c>
      <c r="F753" s="131">
        <v>38</v>
      </c>
      <c r="G753" s="120">
        <v>1</v>
      </c>
      <c r="H753" s="161" t="str">
        <f>HYPERLINK("https://www.seattletimes.com/seattle-news/local-actress-urban-planner-among-shooting-victims/","0")</f>
        <v>0</v>
      </c>
      <c r="I753" s="120">
        <v>0</v>
      </c>
      <c r="J753" s="133" t="s">
        <v>853</v>
      </c>
      <c r="K753" s="133">
        <v>0</v>
      </c>
      <c r="L753" s="117">
        <v>77.3</v>
      </c>
      <c r="M753" s="133">
        <f t="shared" si="29"/>
        <v>39.299999999999997</v>
      </c>
      <c r="N753" s="157"/>
      <c r="O753" s="158"/>
      <c r="P753" s="158"/>
      <c r="Q753" s="158"/>
      <c r="R753" s="158"/>
      <c r="S753" s="158"/>
      <c r="T753" s="158"/>
      <c r="U753" s="158"/>
      <c r="V753" s="158"/>
      <c r="W753" s="158"/>
      <c r="X753" s="158"/>
      <c r="Y753" s="158"/>
      <c r="Z753" s="158"/>
      <c r="AA753" s="158"/>
    </row>
    <row r="754" spans="1:27" ht="15.75" customHeight="1" x14ac:dyDescent="0.55000000000000004">
      <c r="A754" s="175">
        <v>125</v>
      </c>
      <c r="B754" s="175" t="s">
        <v>1694</v>
      </c>
      <c r="C754" s="175" t="s">
        <v>1695</v>
      </c>
      <c r="D754" s="176">
        <v>41059</v>
      </c>
      <c r="E754" s="120" t="s">
        <v>3202</v>
      </c>
      <c r="F754" s="131">
        <v>52</v>
      </c>
      <c r="G754" s="120">
        <v>1</v>
      </c>
      <c r="H754" s="120">
        <v>0</v>
      </c>
      <c r="I754" s="120">
        <v>0</v>
      </c>
      <c r="J754" s="133" t="s">
        <v>853</v>
      </c>
      <c r="K754" s="133">
        <v>0</v>
      </c>
      <c r="L754" s="117">
        <v>74.099999999999994</v>
      </c>
      <c r="M754" s="133">
        <f t="shared" si="29"/>
        <v>22.099999999999994</v>
      </c>
      <c r="N754" s="157"/>
      <c r="O754" s="158"/>
      <c r="P754" s="158"/>
      <c r="Q754" s="158"/>
      <c r="R754" s="158"/>
      <c r="S754" s="158"/>
      <c r="T754" s="158"/>
      <c r="U754" s="158"/>
      <c r="V754" s="158"/>
      <c r="W754" s="158"/>
      <c r="X754" s="158"/>
      <c r="Y754" s="158"/>
      <c r="Z754" s="158"/>
      <c r="AA754" s="158"/>
    </row>
    <row r="755" spans="1:27" ht="15.75" customHeight="1" x14ac:dyDescent="0.55000000000000004">
      <c r="A755" s="159">
        <v>126</v>
      </c>
      <c r="B755" s="159" t="s">
        <v>1702</v>
      </c>
      <c r="C755" s="159" t="s">
        <v>1061</v>
      </c>
      <c r="D755" s="160">
        <v>41110</v>
      </c>
      <c r="E755" s="120" t="s">
        <v>3203</v>
      </c>
      <c r="F755" s="131">
        <v>26</v>
      </c>
      <c r="G755" s="120">
        <v>0</v>
      </c>
      <c r="H755" s="120">
        <v>0</v>
      </c>
      <c r="I755" s="120">
        <v>0</v>
      </c>
      <c r="J755" s="133" t="s">
        <v>853</v>
      </c>
      <c r="K755" s="133">
        <v>0</v>
      </c>
      <c r="L755" s="117">
        <v>72.7</v>
      </c>
      <c r="M755" s="133">
        <f t="shared" si="29"/>
        <v>46.7</v>
      </c>
      <c r="N755" s="157"/>
      <c r="O755" s="158"/>
      <c r="P755" s="158"/>
      <c r="Q755" s="158"/>
      <c r="R755" s="158"/>
      <c r="S755" s="158"/>
      <c r="T755" s="158"/>
      <c r="U755" s="158"/>
      <c r="V755" s="158"/>
      <c r="W755" s="158"/>
      <c r="X755" s="158"/>
      <c r="Y755" s="158"/>
      <c r="Z755" s="158"/>
      <c r="AA755" s="158"/>
    </row>
    <row r="756" spans="1:27" ht="15.75" customHeight="1" x14ac:dyDescent="0.55000000000000004">
      <c r="A756" s="159">
        <v>126</v>
      </c>
      <c r="B756" s="159" t="s">
        <v>1702</v>
      </c>
      <c r="C756" s="159" t="s">
        <v>1061</v>
      </c>
      <c r="D756" s="160">
        <v>41110</v>
      </c>
      <c r="E756" s="120" t="s">
        <v>3204</v>
      </c>
      <c r="F756" s="131">
        <v>18</v>
      </c>
      <c r="G756" s="120">
        <v>0</v>
      </c>
      <c r="H756" s="120">
        <v>0</v>
      </c>
      <c r="I756" s="120">
        <v>0</v>
      </c>
      <c r="J756" s="133" t="s">
        <v>853</v>
      </c>
      <c r="K756" s="133">
        <v>0</v>
      </c>
      <c r="L756" s="117">
        <v>72.7</v>
      </c>
      <c r="M756" s="133">
        <f t="shared" si="29"/>
        <v>54.7</v>
      </c>
      <c r="N756" s="157"/>
      <c r="O756" s="158"/>
      <c r="P756" s="158"/>
      <c r="Q756" s="158"/>
      <c r="R756" s="158"/>
      <c r="S756" s="158"/>
      <c r="T756" s="158"/>
      <c r="U756" s="158"/>
      <c r="V756" s="158"/>
      <c r="W756" s="158"/>
      <c r="X756" s="158"/>
      <c r="Y756" s="158"/>
      <c r="Z756" s="158"/>
      <c r="AA756" s="158"/>
    </row>
    <row r="757" spans="1:27" ht="15.75" customHeight="1" x14ac:dyDescent="0.55000000000000004">
      <c r="A757" s="159">
        <v>126</v>
      </c>
      <c r="B757" s="159" t="s">
        <v>1702</v>
      </c>
      <c r="C757" s="159" t="s">
        <v>1061</v>
      </c>
      <c r="D757" s="160">
        <v>41110</v>
      </c>
      <c r="E757" s="120" t="s">
        <v>3205</v>
      </c>
      <c r="F757" s="120">
        <v>29</v>
      </c>
      <c r="G757" s="120">
        <v>0</v>
      </c>
      <c r="H757" s="120">
        <v>0</v>
      </c>
      <c r="I757" s="120">
        <v>0</v>
      </c>
      <c r="J757" s="133" t="s">
        <v>853</v>
      </c>
      <c r="K757" s="133">
        <v>0</v>
      </c>
      <c r="L757" s="117">
        <v>70.7</v>
      </c>
      <c r="M757" s="133">
        <f t="shared" si="29"/>
        <v>41.7</v>
      </c>
      <c r="N757" s="157"/>
      <c r="O757" s="158"/>
      <c r="P757" s="158"/>
      <c r="Q757" s="158"/>
      <c r="R757" s="158"/>
      <c r="S757" s="158"/>
      <c r="T757" s="158"/>
      <c r="U757" s="158"/>
      <c r="V757" s="158"/>
      <c r="W757" s="158"/>
      <c r="X757" s="158"/>
      <c r="Y757" s="158"/>
      <c r="Z757" s="158"/>
      <c r="AA757" s="158"/>
    </row>
    <row r="758" spans="1:27" ht="15.75" customHeight="1" x14ac:dyDescent="0.55000000000000004">
      <c r="A758" s="159">
        <v>126</v>
      </c>
      <c r="B758" s="159" t="s">
        <v>1702</v>
      </c>
      <c r="C758" s="159" t="s">
        <v>1061</v>
      </c>
      <c r="D758" s="160">
        <v>41110</v>
      </c>
      <c r="E758" s="120" t="s">
        <v>3206</v>
      </c>
      <c r="F758" s="131">
        <v>51</v>
      </c>
      <c r="G758" s="120">
        <v>0</v>
      </c>
      <c r="H758" s="120">
        <v>0</v>
      </c>
      <c r="I758" s="120">
        <v>0</v>
      </c>
      <c r="J758" s="133" t="s">
        <v>853</v>
      </c>
      <c r="K758" s="133">
        <v>0</v>
      </c>
      <c r="L758" s="117">
        <v>67.400000000000006</v>
      </c>
      <c r="M758" s="133">
        <f t="shared" si="29"/>
        <v>16.400000000000006</v>
      </c>
      <c r="N758" s="157"/>
      <c r="O758" s="158"/>
      <c r="P758" s="158"/>
      <c r="Q758" s="158"/>
      <c r="R758" s="158"/>
      <c r="S758" s="158"/>
      <c r="T758" s="158"/>
      <c r="U758" s="158"/>
      <c r="V758" s="158"/>
      <c r="W758" s="158"/>
      <c r="X758" s="158"/>
      <c r="Y758" s="158"/>
      <c r="Z758" s="158"/>
      <c r="AA758" s="158"/>
    </row>
    <row r="759" spans="1:27" ht="15.75" customHeight="1" x14ac:dyDescent="0.55000000000000004">
      <c r="A759" s="159">
        <v>126</v>
      </c>
      <c r="B759" s="159" t="s">
        <v>1702</v>
      </c>
      <c r="C759" s="159" t="s">
        <v>1061</v>
      </c>
      <c r="D759" s="160">
        <v>41110</v>
      </c>
      <c r="E759" s="120" t="s">
        <v>3207</v>
      </c>
      <c r="F759" s="131">
        <v>24</v>
      </c>
      <c r="G759" s="120">
        <v>1</v>
      </c>
      <c r="H759" s="120">
        <v>0</v>
      </c>
      <c r="I759" s="120">
        <v>0</v>
      </c>
      <c r="J759" s="133" t="s">
        <v>853</v>
      </c>
      <c r="K759" s="133">
        <v>0</v>
      </c>
      <c r="L759" s="117">
        <v>79.400000000000006</v>
      </c>
      <c r="M759" s="133">
        <f t="shared" si="29"/>
        <v>55.400000000000006</v>
      </c>
      <c r="N759" s="157"/>
      <c r="O759" s="158"/>
      <c r="P759" s="158"/>
      <c r="Q759" s="158"/>
      <c r="R759" s="158"/>
      <c r="S759" s="158"/>
      <c r="T759" s="158"/>
      <c r="U759" s="158"/>
      <c r="V759" s="158"/>
      <c r="W759" s="158"/>
      <c r="X759" s="158"/>
      <c r="Y759" s="158"/>
      <c r="Z759" s="158"/>
      <c r="AA759" s="158"/>
    </row>
    <row r="760" spans="1:27" ht="15.75" customHeight="1" x14ac:dyDescent="0.55000000000000004">
      <c r="A760" s="159">
        <v>126</v>
      </c>
      <c r="B760" s="159" t="s">
        <v>1702</v>
      </c>
      <c r="C760" s="159" t="s">
        <v>1061</v>
      </c>
      <c r="D760" s="160">
        <v>41110</v>
      </c>
      <c r="E760" s="120" t="s">
        <v>3208</v>
      </c>
      <c r="F760" s="131">
        <v>27</v>
      </c>
      <c r="G760" s="120">
        <v>0</v>
      </c>
      <c r="H760" s="131">
        <v>0</v>
      </c>
      <c r="I760" s="120">
        <v>0</v>
      </c>
      <c r="J760" s="133" t="s">
        <v>853</v>
      </c>
      <c r="K760" s="133">
        <v>0</v>
      </c>
      <c r="L760" s="117">
        <v>72.7</v>
      </c>
      <c r="M760" s="133">
        <f t="shared" si="29"/>
        <v>45.7</v>
      </c>
      <c r="N760" s="157"/>
      <c r="O760" s="158"/>
      <c r="P760" s="158"/>
      <c r="Q760" s="158"/>
      <c r="R760" s="158"/>
      <c r="S760" s="158"/>
      <c r="T760" s="158"/>
      <c r="U760" s="158"/>
      <c r="V760" s="158"/>
      <c r="W760" s="158"/>
      <c r="X760" s="158"/>
      <c r="Y760" s="158"/>
      <c r="Z760" s="158"/>
      <c r="AA760" s="158"/>
    </row>
    <row r="761" spans="1:27" ht="15.75" customHeight="1" x14ac:dyDescent="0.55000000000000004">
      <c r="A761" s="159">
        <v>126</v>
      </c>
      <c r="B761" s="159" t="s">
        <v>1702</v>
      </c>
      <c r="C761" s="159" t="s">
        <v>1061</v>
      </c>
      <c r="D761" s="160">
        <v>41110</v>
      </c>
      <c r="E761" s="120" t="s">
        <v>3209</v>
      </c>
      <c r="F761" s="131">
        <v>27</v>
      </c>
      <c r="G761" s="120">
        <v>0</v>
      </c>
      <c r="H761" s="120">
        <v>0</v>
      </c>
      <c r="I761" s="120">
        <v>0</v>
      </c>
      <c r="J761" s="133" t="s">
        <v>853</v>
      </c>
      <c r="K761" s="133">
        <v>0</v>
      </c>
      <c r="L761" s="117">
        <v>72.7</v>
      </c>
      <c r="M761" s="133">
        <f t="shared" si="29"/>
        <v>45.7</v>
      </c>
      <c r="N761" s="157"/>
      <c r="O761" s="158"/>
      <c r="P761" s="158"/>
      <c r="Q761" s="158"/>
      <c r="R761" s="158"/>
      <c r="S761" s="158"/>
      <c r="T761" s="158"/>
      <c r="U761" s="158"/>
      <c r="V761" s="158"/>
      <c r="W761" s="158"/>
      <c r="X761" s="158"/>
      <c r="Y761" s="158"/>
      <c r="Z761" s="158"/>
      <c r="AA761" s="158"/>
    </row>
    <row r="762" spans="1:27" ht="15.75" customHeight="1" x14ac:dyDescent="0.55000000000000004">
      <c r="A762" s="159">
        <v>126</v>
      </c>
      <c r="B762" s="159" t="s">
        <v>1702</v>
      </c>
      <c r="C762" s="159" t="s">
        <v>1061</v>
      </c>
      <c r="D762" s="160">
        <v>41110</v>
      </c>
      <c r="E762" s="120" t="s">
        <v>3210</v>
      </c>
      <c r="F762" s="131">
        <v>23</v>
      </c>
      <c r="G762" s="120">
        <v>1</v>
      </c>
      <c r="H762" s="120">
        <v>0</v>
      </c>
      <c r="I762" s="120">
        <v>0</v>
      </c>
      <c r="J762" s="133" t="s">
        <v>853</v>
      </c>
      <c r="K762" s="133">
        <v>0</v>
      </c>
      <c r="L762" s="117">
        <v>79.400000000000006</v>
      </c>
      <c r="M762" s="133">
        <f t="shared" si="29"/>
        <v>56.400000000000006</v>
      </c>
      <c r="N762" s="157"/>
      <c r="O762" s="158"/>
      <c r="P762" s="158"/>
      <c r="Q762" s="158"/>
      <c r="R762" s="158"/>
      <c r="S762" s="158"/>
      <c r="T762" s="158"/>
      <c r="U762" s="158"/>
      <c r="V762" s="158"/>
      <c r="W762" s="158"/>
      <c r="X762" s="158"/>
      <c r="Y762" s="158"/>
      <c r="Z762" s="158"/>
      <c r="AA762" s="158"/>
    </row>
    <row r="763" spans="1:27" ht="15.75" customHeight="1" x14ac:dyDescent="0.55000000000000004">
      <c r="A763" s="159">
        <v>126</v>
      </c>
      <c r="B763" s="159" t="s">
        <v>1702</v>
      </c>
      <c r="C763" s="159" t="s">
        <v>1061</v>
      </c>
      <c r="D763" s="160">
        <v>41110</v>
      </c>
      <c r="E763" s="120" t="s">
        <v>3211</v>
      </c>
      <c r="F763" s="131">
        <v>6</v>
      </c>
      <c r="G763" s="120">
        <v>1</v>
      </c>
      <c r="H763" s="120">
        <v>0</v>
      </c>
      <c r="I763" s="120">
        <v>0</v>
      </c>
      <c r="J763" s="133" t="s">
        <v>853</v>
      </c>
      <c r="K763" s="133">
        <v>0</v>
      </c>
      <c r="L763" s="117">
        <v>80.7</v>
      </c>
      <c r="M763" s="133">
        <f t="shared" si="29"/>
        <v>74.7</v>
      </c>
      <c r="N763" s="157"/>
      <c r="O763" s="158"/>
      <c r="P763" s="158"/>
      <c r="Q763" s="158"/>
      <c r="R763" s="158"/>
      <c r="S763" s="158"/>
      <c r="T763" s="158"/>
      <c r="U763" s="158"/>
      <c r="V763" s="158"/>
      <c r="W763" s="158"/>
      <c r="X763" s="158"/>
      <c r="Y763" s="158"/>
      <c r="Z763" s="158"/>
      <c r="AA763" s="158"/>
    </row>
    <row r="764" spans="1:27" ht="15.75" customHeight="1" x14ac:dyDescent="0.55000000000000004">
      <c r="A764" s="159">
        <v>126</v>
      </c>
      <c r="B764" s="159" t="s">
        <v>1702</v>
      </c>
      <c r="C764" s="159" t="s">
        <v>1061</v>
      </c>
      <c r="D764" s="160">
        <v>41110</v>
      </c>
      <c r="E764" s="120" t="s">
        <v>3212</v>
      </c>
      <c r="F764" s="131">
        <v>27</v>
      </c>
      <c r="G764" s="120">
        <v>0</v>
      </c>
      <c r="H764" s="131">
        <v>0</v>
      </c>
      <c r="I764" s="120">
        <v>0</v>
      </c>
      <c r="J764" s="133" t="s">
        <v>853</v>
      </c>
      <c r="K764" s="133">
        <v>0</v>
      </c>
      <c r="L764" s="117">
        <v>72.7</v>
      </c>
      <c r="M764" s="133">
        <f t="shared" si="29"/>
        <v>45.7</v>
      </c>
      <c r="N764" s="157"/>
      <c r="O764" s="158"/>
      <c r="P764" s="158"/>
      <c r="Q764" s="158"/>
      <c r="R764" s="158"/>
      <c r="S764" s="158"/>
      <c r="T764" s="158"/>
      <c r="U764" s="158"/>
      <c r="V764" s="158"/>
      <c r="W764" s="158"/>
      <c r="X764" s="158"/>
      <c r="Y764" s="158"/>
      <c r="Z764" s="158"/>
      <c r="AA764" s="158"/>
    </row>
    <row r="765" spans="1:27" ht="15.75" customHeight="1" x14ac:dyDescent="0.55000000000000004">
      <c r="A765" s="159">
        <v>126</v>
      </c>
      <c r="B765" s="159" t="s">
        <v>1702</v>
      </c>
      <c r="C765" s="159" t="s">
        <v>1061</v>
      </c>
      <c r="D765" s="160">
        <v>41110</v>
      </c>
      <c r="E765" s="120" t="s">
        <v>3213</v>
      </c>
      <c r="F765" s="131">
        <v>24</v>
      </c>
      <c r="G765" s="120">
        <v>0</v>
      </c>
      <c r="H765" s="120">
        <v>0</v>
      </c>
      <c r="I765" s="120">
        <v>0</v>
      </c>
      <c r="J765" s="133" t="s">
        <v>853</v>
      </c>
      <c r="K765" s="133">
        <v>0</v>
      </c>
      <c r="L765" s="117">
        <v>72.7</v>
      </c>
      <c r="M765" s="133">
        <f t="shared" si="29"/>
        <v>48.7</v>
      </c>
      <c r="N765" s="157"/>
      <c r="O765" s="158"/>
      <c r="P765" s="158"/>
      <c r="Q765" s="158"/>
      <c r="R765" s="158"/>
      <c r="S765" s="158"/>
      <c r="T765" s="158"/>
      <c r="U765" s="158"/>
      <c r="V765" s="158"/>
      <c r="W765" s="158"/>
      <c r="X765" s="158"/>
      <c r="Y765" s="158"/>
      <c r="Z765" s="158"/>
      <c r="AA765" s="158"/>
    </row>
    <row r="766" spans="1:27" ht="15.75" customHeight="1" x14ac:dyDescent="0.55000000000000004">
      <c r="A766" s="159">
        <v>126</v>
      </c>
      <c r="B766" s="159" t="s">
        <v>1702</v>
      </c>
      <c r="C766" s="159" t="s">
        <v>1061</v>
      </c>
      <c r="D766" s="160">
        <v>41110</v>
      </c>
      <c r="E766" s="120" t="s">
        <v>3214</v>
      </c>
      <c r="F766" s="131">
        <v>32</v>
      </c>
      <c r="G766" s="120">
        <v>1</v>
      </c>
      <c r="H766" s="120">
        <v>0</v>
      </c>
      <c r="I766" s="120">
        <v>0</v>
      </c>
      <c r="J766" s="133" t="s">
        <v>853</v>
      </c>
      <c r="K766" s="133">
        <v>0</v>
      </c>
      <c r="L766" s="117">
        <v>78.099999999999994</v>
      </c>
      <c r="M766" s="133">
        <f t="shared" si="29"/>
        <v>46.099999999999994</v>
      </c>
      <c r="N766" s="157"/>
      <c r="O766" s="158"/>
      <c r="P766" s="158"/>
      <c r="Q766" s="158"/>
      <c r="R766" s="158"/>
      <c r="S766" s="158"/>
      <c r="T766" s="158"/>
      <c r="U766" s="158"/>
      <c r="V766" s="158"/>
      <c r="W766" s="158"/>
      <c r="X766" s="158"/>
      <c r="Y766" s="158"/>
      <c r="Z766" s="158"/>
      <c r="AA766" s="158"/>
    </row>
    <row r="767" spans="1:27" ht="15.75" customHeight="1" x14ac:dyDescent="0.55000000000000004">
      <c r="A767" s="162">
        <v>127</v>
      </c>
      <c r="B767" s="162" t="s">
        <v>1711</v>
      </c>
      <c r="C767" s="162" t="s">
        <v>1712</v>
      </c>
      <c r="D767" s="163">
        <v>41126</v>
      </c>
      <c r="E767" s="120" t="s">
        <v>3215</v>
      </c>
      <c r="F767" s="131">
        <v>65</v>
      </c>
      <c r="G767" s="120">
        <v>0</v>
      </c>
      <c r="H767" s="120">
        <v>3</v>
      </c>
      <c r="I767" s="120">
        <v>0</v>
      </c>
      <c r="J767" s="133" t="s">
        <v>853</v>
      </c>
      <c r="K767" s="133">
        <v>0</v>
      </c>
      <c r="L767" s="117">
        <v>82.9</v>
      </c>
      <c r="M767" s="133">
        <f t="shared" si="29"/>
        <v>17.900000000000006</v>
      </c>
      <c r="N767" s="157"/>
      <c r="O767" s="158"/>
      <c r="P767" s="158"/>
      <c r="Q767" s="158"/>
      <c r="R767" s="158"/>
      <c r="S767" s="158"/>
      <c r="T767" s="158"/>
      <c r="U767" s="158"/>
      <c r="V767" s="158"/>
      <c r="W767" s="158"/>
      <c r="X767" s="158"/>
      <c r="Y767" s="158"/>
      <c r="Z767" s="158"/>
      <c r="AA767" s="158"/>
    </row>
    <row r="768" spans="1:27" ht="15.75" customHeight="1" x14ac:dyDescent="0.55000000000000004">
      <c r="A768" s="162">
        <v>127</v>
      </c>
      <c r="B768" s="162" t="s">
        <v>1711</v>
      </c>
      <c r="C768" s="162" t="s">
        <v>1712</v>
      </c>
      <c r="D768" s="163">
        <v>41126</v>
      </c>
      <c r="E768" s="120" t="s">
        <v>3216</v>
      </c>
      <c r="F768" s="131">
        <v>41</v>
      </c>
      <c r="G768" s="120">
        <v>1</v>
      </c>
      <c r="H768" s="120">
        <v>3</v>
      </c>
      <c r="I768" s="120">
        <v>0</v>
      </c>
      <c r="J768" s="133" t="s">
        <v>853</v>
      </c>
      <c r="K768" s="133">
        <v>0</v>
      </c>
      <c r="L768" s="117">
        <v>74.7</v>
      </c>
      <c r="M768" s="133">
        <f t="shared" si="29"/>
        <v>33.700000000000003</v>
      </c>
      <c r="N768" s="157"/>
      <c r="O768" s="158"/>
      <c r="P768" s="158"/>
      <c r="Q768" s="158"/>
      <c r="R768" s="158"/>
      <c r="S768" s="158"/>
      <c r="T768" s="158"/>
      <c r="U768" s="158"/>
      <c r="V768" s="158"/>
      <c r="W768" s="158"/>
      <c r="X768" s="158"/>
      <c r="Y768" s="158"/>
      <c r="Z768" s="158"/>
      <c r="AA768" s="158"/>
    </row>
    <row r="769" spans="1:27" ht="15.75" customHeight="1" x14ac:dyDescent="0.55000000000000004">
      <c r="A769" s="162">
        <v>127</v>
      </c>
      <c r="B769" s="162" t="s">
        <v>1711</v>
      </c>
      <c r="C769" s="162" t="s">
        <v>1712</v>
      </c>
      <c r="D769" s="163">
        <v>41126</v>
      </c>
      <c r="E769" s="120" t="s">
        <v>3217</v>
      </c>
      <c r="F769" s="131">
        <v>39</v>
      </c>
      <c r="G769" s="120">
        <v>0</v>
      </c>
      <c r="H769" s="120">
        <v>3</v>
      </c>
      <c r="I769" s="120">
        <v>0</v>
      </c>
      <c r="J769" s="133" t="s">
        <v>853</v>
      </c>
      <c r="K769" s="133">
        <v>0</v>
      </c>
      <c r="L769" s="117">
        <v>68.8</v>
      </c>
      <c r="M769" s="133">
        <f t="shared" si="29"/>
        <v>29.799999999999997</v>
      </c>
      <c r="N769" s="157"/>
      <c r="O769" s="158"/>
      <c r="P769" s="158"/>
      <c r="Q769" s="158"/>
      <c r="R769" s="158"/>
      <c r="S769" s="158"/>
      <c r="T769" s="158"/>
      <c r="U769" s="158"/>
      <c r="V769" s="158"/>
      <c r="W769" s="158"/>
      <c r="X769" s="158"/>
      <c r="Y769" s="158"/>
      <c r="Z769" s="158"/>
      <c r="AA769" s="158"/>
    </row>
    <row r="770" spans="1:27" ht="15.75" customHeight="1" x14ac:dyDescent="0.55000000000000004">
      <c r="A770" s="162">
        <v>127</v>
      </c>
      <c r="B770" s="162" t="s">
        <v>1711</v>
      </c>
      <c r="C770" s="162" t="s">
        <v>1712</v>
      </c>
      <c r="D770" s="163">
        <v>41126</v>
      </c>
      <c r="E770" s="120" t="s">
        <v>3218</v>
      </c>
      <c r="F770" s="131">
        <v>49</v>
      </c>
      <c r="G770" s="120">
        <v>0</v>
      </c>
      <c r="H770" s="120">
        <v>3</v>
      </c>
      <c r="I770" s="120">
        <v>0</v>
      </c>
      <c r="J770" s="133" t="s">
        <v>853</v>
      </c>
      <c r="K770" s="133">
        <v>0</v>
      </c>
      <c r="L770" s="117">
        <v>66.599999999999994</v>
      </c>
      <c r="M770" s="133">
        <f t="shared" si="29"/>
        <v>17.599999999999994</v>
      </c>
      <c r="N770" s="157"/>
      <c r="O770" s="158"/>
      <c r="P770" s="158"/>
      <c r="Q770" s="158"/>
      <c r="R770" s="158"/>
      <c r="S770" s="158"/>
      <c r="T770" s="158"/>
      <c r="U770" s="158"/>
      <c r="V770" s="158"/>
      <c r="W770" s="158"/>
      <c r="X770" s="158"/>
      <c r="Y770" s="158"/>
      <c r="Z770" s="158"/>
      <c r="AA770" s="158"/>
    </row>
    <row r="771" spans="1:27" ht="15.75" customHeight="1" x14ac:dyDescent="0.55000000000000004">
      <c r="A771" s="162">
        <v>127</v>
      </c>
      <c r="B771" s="162" t="s">
        <v>1711</v>
      </c>
      <c r="C771" s="162" t="s">
        <v>1712</v>
      </c>
      <c r="D771" s="163">
        <v>41126</v>
      </c>
      <c r="E771" s="120" t="s">
        <v>3219</v>
      </c>
      <c r="F771" s="131">
        <v>41</v>
      </c>
      <c r="G771" s="120">
        <v>0</v>
      </c>
      <c r="H771" s="120">
        <v>3</v>
      </c>
      <c r="I771" s="120">
        <v>0</v>
      </c>
      <c r="J771" s="133" t="s">
        <v>853</v>
      </c>
      <c r="K771" s="133">
        <v>0</v>
      </c>
      <c r="L771" s="117">
        <v>67.099999999999994</v>
      </c>
      <c r="M771" s="133">
        <f t="shared" si="29"/>
        <v>26.099999999999994</v>
      </c>
      <c r="N771" s="157"/>
      <c r="O771" s="158"/>
      <c r="P771" s="158"/>
      <c r="Q771" s="158"/>
      <c r="R771" s="158"/>
      <c r="S771" s="158"/>
      <c r="T771" s="158"/>
      <c r="U771" s="158"/>
      <c r="V771" s="158"/>
      <c r="W771" s="158"/>
      <c r="X771" s="158"/>
      <c r="Y771" s="158"/>
      <c r="Z771" s="158"/>
      <c r="AA771" s="158"/>
    </row>
    <row r="772" spans="1:27" ht="15.75" customHeight="1" x14ac:dyDescent="0.55000000000000004">
      <c r="A772" s="162">
        <v>127</v>
      </c>
      <c r="B772" s="162" t="s">
        <v>1711</v>
      </c>
      <c r="C772" s="162" t="s">
        <v>1712</v>
      </c>
      <c r="D772" s="163">
        <v>41126</v>
      </c>
      <c r="E772" s="120" t="s">
        <v>3220</v>
      </c>
      <c r="F772" s="131">
        <v>84</v>
      </c>
      <c r="G772" s="120">
        <v>0</v>
      </c>
      <c r="H772" s="120">
        <v>3</v>
      </c>
      <c r="I772" s="120">
        <v>0</v>
      </c>
      <c r="J772" s="133" t="s">
        <v>853</v>
      </c>
      <c r="K772" s="133">
        <v>0</v>
      </c>
      <c r="L772" s="117">
        <v>85.1</v>
      </c>
      <c r="M772" s="133">
        <f t="shared" si="29"/>
        <v>1.0999999999999943</v>
      </c>
      <c r="N772" s="157"/>
      <c r="O772" s="158"/>
      <c r="P772" s="158"/>
      <c r="Q772" s="158"/>
      <c r="R772" s="158"/>
      <c r="S772" s="158"/>
      <c r="T772" s="158"/>
      <c r="U772" s="158"/>
      <c r="V772" s="158"/>
      <c r="W772" s="158"/>
      <c r="X772" s="158"/>
      <c r="Y772" s="158"/>
      <c r="Z772" s="158"/>
      <c r="AA772" s="158"/>
    </row>
    <row r="773" spans="1:27" ht="15.75" customHeight="1" x14ac:dyDescent="0.55000000000000004">
      <c r="A773" s="171">
        <v>128</v>
      </c>
      <c r="B773" s="171" t="s">
        <v>1716</v>
      </c>
      <c r="C773" s="171" t="s">
        <v>1312</v>
      </c>
      <c r="D773" s="172">
        <v>41179</v>
      </c>
      <c r="E773" s="120" t="s">
        <v>3221</v>
      </c>
      <c r="F773" s="131">
        <v>50</v>
      </c>
      <c r="G773" s="120">
        <v>0</v>
      </c>
      <c r="H773" s="131">
        <v>0</v>
      </c>
      <c r="I773" s="120">
        <v>0</v>
      </c>
      <c r="J773" s="133" t="s">
        <v>853</v>
      </c>
      <c r="K773" s="133">
        <v>0</v>
      </c>
      <c r="L773" s="117">
        <v>67.400000000000006</v>
      </c>
      <c r="M773" s="133">
        <f t="shared" si="29"/>
        <v>17.400000000000006</v>
      </c>
      <c r="N773" s="157"/>
      <c r="O773" s="158"/>
      <c r="P773" s="158"/>
      <c r="Q773" s="158"/>
      <c r="R773" s="158"/>
      <c r="S773" s="158"/>
      <c r="T773" s="158"/>
      <c r="U773" s="158"/>
      <c r="V773" s="158"/>
      <c r="W773" s="158"/>
      <c r="X773" s="158"/>
      <c r="Y773" s="158"/>
      <c r="Z773" s="158"/>
      <c r="AA773" s="158"/>
    </row>
    <row r="774" spans="1:27" ht="15.75" customHeight="1" x14ac:dyDescent="0.55000000000000004">
      <c r="A774" s="171">
        <v>128</v>
      </c>
      <c r="B774" s="171" t="s">
        <v>1716</v>
      </c>
      <c r="C774" s="171" t="s">
        <v>1312</v>
      </c>
      <c r="D774" s="172">
        <v>41179</v>
      </c>
      <c r="E774" s="120" t="s">
        <v>3222</v>
      </c>
      <c r="F774" s="131">
        <v>34</v>
      </c>
      <c r="G774" s="120">
        <v>0</v>
      </c>
      <c r="H774" s="131">
        <v>0</v>
      </c>
      <c r="I774" s="120">
        <v>1</v>
      </c>
      <c r="J774" s="133" t="s">
        <v>2387</v>
      </c>
      <c r="K774" s="133">
        <v>3</v>
      </c>
      <c r="L774" s="117">
        <v>70.7</v>
      </c>
      <c r="M774" s="133">
        <f t="shared" si="29"/>
        <v>36.700000000000003</v>
      </c>
      <c r="N774" s="157"/>
      <c r="O774" s="158"/>
      <c r="P774" s="158"/>
      <c r="Q774" s="158"/>
      <c r="R774" s="158"/>
      <c r="S774" s="158"/>
      <c r="T774" s="158"/>
      <c r="U774" s="158"/>
      <c r="V774" s="158"/>
      <c r="W774" s="158"/>
      <c r="X774" s="158"/>
      <c r="Y774" s="158"/>
      <c r="Z774" s="158"/>
      <c r="AA774" s="158"/>
    </row>
    <row r="775" spans="1:27" ht="15.75" customHeight="1" x14ac:dyDescent="0.55000000000000004">
      <c r="A775" s="171">
        <v>128</v>
      </c>
      <c r="B775" s="171" t="s">
        <v>1716</v>
      </c>
      <c r="C775" s="171" t="s">
        <v>1312</v>
      </c>
      <c r="D775" s="172">
        <v>41179</v>
      </c>
      <c r="E775" s="120" t="s">
        <v>3223</v>
      </c>
      <c r="F775" s="131">
        <v>62</v>
      </c>
      <c r="G775" s="120">
        <v>0</v>
      </c>
      <c r="H775" s="161" t="str">
        <f>HYPERLINK("https://www.findagrave.com/memorial/97943575/rami-cooks","0")</f>
        <v>0</v>
      </c>
      <c r="I775" s="131">
        <v>1</v>
      </c>
      <c r="J775" s="133" t="s">
        <v>2391</v>
      </c>
      <c r="K775" s="133">
        <v>3</v>
      </c>
      <c r="L775" s="117">
        <v>66.5</v>
      </c>
      <c r="M775" s="133">
        <f t="shared" si="29"/>
        <v>4.5</v>
      </c>
      <c r="N775" s="157"/>
      <c r="O775" s="158"/>
      <c r="P775" s="158"/>
      <c r="Q775" s="158"/>
      <c r="R775" s="158"/>
      <c r="S775" s="158"/>
      <c r="T775" s="158"/>
      <c r="U775" s="158"/>
      <c r="V775" s="158"/>
      <c r="W775" s="158"/>
      <c r="X775" s="158"/>
      <c r="Y775" s="158"/>
      <c r="Z775" s="158"/>
      <c r="AA775" s="158"/>
    </row>
    <row r="776" spans="1:27" ht="15.75" customHeight="1" x14ac:dyDescent="0.55000000000000004">
      <c r="A776" s="171">
        <v>128</v>
      </c>
      <c r="B776" s="171" t="s">
        <v>1716</v>
      </c>
      <c r="C776" s="171" t="s">
        <v>1312</v>
      </c>
      <c r="D776" s="172">
        <v>41179</v>
      </c>
      <c r="E776" s="120" t="s">
        <v>3224</v>
      </c>
      <c r="F776" s="131">
        <v>58</v>
      </c>
      <c r="G776" s="120">
        <v>0</v>
      </c>
      <c r="H776" s="131">
        <v>0</v>
      </c>
      <c r="I776" s="120">
        <v>1</v>
      </c>
      <c r="J776" s="133" t="s">
        <v>2387</v>
      </c>
      <c r="K776" s="133">
        <v>3</v>
      </c>
      <c r="L776" s="117">
        <v>66.5</v>
      </c>
      <c r="M776" s="133">
        <f t="shared" si="29"/>
        <v>8.5</v>
      </c>
      <c r="N776" s="157"/>
      <c r="O776" s="158"/>
      <c r="P776" s="158"/>
      <c r="Q776" s="158"/>
      <c r="R776" s="158"/>
      <c r="S776" s="158"/>
      <c r="T776" s="158"/>
      <c r="U776" s="158"/>
      <c r="V776" s="158"/>
      <c r="W776" s="158"/>
      <c r="X776" s="158"/>
      <c r="Y776" s="158"/>
      <c r="Z776" s="158"/>
      <c r="AA776" s="158"/>
    </row>
    <row r="777" spans="1:27" ht="15.75" customHeight="1" x14ac:dyDescent="0.55000000000000004">
      <c r="A777" s="171">
        <v>128</v>
      </c>
      <c r="B777" s="171" t="s">
        <v>1716</v>
      </c>
      <c r="C777" s="171" t="s">
        <v>1312</v>
      </c>
      <c r="D777" s="172">
        <v>41179</v>
      </c>
      <c r="E777" s="120" t="s">
        <v>3225</v>
      </c>
      <c r="F777" s="131">
        <v>61</v>
      </c>
      <c r="G777" s="120">
        <v>0</v>
      </c>
      <c r="H777" s="131">
        <v>4</v>
      </c>
      <c r="I777" s="120">
        <v>1</v>
      </c>
      <c r="J777" s="133" t="s">
        <v>3226</v>
      </c>
      <c r="K777" s="133">
        <v>3</v>
      </c>
      <c r="L777" s="117">
        <v>65.599999999999994</v>
      </c>
      <c r="M777" s="133">
        <f t="shared" si="29"/>
        <v>4.5999999999999943</v>
      </c>
      <c r="N777" s="157"/>
      <c r="O777" s="158"/>
      <c r="P777" s="158"/>
      <c r="Q777" s="158"/>
      <c r="R777" s="158"/>
      <c r="S777" s="158"/>
      <c r="T777" s="158"/>
      <c r="U777" s="158"/>
      <c r="V777" s="158"/>
      <c r="W777" s="158"/>
      <c r="X777" s="158"/>
      <c r="Y777" s="158"/>
      <c r="Z777" s="158"/>
      <c r="AA777" s="158"/>
    </row>
    <row r="778" spans="1:27" ht="15.75" customHeight="1" x14ac:dyDescent="0.55000000000000004">
      <c r="A778" s="171">
        <v>128</v>
      </c>
      <c r="B778" s="171" t="s">
        <v>1716</v>
      </c>
      <c r="C778" s="171" t="s">
        <v>1312</v>
      </c>
      <c r="D778" s="172">
        <v>41179</v>
      </c>
      <c r="E778" s="120" t="s">
        <v>3227</v>
      </c>
      <c r="F778" s="131">
        <v>42</v>
      </c>
      <c r="G778" s="120">
        <v>0</v>
      </c>
      <c r="H778" s="131">
        <v>0</v>
      </c>
      <c r="I778" s="120">
        <v>1</v>
      </c>
      <c r="J778" s="133" t="s">
        <v>2387</v>
      </c>
      <c r="K778" s="133">
        <v>3</v>
      </c>
      <c r="L778" s="117">
        <v>68</v>
      </c>
      <c r="M778" s="133">
        <f t="shared" si="29"/>
        <v>26</v>
      </c>
      <c r="N778" s="157"/>
      <c r="O778" s="158"/>
      <c r="P778" s="158"/>
      <c r="Q778" s="158"/>
      <c r="R778" s="158"/>
      <c r="S778" s="158"/>
      <c r="T778" s="158"/>
      <c r="U778" s="158"/>
      <c r="V778" s="158"/>
      <c r="W778" s="158"/>
      <c r="X778" s="158"/>
      <c r="Y778" s="158"/>
      <c r="Z778" s="158"/>
      <c r="AA778" s="158"/>
    </row>
    <row r="779" spans="1:27" ht="15.75" customHeight="1" x14ac:dyDescent="0.55000000000000004">
      <c r="A779" s="164">
        <v>129</v>
      </c>
      <c r="B779" s="164" t="s">
        <v>1721</v>
      </c>
      <c r="C779" s="164" t="s">
        <v>1722</v>
      </c>
      <c r="D779" s="165">
        <v>41257</v>
      </c>
      <c r="E779" s="120" t="s">
        <v>3228</v>
      </c>
      <c r="F779" s="131">
        <v>29</v>
      </c>
      <c r="G779" s="120">
        <v>1</v>
      </c>
      <c r="H779" s="120">
        <v>0</v>
      </c>
      <c r="I779" s="120">
        <v>0</v>
      </c>
      <c r="J779" s="133" t="s">
        <v>853</v>
      </c>
      <c r="K779" s="133">
        <v>0</v>
      </c>
      <c r="L779" s="117">
        <v>78.099999999999994</v>
      </c>
      <c r="M779" s="133">
        <f t="shared" si="29"/>
        <v>49.099999999999994</v>
      </c>
      <c r="N779" s="157"/>
      <c r="O779" s="158"/>
      <c r="P779" s="158"/>
      <c r="Q779" s="158"/>
      <c r="R779" s="158"/>
      <c r="S779" s="158"/>
      <c r="T779" s="158"/>
      <c r="U779" s="158"/>
      <c r="V779" s="158"/>
      <c r="W779" s="158"/>
      <c r="X779" s="158"/>
      <c r="Y779" s="158"/>
      <c r="Z779" s="158"/>
      <c r="AA779" s="158"/>
    </row>
    <row r="780" spans="1:27" ht="15.75" customHeight="1" x14ac:dyDescent="0.55000000000000004">
      <c r="A780" s="164">
        <v>129</v>
      </c>
      <c r="B780" s="164" t="s">
        <v>1721</v>
      </c>
      <c r="C780" s="164" t="s">
        <v>1722</v>
      </c>
      <c r="D780" s="165">
        <v>41257</v>
      </c>
      <c r="E780" s="120" t="s">
        <v>3229</v>
      </c>
      <c r="F780" s="131">
        <v>47</v>
      </c>
      <c r="G780" s="120">
        <v>1</v>
      </c>
      <c r="H780" s="120">
        <v>0</v>
      </c>
      <c r="I780" s="120">
        <v>0</v>
      </c>
      <c r="J780" s="133" t="s">
        <v>853</v>
      </c>
      <c r="K780" s="133">
        <v>0</v>
      </c>
      <c r="L780" s="117">
        <v>75.599999999999994</v>
      </c>
      <c r="M780" s="133">
        <f t="shared" si="29"/>
        <v>28.599999999999994</v>
      </c>
      <c r="N780" s="157"/>
      <c r="O780" s="158"/>
      <c r="P780" s="158"/>
      <c r="Q780" s="158"/>
      <c r="R780" s="158"/>
      <c r="S780" s="158"/>
      <c r="T780" s="158"/>
      <c r="U780" s="158"/>
      <c r="V780" s="158"/>
      <c r="W780" s="158"/>
      <c r="X780" s="158"/>
      <c r="Y780" s="158"/>
      <c r="Z780" s="158"/>
      <c r="AA780" s="158"/>
    </row>
    <row r="781" spans="1:27" ht="15.75" customHeight="1" x14ac:dyDescent="0.55000000000000004">
      <c r="A781" s="164">
        <v>129</v>
      </c>
      <c r="B781" s="164" t="s">
        <v>1721</v>
      </c>
      <c r="C781" s="164" t="s">
        <v>1722</v>
      </c>
      <c r="D781" s="165">
        <v>41257</v>
      </c>
      <c r="E781" s="120" t="s">
        <v>3230</v>
      </c>
      <c r="F781" s="131">
        <v>52</v>
      </c>
      <c r="G781" s="120">
        <v>1</v>
      </c>
      <c r="H781" s="120">
        <v>0</v>
      </c>
      <c r="I781" s="120">
        <v>1</v>
      </c>
      <c r="J781" s="133" t="s">
        <v>2364</v>
      </c>
      <c r="K781" s="133">
        <v>1</v>
      </c>
      <c r="L781" s="117">
        <v>74.099999999999994</v>
      </c>
      <c r="M781" s="133">
        <f t="shared" si="29"/>
        <v>22.099999999999994</v>
      </c>
      <c r="N781" s="157"/>
      <c r="O781" s="158"/>
      <c r="P781" s="158"/>
      <c r="Q781" s="158"/>
      <c r="R781" s="158"/>
      <c r="S781" s="158"/>
      <c r="T781" s="158"/>
      <c r="U781" s="158"/>
      <c r="V781" s="158"/>
      <c r="W781" s="158"/>
      <c r="X781" s="158"/>
      <c r="Y781" s="158"/>
      <c r="Z781" s="158"/>
      <c r="AA781" s="158"/>
    </row>
    <row r="782" spans="1:27" ht="15.75" customHeight="1" x14ac:dyDescent="0.55000000000000004">
      <c r="A782" s="164">
        <v>129</v>
      </c>
      <c r="B782" s="164" t="s">
        <v>1721</v>
      </c>
      <c r="C782" s="164" t="s">
        <v>1722</v>
      </c>
      <c r="D782" s="165">
        <v>41257</v>
      </c>
      <c r="E782" s="120" t="s">
        <v>3231</v>
      </c>
      <c r="F782" s="131">
        <v>52</v>
      </c>
      <c r="G782" s="120">
        <v>1</v>
      </c>
      <c r="H782" s="120">
        <v>0</v>
      </c>
      <c r="I782" s="120">
        <v>0</v>
      </c>
      <c r="J782" s="133" t="s">
        <v>853</v>
      </c>
      <c r="K782" s="133">
        <v>0</v>
      </c>
      <c r="L782" s="117">
        <v>74.099999999999994</v>
      </c>
      <c r="M782" s="133">
        <f t="shared" si="29"/>
        <v>22.099999999999994</v>
      </c>
      <c r="N782" s="157"/>
      <c r="O782" s="158"/>
      <c r="P782" s="158"/>
      <c r="Q782" s="158"/>
      <c r="R782" s="158"/>
      <c r="S782" s="158"/>
      <c r="T782" s="158"/>
      <c r="U782" s="158"/>
      <c r="V782" s="158"/>
      <c r="W782" s="158"/>
      <c r="X782" s="158"/>
      <c r="Y782" s="158"/>
      <c r="Z782" s="158"/>
      <c r="AA782" s="158"/>
    </row>
    <row r="783" spans="1:27" ht="15.75" customHeight="1" x14ac:dyDescent="0.55000000000000004">
      <c r="A783" s="164">
        <v>129</v>
      </c>
      <c r="B783" s="164" t="s">
        <v>1721</v>
      </c>
      <c r="C783" s="164" t="s">
        <v>1722</v>
      </c>
      <c r="D783" s="165">
        <v>41257</v>
      </c>
      <c r="E783" s="120" t="s">
        <v>3232</v>
      </c>
      <c r="F783" s="131">
        <v>30</v>
      </c>
      <c r="G783" s="120">
        <v>1</v>
      </c>
      <c r="H783" s="120">
        <v>0</v>
      </c>
      <c r="I783" s="120">
        <v>0</v>
      </c>
      <c r="J783" s="133" t="s">
        <v>853</v>
      </c>
      <c r="K783" s="133">
        <v>0</v>
      </c>
      <c r="L783" s="117">
        <v>78.099999999999994</v>
      </c>
      <c r="M783" s="133">
        <f t="shared" si="29"/>
        <v>48.099999999999994</v>
      </c>
      <c r="N783" s="157"/>
      <c r="O783" s="158"/>
      <c r="P783" s="158"/>
      <c r="Q783" s="158"/>
      <c r="R783" s="158"/>
      <c r="S783" s="158"/>
      <c r="T783" s="158"/>
      <c r="U783" s="158"/>
      <c r="V783" s="158"/>
      <c r="W783" s="158"/>
      <c r="X783" s="158"/>
      <c r="Y783" s="158"/>
      <c r="Z783" s="158"/>
      <c r="AA783" s="158"/>
    </row>
    <row r="784" spans="1:27" ht="15.75" customHeight="1" x14ac:dyDescent="0.55000000000000004">
      <c r="A784" s="164">
        <v>129</v>
      </c>
      <c r="B784" s="164" t="s">
        <v>1721</v>
      </c>
      <c r="C784" s="164" t="s">
        <v>1722</v>
      </c>
      <c r="D784" s="165">
        <v>41257</v>
      </c>
      <c r="E784" s="120" t="s">
        <v>3233</v>
      </c>
      <c r="F784" s="120">
        <v>56</v>
      </c>
      <c r="G784" s="120">
        <v>1</v>
      </c>
      <c r="H784" s="120">
        <v>0</v>
      </c>
      <c r="I784" s="120">
        <v>0</v>
      </c>
      <c r="J784" s="133" t="s">
        <v>853</v>
      </c>
      <c r="K784" s="133">
        <v>0</v>
      </c>
      <c r="L784" s="117">
        <v>74.099999999999994</v>
      </c>
      <c r="M784" s="133">
        <f t="shared" si="29"/>
        <v>18.099999999999994</v>
      </c>
      <c r="N784" s="157"/>
      <c r="O784" s="158"/>
      <c r="P784" s="158"/>
      <c r="Q784" s="158"/>
      <c r="R784" s="158"/>
      <c r="S784" s="158"/>
      <c r="T784" s="158"/>
      <c r="U784" s="158"/>
      <c r="V784" s="158"/>
      <c r="W784" s="158"/>
      <c r="X784" s="158"/>
      <c r="Y784" s="158"/>
      <c r="Z784" s="158"/>
      <c r="AA784" s="158"/>
    </row>
    <row r="785" spans="1:27" ht="15.75" customHeight="1" x14ac:dyDescent="0.55000000000000004">
      <c r="A785" s="164">
        <v>129</v>
      </c>
      <c r="B785" s="164" t="s">
        <v>1721</v>
      </c>
      <c r="C785" s="164" t="s">
        <v>1722</v>
      </c>
      <c r="D785" s="165">
        <v>41257</v>
      </c>
      <c r="E785" s="120" t="s">
        <v>3234</v>
      </c>
      <c r="F785" s="131">
        <v>27</v>
      </c>
      <c r="G785" s="120">
        <v>1</v>
      </c>
      <c r="H785" s="120">
        <v>0</v>
      </c>
      <c r="I785" s="120">
        <v>0</v>
      </c>
      <c r="J785" s="133" t="s">
        <v>853</v>
      </c>
      <c r="K785" s="133">
        <v>0</v>
      </c>
      <c r="L785" s="117">
        <v>79.400000000000006</v>
      </c>
      <c r="M785" s="133">
        <f t="shared" si="29"/>
        <v>52.400000000000006</v>
      </c>
      <c r="N785" s="157"/>
      <c r="O785" s="158"/>
      <c r="P785" s="158"/>
      <c r="Q785" s="158"/>
      <c r="R785" s="158"/>
      <c r="S785" s="158"/>
      <c r="T785" s="158"/>
      <c r="U785" s="158"/>
      <c r="V785" s="158"/>
      <c r="W785" s="158"/>
      <c r="X785" s="158"/>
      <c r="Y785" s="158"/>
      <c r="Z785" s="158"/>
      <c r="AA785" s="158"/>
    </row>
    <row r="786" spans="1:27" ht="15.75" customHeight="1" x14ac:dyDescent="0.55000000000000004">
      <c r="A786" s="164">
        <v>129</v>
      </c>
      <c r="B786" s="164" t="s">
        <v>1721</v>
      </c>
      <c r="C786" s="164" t="s">
        <v>1722</v>
      </c>
      <c r="D786" s="165">
        <v>41257</v>
      </c>
      <c r="E786" s="120" t="s">
        <v>3235</v>
      </c>
      <c r="F786" s="131">
        <v>6</v>
      </c>
      <c r="G786" s="120">
        <v>1</v>
      </c>
      <c r="H786" s="120">
        <v>0</v>
      </c>
      <c r="I786" s="120">
        <v>0</v>
      </c>
      <c r="J786" s="133" t="s">
        <v>853</v>
      </c>
      <c r="K786" s="133">
        <v>0</v>
      </c>
      <c r="L786" s="117">
        <v>80.7</v>
      </c>
      <c r="M786" s="133">
        <f t="shared" si="29"/>
        <v>74.7</v>
      </c>
      <c r="N786" s="157"/>
      <c r="O786" s="158"/>
      <c r="P786" s="158"/>
      <c r="Q786" s="158"/>
      <c r="R786" s="158"/>
      <c r="S786" s="158"/>
      <c r="T786" s="158"/>
      <c r="U786" s="158"/>
      <c r="V786" s="158"/>
      <c r="W786" s="158"/>
      <c r="X786" s="158"/>
      <c r="Y786" s="158"/>
      <c r="Z786" s="158"/>
      <c r="AA786" s="158"/>
    </row>
    <row r="787" spans="1:27" ht="15.75" customHeight="1" x14ac:dyDescent="0.55000000000000004">
      <c r="A787" s="164">
        <v>129</v>
      </c>
      <c r="B787" s="164" t="s">
        <v>1721</v>
      </c>
      <c r="C787" s="164" t="s">
        <v>1722</v>
      </c>
      <c r="D787" s="165">
        <v>41257</v>
      </c>
      <c r="E787" s="120" t="s">
        <v>3236</v>
      </c>
      <c r="F787" s="131">
        <v>7</v>
      </c>
      <c r="G787" s="120">
        <v>0</v>
      </c>
      <c r="H787" s="120">
        <v>0</v>
      </c>
      <c r="I787" s="120">
        <v>0</v>
      </c>
      <c r="J787" s="133" t="s">
        <v>853</v>
      </c>
      <c r="K787" s="133">
        <v>0</v>
      </c>
      <c r="L787" s="117">
        <v>75.5</v>
      </c>
      <c r="M787" s="133">
        <f t="shared" si="29"/>
        <v>68.5</v>
      </c>
      <c r="N787" s="157"/>
      <c r="O787" s="158"/>
      <c r="P787" s="158"/>
      <c r="Q787" s="158"/>
      <c r="R787" s="158"/>
      <c r="S787" s="158"/>
      <c r="T787" s="158"/>
      <c r="U787" s="158"/>
      <c r="V787" s="158"/>
      <c r="W787" s="158"/>
      <c r="X787" s="158"/>
      <c r="Y787" s="158"/>
      <c r="Z787" s="158"/>
      <c r="AA787" s="158"/>
    </row>
    <row r="788" spans="1:27" ht="15.75" customHeight="1" x14ac:dyDescent="0.55000000000000004">
      <c r="A788" s="164">
        <v>129</v>
      </c>
      <c r="B788" s="164" t="s">
        <v>1721</v>
      </c>
      <c r="C788" s="164" t="s">
        <v>1722</v>
      </c>
      <c r="D788" s="165">
        <v>41257</v>
      </c>
      <c r="E788" s="120" t="s">
        <v>3237</v>
      </c>
      <c r="F788" s="131">
        <v>6</v>
      </c>
      <c r="G788" s="120">
        <v>1</v>
      </c>
      <c r="H788" s="120">
        <v>0</v>
      </c>
      <c r="I788" s="120">
        <v>0</v>
      </c>
      <c r="J788" s="133" t="s">
        <v>853</v>
      </c>
      <c r="K788" s="133">
        <v>0</v>
      </c>
      <c r="L788" s="117">
        <v>80.7</v>
      </c>
      <c r="M788" s="133">
        <f t="shared" si="29"/>
        <v>74.7</v>
      </c>
      <c r="N788" s="157"/>
      <c r="O788" s="158"/>
      <c r="P788" s="158"/>
      <c r="Q788" s="158"/>
      <c r="R788" s="158"/>
      <c r="S788" s="158"/>
      <c r="T788" s="158"/>
      <c r="U788" s="158"/>
      <c r="V788" s="158"/>
      <c r="W788" s="158"/>
      <c r="X788" s="158"/>
      <c r="Y788" s="158"/>
      <c r="Z788" s="158"/>
      <c r="AA788" s="158"/>
    </row>
    <row r="789" spans="1:27" ht="15.75" customHeight="1" x14ac:dyDescent="0.55000000000000004">
      <c r="A789" s="164">
        <v>129</v>
      </c>
      <c r="B789" s="164" t="s">
        <v>1721</v>
      </c>
      <c r="C789" s="164" t="s">
        <v>1722</v>
      </c>
      <c r="D789" s="165">
        <v>41257</v>
      </c>
      <c r="E789" s="120" t="s">
        <v>3238</v>
      </c>
      <c r="F789" s="131">
        <v>7</v>
      </c>
      <c r="G789" s="120">
        <v>1</v>
      </c>
      <c r="H789" s="120">
        <v>0</v>
      </c>
      <c r="I789" s="120">
        <v>0</v>
      </c>
      <c r="J789" s="133" t="s">
        <v>853</v>
      </c>
      <c r="K789" s="133">
        <v>0</v>
      </c>
      <c r="L789" s="117">
        <v>80.5</v>
      </c>
      <c r="M789" s="133">
        <f t="shared" si="29"/>
        <v>73.5</v>
      </c>
      <c r="N789" s="157"/>
      <c r="O789" s="158"/>
      <c r="P789" s="158"/>
      <c r="Q789" s="158"/>
      <c r="R789" s="158"/>
      <c r="S789" s="158"/>
      <c r="T789" s="158"/>
      <c r="U789" s="158"/>
      <c r="V789" s="158"/>
      <c r="W789" s="158"/>
      <c r="X789" s="158"/>
      <c r="Y789" s="158"/>
      <c r="Z789" s="158"/>
      <c r="AA789" s="158"/>
    </row>
    <row r="790" spans="1:27" ht="15.75" customHeight="1" x14ac:dyDescent="0.55000000000000004">
      <c r="A790" s="164">
        <v>129</v>
      </c>
      <c r="B790" s="164" t="s">
        <v>1721</v>
      </c>
      <c r="C790" s="164" t="s">
        <v>1722</v>
      </c>
      <c r="D790" s="165">
        <v>41257</v>
      </c>
      <c r="E790" s="120" t="s">
        <v>3239</v>
      </c>
      <c r="F790" s="131">
        <v>6</v>
      </c>
      <c r="G790" s="120">
        <v>0</v>
      </c>
      <c r="H790" s="131">
        <v>0</v>
      </c>
      <c r="I790" s="120">
        <v>0</v>
      </c>
      <c r="J790" s="133" t="s">
        <v>853</v>
      </c>
      <c r="K790" s="133">
        <v>0</v>
      </c>
      <c r="L790" s="117">
        <v>75.8</v>
      </c>
      <c r="M790" s="133">
        <f t="shared" si="29"/>
        <v>69.8</v>
      </c>
      <c r="N790" s="157"/>
      <c r="O790" s="158"/>
      <c r="P790" s="158"/>
      <c r="Q790" s="158"/>
      <c r="R790" s="158"/>
      <c r="S790" s="158"/>
      <c r="T790" s="158"/>
      <c r="U790" s="158"/>
      <c r="V790" s="158"/>
      <c r="W790" s="158"/>
      <c r="X790" s="158"/>
      <c r="Y790" s="158"/>
      <c r="Z790" s="158"/>
      <c r="AA790" s="158"/>
    </row>
    <row r="791" spans="1:27" ht="15.75" customHeight="1" x14ac:dyDescent="0.55000000000000004">
      <c r="A791" s="164">
        <v>129</v>
      </c>
      <c r="B791" s="164" t="s">
        <v>1721</v>
      </c>
      <c r="C791" s="164" t="s">
        <v>1722</v>
      </c>
      <c r="D791" s="165">
        <v>41257</v>
      </c>
      <c r="E791" s="120" t="s">
        <v>3240</v>
      </c>
      <c r="F791" s="131">
        <v>6</v>
      </c>
      <c r="G791" s="131">
        <v>1</v>
      </c>
      <c r="H791" s="131">
        <v>3</v>
      </c>
      <c r="I791" s="120">
        <v>0</v>
      </c>
      <c r="J791" s="133" t="s">
        <v>853</v>
      </c>
      <c r="K791" s="133">
        <v>0</v>
      </c>
      <c r="L791" s="117">
        <v>80.3</v>
      </c>
      <c r="M791" s="133">
        <f t="shared" si="29"/>
        <v>74.3</v>
      </c>
      <c r="N791" s="157"/>
      <c r="O791" s="158"/>
      <c r="P791" s="158"/>
      <c r="Q791" s="158"/>
      <c r="R791" s="158"/>
      <c r="S791" s="158"/>
      <c r="T791" s="158"/>
      <c r="U791" s="158"/>
      <c r="V791" s="158"/>
      <c r="W791" s="158"/>
      <c r="X791" s="158"/>
      <c r="Y791" s="158"/>
      <c r="Z791" s="158"/>
      <c r="AA791" s="158"/>
    </row>
    <row r="792" spans="1:27" ht="15.75" customHeight="1" x14ac:dyDescent="0.55000000000000004">
      <c r="A792" s="164">
        <v>129</v>
      </c>
      <c r="B792" s="164" t="s">
        <v>1721</v>
      </c>
      <c r="C792" s="164" t="s">
        <v>1722</v>
      </c>
      <c r="D792" s="165">
        <v>41257</v>
      </c>
      <c r="E792" s="120" t="s">
        <v>3241</v>
      </c>
      <c r="F792" s="131">
        <v>6</v>
      </c>
      <c r="G792" s="120">
        <v>1</v>
      </c>
      <c r="H792" s="120">
        <v>0</v>
      </c>
      <c r="I792" s="120">
        <v>0</v>
      </c>
      <c r="J792" s="133" t="s">
        <v>853</v>
      </c>
      <c r="K792" s="133">
        <v>0</v>
      </c>
      <c r="L792" s="117">
        <v>80.7</v>
      </c>
      <c r="M792" s="133">
        <f t="shared" si="29"/>
        <v>74.7</v>
      </c>
      <c r="N792" s="157"/>
      <c r="O792" s="158"/>
      <c r="P792" s="158"/>
      <c r="Q792" s="158"/>
      <c r="R792" s="158"/>
      <c r="S792" s="158"/>
      <c r="T792" s="158"/>
      <c r="U792" s="158"/>
      <c r="V792" s="158"/>
      <c r="W792" s="158"/>
      <c r="X792" s="158"/>
      <c r="Y792" s="158"/>
      <c r="Z792" s="158"/>
      <c r="AA792" s="158"/>
    </row>
    <row r="793" spans="1:27" ht="15.75" customHeight="1" x14ac:dyDescent="0.55000000000000004">
      <c r="A793" s="164">
        <v>129</v>
      </c>
      <c r="B793" s="164" t="s">
        <v>1721</v>
      </c>
      <c r="C793" s="164" t="s">
        <v>1722</v>
      </c>
      <c r="D793" s="165">
        <v>41257</v>
      </c>
      <c r="E793" s="120" t="s">
        <v>3242</v>
      </c>
      <c r="F793" s="131">
        <v>7</v>
      </c>
      <c r="G793" s="120">
        <v>0</v>
      </c>
      <c r="H793" s="131">
        <v>0</v>
      </c>
      <c r="I793" s="120">
        <v>0</v>
      </c>
      <c r="J793" s="133" t="s">
        <v>853</v>
      </c>
      <c r="K793" s="133">
        <v>0</v>
      </c>
      <c r="L793" s="117">
        <v>75.5</v>
      </c>
      <c r="M793" s="133">
        <f t="shared" si="29"/>
        <v>68.5</v>
      </c>
      <c r="N793" s="157"/>
      <c r="O793" s="158"/>
      <c r="P793" s="158"/>
      <c r="Q793" s="158"/>
      <c r="R793" s="158"/>
      <c r="S793" s="158"/>
      <c r="T793" s="158"/>
      <c r="U793" s="158"/>
      <c r="V793" s="158"/>
      <c r="W793" s="158"/>
      <c r="X793" s="158"/>
      <c r="Y793" s="158"/>
      <c r="Z793" s="158"/>
      <c r="AA793" s="158"/>
    </row>
    <row r="794" spans="1:27" ht="15.75" customHeight="1" x14ac:dyDescent="0.55000000000000004">
      <c r="A794" s="164">
        <v>129</v>
      </c>
      <c r="B794" s="164" t="s">
        <v>1721</v>
      </c>
      <c r="C794" s="164" t="s">
        <v>1722</v>
      </c>
      <c r="D794" s="165">
        <v>41257</v>
      </c>
      <c r="E794" s="120" t="s">
        <v>3243</v>
      </c>
      <c r="F794" s="131">
        <v>6</v>
      </c>
      <c r="G794" s="120">
        <v>0</v>
      </c>
      <c r="H794" s="120">
        <v>0</v>
      </c>
      <c r="I794" s="120">
        <v>0</v>
      </c>
      <c r="J794" s="133" t="s">
        <v>853</v>
      </c>
      <c r="K794" s="133">
        <v>0</v>
      </c>
      <c r="L794" s="117">
        <v>75.8</v>
      </c>
      <c r="M794" s="133">
        <f t="shared" si="29"/>
        <v>69.8</v>
      </c>
      <c r="N794" s="157"/>
      <c r="O794" s="158"/>
      <c r="P794" s="158"/>
      <c r="Q794" s="158"/>
      <c r="R794" s="158"/>
      <c r="S794" s="158"/>
      <c r="T794" s="158"/>
      <c r="U794" s="158"/>
      <c r="V794" s="158"/>
      <c r="W794" s="158"/>
      <c r="X794" s="158"/>
      <c r="Y794" s="158"/>
      <c r="Z794" s="158"/>
      <c r="AA794" s="158"/>
    </row>
    <row r="795" spans="1:27" ht="15.75" customHeight="1" x14ac:dyDescent="0.55000000000000004">
      <c r="A795" s="164">
        <v>129</v>
      </c>
      <c r="B795" s="164" t="s">
        <v>1721</v>
      </c>
      <c r="C795" s="164" t="s">
        <v>1722</v>
      </c>
      <c r="D795" s="165">
        <v>41257</v>
      </c>
      <c r="E795" s="120" t="s">
        <v>3244</v>
      </c>
      <c r="F795" s="131">
        <v>6</v>
      </c>
      <c r="G795" s="120">
        <v>1</v>
      </c>
      <c r="H795" s="120">
        <v>1</v>
      </c>
      <c r="I795" s="120">
        <v>0</v>
      </c>
      <c r="J795" s="133" t="s">
        <v>853</v>
      </c>
      <c r="K795" s="133">
        <v>0</v>
      </c>
      <c r="L795" s="117">
        <v>76.7</v>
      </c>
      <c r="M795" s="133">
        <f t="shared" si="29"/>
        <v>70.7</v>
      </c>
      <c r="N795" s="157"/>
      <c r="O795" s="158"/>
      <c r="P795" s="158"/>
      <c r="Q795" s="158"/>
      <c r="R795" s="158"/>
      <c r="S795" s="158"/>
      <c r="T795" s="158"/>
      <c r="U795" s="158"/>
      <c r="V795" s="158"/>
      <c r="W795" s="158"/>
      <c r="X795" s="158"/>
      <c r="Y795" s="158"/>
      <c r="Z795" s="158"/>
      <c r="AA795" s="158"/>
    </row>
    <row r="796" spans="1:27" ht="15.75" customHeight="1" x14ac:dyDescent="0.55000000000000004">
      <c r="A796" s="164">
        <v>129</v>
      </c>
      <c r="B796" s="164" t="s">
        <v>1721</v>
      </c>
      <c r="C796" s="164" t="s">
        <v>1722</v>
      </c>
      <c r="D796" s="165">
        <v>41257</v>
      </c>
      <c r="E796" s="120" t="s">
        <v>3245</v>
      </c>
      <c r="F796" s="120">
        <v>6</v>
      </c>
      <c r="G796" s="120">
        <v>0</v>
      </c>
      <c r="H796" s="120">
        <v>0</v>
      </c>
      <c r="I796" s="120">
        <v>0</v>
      </c>
      <c r="J796" s="133" t="s">
        <v>853</v>
      </c>
      <c r="K796" s="133">
        <v>0</v>
      </c>
      <c r="L796" s="117">
        <v>75.8</v>
      </c>
      <c r="M796" s="133">
        <f t="shared" si="29"/>
        <v>69.8</v>
      </c>
      <c r="N796" s="157"/>
      <c r="O796" s="158"/>
      <c r="P796" s="158"/>
      <c r="Q796" s="158"/>
      <c r="R796" s="158"/>
      <c r="S796" s="158"/>
      <c r="T796" s="158"/>
      <c r="U796" s="158"/>
      <c r="V796" s="158"/>
      <c r="W796" s="158"/>
      <c r="X796" s="158"/>
      <c r="Y796" s="158"/>
      <c r="Z796" s="158"/>
      <c r="AA796" s="158"/>
    </row>
    <row r="797" spans="1:27" ht="15.75" customHeight="1" x14ac:dyDescent="0.55000000000000004">
      <c r="A797" s="164">
        <v>129</v>
      </c>
      <c r="B797" s="164" t="s">
        <v>1721</v>
      </c>
      <c r="C797" s="164" t="s">
        <v>1722</v>
      </c>
      <c r="D797" s="165">
        <v>41257</v>
      </c>
      <c r="E797" s="120" t="s">
        <v>3246</v>
      </c>
      <c r="F797" s="131">
        <v>7</v>
      </c>
      <c r="G797" s="120">
        <v>1</v>
      </c>
      <c r="H797" s="120">
        <v>0</v>
      </c>
      <c r="I797" s="120">
        <v>0</v>
      </c>
      <c r="J797" s="133" t="s">
        <v>853</v>
      </c>
      <c r="K797" s="133">
        <v>0</v>
      </c>
      <c r="L797" s="117">
        <v>80.5</v>
      </c>
      <c r="M797" s="133">
        <f t="shared" si="29"/>
        <v>73.5</v>
      </c>
      <c r="N797" s="157"/>
      <c r="O797" s="158"/>
      <c r="P797" s="158"/>
      <c r="Q797" s="158"/>
      <c r="R797" s="158"/>
      <c r="S797" s="158"/>
      <c r="T797" s="158"/>
      <c r="U797" s="158"/>
      <c r="V797" s="158"/>
      <c r="W797" s="158"/>
      <c r="X797" s="158"/>
      <c r="Y797" s="158"/>
      <c r="Z797" s="158"/>
      <c r="AA797" s="158"/>
    </row>
    <row r="798" spans="1:27" ht="15.75" customHeight="1" x14ac:dyDescent="0.55000000000000004">
      <c r="A798" s="164">
        <v>129</v>
      </c>
      <c r="B798" s="164" t="s">
        <v>1721</v>
      </c>
      <c r="C798" s="164" t="s">
        <v>1722</v>
      </c>
      <c r="D798" s="165">
        <v>41257</v>
      </c>
      <c r="E798" s="120" t="s">
        <v>3247</v>
      </c>
      <c r="F798" s="131">
        <v>6</v>
      </c>
      <c r="G798" s="120">
        <v>1</v>
      </c>
      <c r="H798" s="120">
        <v>0</v>
      </c>
      <c r="I798" s="120">
        <v>0</v>
      </c>
      <c r="J798" s="133" t="s">
        <v>853</v>
      </c>
      <c r="K798" s="133">
        <v>0</v>
      </c>
      <c r="L798" s="117">
        <v>80.7</v>
      </c>
      <c r="M798" s="133">
        <f t="shared" si="29"/>
        <v>74.7</v>
      </c>
      <c r="N798" s="157"/>
      <c r="O798" s="158"/>
      <c r="P798" s="158"/>
      <c r="Q798" s="158"/>
      <c r="R798" s="158"/>
      <c r="S798" s="158"/>
      <c r="T798" s="158"/>
      <c r="U798" s="158"/>
      <c r="V798" s="158"/>
      <c r="W798" s="158"/>
      <c r="X798" s="158"/>
      <c r="Y798" s="158"/>
      <c r="Z798" s="158"/>
      <c r="AA798" s="158"/>
    </row>
    <row r="799" spans="1:27" ht="15.75" customHeight="1" x14ac:dyDescent="0.55000000000000004">
      <c r="A799" s="164">
        <v>129</v>
      </c>
      <c r="B799" s="164" t="s">
        <v>1721</v>
      </c>
      <c r="C799" s="164" t="s">
        <v>1722</v>
      </c>
      <c r="D799" s="165">
        <v>41257</v>
      </c>
      <c r="E799" s="120" t="s">
        <v>3248</v>
      </c>
      <c r="F799" s="131">
        <v>6</v>
      </c>
      <c r="G799" s="120">
        <v>0</v>
      </c>
      <c r="H799" s="131">
        <v>0</v>
      </c>
      <c r="I799" s="120">
        <v>0</v>
      </c>
      <c r="J799" s="133" t="s">
        <v>853</v>
      </c>
      <c r="K799" s="133">
        <v>0</v>
      </c>
      <c r="L799" s="117">
        <v>75.8</v>
      </c>
      <c r="M799" s="133">
        <f t="shared" si="29"/>
        <v>69.8</v>
      </c>
      <c r="N799" s="157"/>
      <c r="O799" s="158"/>
      <c r="P799" s="158"/>
      <c r="Q799" s="158"/>
      <c r="R799" s="158"/>
      <c r="S799" s="158"/>
      <c r="T799" s="158"/>
      <c r="U799" s="158"/>
      <c r="V799" s="158"/>
      <c r="W799" s="158"/>
      <c r="X799" s="158"/>
      <c r="Y799" s="158"/>
      <c r="Z799" s="158"/>
      <c r="AA799" s="158"/>
    </row>
    <row r="800" spans="1:27" ht="15.75" customHeight="1" x14ac:dyDescent="0.55000000000000004">
      <c r="A800" s="164">
        <v>129</v>
      </c>
      <c r="B800" s="164" t="s">
        <v>1721</v>
      </c>
      <c r="C800" s="164" t="s">
        <v>1722</v>
      </c>
      <c r="D800" s="165">
        <v>41257</v>
      </c>
      <c r="E800" s="120" t="s">
        <v>3249</v>
      </c>
      <c r="F800" s="131">
        <v>6</v>
      </c>
      <c r="G800" s="120">
        <v>0</v>
      </c>
      <c r="H800" s="120">
        <v>0</v>
      </c>
      <c r="I800" s="120">
        <v>0</v>
      </c>
      <c r="J800" s="133" t="s">
        <v>853</v>
      </c>
      <c r="K800" s="133">
        <v>0</v>
      </c>
      <c r="L800" s="117">
        <v>75.8</v>
      </c>
      <c r="M800" s="133">
        <f t="shared" si="29"/>
        <v>69.8</v>
      </c>
      <c r="N800" s="157"/>
      <c r="O800" s="158"/>
      <c r="P800" s="158"/>
      <c r="Q800" s="158"/>
      <c r="R800" s="158"/>
      <c r="S800" s="158"/>
      <c r="T800" s="158"/>
      <c r="U800" s="158"/>
      <c r="V800" s="158"/>
      <c r="W800" s="158"/>
      <c r="X800" s="158"/>
      <c r="Y800" s="158"/>
      <c r="Z800" s="158"/>
      <c r="AA800" s="158"/>
    </row>
    <row r="801" spans="1:27" ht="15.75" customHeight="1" x14ac:dyDescent="0.55000000000000004">
      <c r="A801" s="164">
        <v>129</v>
      </c>
      <c r="B801" s="164" t="s">
        <v>1721</v>
      </c>
      <c r="C801" s="164" t="s">
        <v>1722</v>
      </c>
      <c r="D801" s="165">
        <v>41257</v>
      </c>
      <c r="E801" s="120" t="s">
        <v>3250</v>
      </c>
      <c r="F801" s="131">
        <v>6</v>
      </c>
      <c r="G801" s="120">
        <v>1</v>
      </c>
      <c r="H801" s="120">
        <v>0</v>
      </c>
      <c r="I801" s="120">
        <v>0</v>
      </c>
      <c r="J801" s="133" t="s">
        <v>853</v>
      </c>
      <c r="K801" s="133">
        <v>0</v>
      </c>
      <c r="L801" s="117">
        <v>80.7</v>
      </c>
      <c r="M801" s="133">
        <f t="shared" si="29"/>
        <v>74.7</v>
      </c>
      <c r="N801" s="157"/>
      <c r="O801" s="158"/>
      <c r="P801" s="158"/>
      <c r="Q801" s="158"/>
      <c r="R801" s="158"/>
      <c r="S801" s="158"/>
      <c r="T801" s="158"/>
      <c r="U801" s="158"/>
      <c r="V801" s="158"/>
      <c r="W801" s="158"/>
      <c r="X801" s="158"/>
      <c r="Y801" s="158"/>
      <c r="Z801" s="158"/>
      <c r="AA801" s="158"/>
    </row>
    <row r="802" spans="1:27" ht="15.75" customHeight="1" x14ac:dyDescent="0.55000000000000004">
      <c r="A802" s="164">
        <v>129</v>
      </c>
      <c r="B802" s="164" t="s">
        <v>1721</v>
      </c>
      <c r="C802" s="164" t="s">
        <v>1722</v>
      </c>
      <c r="D802" s="165">
        <v>41257</v>
      </c>
      <c r="E802" s="120" t="s">
        <v>3251</v>
      </c>
      <c r="F802" s="131">
        <v>6</v>
      </c>
      <c r="G802" s="120">
        <v>1</v>
      </c>
      <c r="H802" s="120">
        <v>0</v>
      </c>
      <c r="I802" s="120">
        <v>0</v>
      </c>
      <c r="J802" s="133" t="s">
        <v>853</v>
      </c>
      <c r="K802" s="133">
        <v>0</v>
      </c>
      <c r="L802" s="117">
        <v>80.7</v>
      </c>
      <c r="M802" s="133">
        <f t="shared" si="29"/>
        <v>74.7</v>
      </c>
      <c r="N802" s="157"/>
      <c r="O802" s="158"/>
      <c r="P802" s="158"/>
      <c r="Q802" s="158"/>
      <c r="R802" s="158"/>
      <c r="S802" s="158"/>
      <c r="T802" s="158"/>
      <c r="U802" s="158"/>
      <c r="V802" s="158"/>
      <c r="W802" s="158"/>
      <c r="X802" s="158"/>
      <c r="Y802" s="158"/>
      <c r="Z802" s="158"/>
      <c r="AA802" s="158"/>
    </row>
    <row r="803" spans="1:27" ht="15.75" customHeight="1" x14ac:dyDescent="0.55000000000000004">
      <c r="A803" s="164">
        <v>129</v>
      </c>
      <c r="B803" s="164" t="s">
        <v>1721</v>
      </c>
      <c r="C803" s="164" t="s">
        <v>1722</v>
      </c>
      <c r="D803" s="165">
        <v>41257</v>
      </c>
      <c r="E803" s="120" t="s">
        <v>3252</v>
      </c>
      <c r="F803" s="131">
        <v>6</v>
      </c>
      <c r="G803" s="120">
        <v>1</v>
      </c>
      <c r="H803" s="120">
        <v>0</v>
      </c>
      <c r="I803" s="120">
        <v>0</v>
      </c>
      <c r="J803" s="133" t="s">
        <v>853</v>
      </c>
      <c r="K803" s="133">
        <v>0</v>
      </c>
      <c r="L803" s="117">
        <v>80.7</v>
      </c>
      <c r="M803" s="133">
        <f t="shared" si="29"/>
        <v>74.7</v>
      </c>
      <c r="N803" s="157"/>
      <c r="O803" s="158"/>
      <c r="P803" s="158"/>
      <c r="Q803" s="158"/>
      <c r="R803" s="158"/>
      <c r="S803" s="158"/>
      <c r="T803" s="158"/>
      <c r="U803" s="158"/>
      <c r="V803" s="158"/>
      <c r="W803" s="158"/>
      <c r="X803" s="158"/>
      <c r="Y803" s="158"/>
      <c r="Z803" s="158"/>
      <c r="AA803" s="158"/>
    </row>
    <row r="804" spans="1:27" ht="15.75" customHeight="1" x14ac:dyDescent="0.55000000000000004">
      <c r="A804" s="164">
        <v>129</v>
      </c>
      <c r="B804" s="164" t="s">
        <v>1721</v>
      </c>
      <c r="C804" s="164" t="s">
        <v>1722</v>
      </c>
      <c r="D804" s="165">
        <v>41257</v>
      </c>
      <c r="E804" s="120" t="s">
        <v>3253</v>
      </c>
      <c r="F804" s="131">
        <v>6</v>
      </c>
      <c r="G804" s="120">
        <v>0</v>
      </c>
      <c r="H804" s="131">
        <v>0</v>
      </c>
      <c r="I804" s="120">
        <v>0</v>
      </c>
      <c r="J804" s="133" t="s">
        <v>853</v>
      </c>
      <c r="K804" s="133">
        <v>0</v>
      </c>
      <c r="L804" s="117">
        <v>75.8</v>
      </c>
      <c r="M804" s="133">
        <f t="shared" si="29"/>
        <v>69.8</v>
      </c>
      <c r="N804" s="157"/>
      <c r="O804" s="158"/>
      <c r="P804" s="158"/>
      <c r="Q804" s="158"/>
      <c r="R804" s="158"/>
      <c r="S804" s="158"/>
      <c r="T804" s="158"/>
      <c r="U804" s="158"/>
      <c r="V804" s="158"/>
      <c r="W804" s="158"/>
      <c r="X804" s="158"/>
      <c r="Y804" s="158"/>
      <c r="Z804" s="158"/>
      <c r="AA804" s="158"/>
    </row>
    <row r="805" spans="1:27" ht="15.75" customHeight="1" x14ac:dyDescent="0.55000000000000004">
      <c r="A805" s="164">
        <v>129</v>
      </c>
      <c r="B805" s="164" t="s">
        <v>1721</v>
      </c>
      <c r="C805" s="164" t="s">
        <v>1722</v>
      </c>
      <c r="D805" s="165">
        <v>41257</v>
      </c>
      <c r="E805" s="120" t="s">
        <v>3254</v>
      </c>
      <c r="F805" s="131">
        <v>6</v>
      </c>
      <c r="G805" s="120">
        <v>1</v>
      </c>
      <c r="H805" s="120">
        <v>0</v>
      </c>
      <c r="I805" s="120">
        <v>0</v>
      </c>
      <c r="J805" s="133" t="s">
        <v>853</v>
      </c>
      <c r="K805" s="133">
        <v>0</v>
      </c>
      <c r="L805" s="117">
        <v>80.7</v>
      </c>
      <c r="M805" s="133">
        <f t="shared" si="29"/>
        <v>74.7</v>
      </c>
      <c r="N805" s="157"/>
      <c r="O805" s="158"/>
      <c r="P805" s="158"/>
      <c r="Q805" s="158"/>
      <c r="R805" s="158"/>
      <c r="S805" s="158"/>
      <c r="T805" s="158"/>
      <c r="U805" s="158"/>
      <c r="V805" s="158"/>
      <c r="W805" s="158"/>
      <c r="X805" s="158"/>
      <c r="Y805" s="158"/>
      <c r="Z805" s="158"/>
      <c r="AA805" s="158"/>
    </row>
    <row r="806" spans="1:27" ht="15.75" customHeight="1" x14ac:dyDescent="0.55000000000000004">
      <c r="A806" s="166">
        <v>130</v>
      </c>
      <c r="B806" s="166" t="s">
        <v>1728</v>
      </c>
      <c r="C806" s="166" t="s">
        <v>1729</v>
      </c>
      <c r="D806" s="167">
        <v>41346</v>
      </c>
      <c r="E806" s="120" t="s">
        <v>3255</v>
      </c>
      <c r="F806" s="131">
        <v>68</v>
      </c>
      <c r="G806" s="120">
        <v>0</v>
      </c>
      <c r="H806" s="131">
        <v>0</v>
      </c>
      <c r="I806" s="120">
        <v>0</v>
      </c>
      <c r="J806" s="133" t="s">
        <v>853</v>
      </c>
      <c r="K806" s="133">
        <v>0</v>
      </c>
      <c r="L806" s="117">
        <v>82.8</v>
      </c>
      <c r="M806" s="133">
        <f t="shared" si="29"/>
        <v>14.799999999999997</v>
      </c>
      <c r="N806" s="157"/>
      <c r="O806" s="158"/>
      <c r="P806" s="158"/>
      <c r="Q806" s="158"/>
      <c r="R806" s="158"/>
      <c r="S806" s="158"/>
      <c r="T806" s="158"/>
      <c r="U806" s="158"/>
      <c r="V806" s="158"/>
      <c r="W806" s="158"/>
      <c r="X806" s="158"/>
      <c r="Y806" s="158"/>
      <c r="Z806" s="158"/>
      <c r="AA806" s="158"/>
    </row>
    <row r="807" spans="1:27" ht="15.75" customHeight="1" x14ac:dyDescent="0.55000000000000004">
      <c r="A807" s="166">
        <v>130</v>
      </c>
      <c r="B807" s="166" t="s">
        <v>1728</v>
      </c>
      <c r="C807" s="166" t="s">
        <v>1729</v>
      </c>
      <c r="D807" s="167">
        <v>41346</v>
      </c>
      <c r="E807" s="120" t="s">
        <v>3256</v>
      </c>
      <c r="F807" s="131">
        <v>57</v>
      </c>
      <c r="G807" s="120">
        <v>0</v>
      </c>
      <c r="H807" s="131">
        <v>0</v>
      </c>
      <c r="I807" s="120">
        <v>0</v>
      </c>
      <c r="J807" s="133" t="s">
        <v>853</v>
      </c>
      <c r="K807" s="133">
        <v>0</v>
      </c>
      <c r="L807" s="117">
        <v>67.400000000000006</v>
      </c>
      <c r="M807" s="133">
        <f t="shared" si="29"/>
        <v>10.400000000000006</v>
      </c>
      <c r="N807" s="157"/>
      <c r="O807" s="158"/>
      <c r="P807" s="158"/>
      <c r="Q807" s="158"/>
      <c r="R807" s="158"/>
      <c r="S807" s="158"/>
      <c r="T807" s="158"/>
      <c r="U807" s="158"/>
      <c r="V807" s="158"/>
      <c r="W807" s="158"/>
      <c r="X807" s="158"/>
      <c r="Y807" s="158"/>
      <c r="Z807" s="158"/>
      <c r="AA807" s="158"/>
    </row>
    <row r="808" spans="1:27" ht="15.75" customHeight="1" x14ac:dyDescent="0.55000000000000004">
      <c r="A808" s="166">
        <v>130</v>
      </c>
      <c r="B808" s="166" t="s">
        <v>1728</v>
      </c>
      <c r="C808" s="166" t="s">
        <v>1729</v>
      </c>
      <c r="D808" s="167">
        <v>41346</v>
      </c>
      <c r="E808" s="120" t="s">
        <v>3257</v>
      </c>
      <c r="F808" s="131">
        <v>51</v>
      </c>
      <c r="G808" s="120">
        <v>0</v>
      </c>
      <c r="H808" s="131">
        <v>0</v>
      </c>
      <c r="I808" s="120">
        <v>0</v>
      </c>
      <c r="J808" s="133" t="s">
        <v>853</v>
      </c>
      <c r="K808" s="133">
        <v>0</v>
      </c>
      <c r="L808" s="117">
        <v>67.400000000000006</v>
      </c>
      <c r="M808" s="133">
        <f t="shared" si="29"/>
        <v>16.400000000000006</v>
      </c>
      <c r="N808" s="157"/>
      <c r="O808" s="158"/>
      <c r="P808" s="158"/>
      <c r="Q808" s="158"/>
      <c r="R808" s="158"/>
      <c r="S808" s="158"/>
      <c r="T808" s="158"/>
      <c r="U808" s="158"/>
      <c r="V808" s="158"/>
      <c r="W808" s="158"/>
      <c r="X808" s="158"/>
      <c r="Y808" s="158"/>
      <c r="Z808" s="158"/>
      <c r="AA808" s="158"/>
    </row>
    <row r="809" spans="1:27" ht="15.75" customHeight="1" x14ac:dyDescent="0.55000000000000004">
      <c r="A809" s="166">
        <v>130</v>
      </c>
      <c r="B809" s="166" t="s">
        <v>1728</v>
      </c>
      <c r="C809" s="166" t="s">
        <v>1729</v>
      </c>
      <c r="D809" s="167">
        <v>41346</v>
      </c>
      <c r="E809" s="120" t="s">
        <v>3258</v>
      </c>
      <c r="F809" s="131">
        <v>62</v>
      </c>
      <c r="G809" s="120">
        <v>0</v>
      </c>
      <c r="H809" s="131">
        <v>0</v>
      </c>
      <c r="I809" s="120">
        <v>0</v>
      </c>
      <c r="J809" s="133" t="s">
        <v>853</v>
      </c>
      <c r="K809" s="133">
        <v>0</v>
      </c>
      <c r="L809" s="117">
        <v>66.5</v>
      </c>
      <c r="M809" s="133">
        <f t="shared" si="29"/>
        <v>4.5</v>
      </c>
      <c r="N809" s="157"/>
      <c r="O809" s="158"/>
      <c r="P809" s="158"/>
      <c r="Q809" s="158"/>
      <c r="R809" s="158"/>
      <c r="S809" s="158"/>
      <c r="T809" s="158"/>
      <c r="U809" s="158"/>
      <c r="V809" s="158"/>
      <c r="W809" s="158"/>
      <c r="X809" s="158"/>
      <c r="Y809" s="158"/>
      <c r="Z809" s="158"/>
      <c r="AA809" s="158"/>
    </row>
    <row r="810" spans="1:27" ht="15.75" customHeight="1" x14ac:dyDescent="0.55000000000000004">
      <c r="A810" s="177">
        <v>131</v>
      </c>
      <c r="B810" s="177" t="s">
        <v>1733</v>
      </c>
      <c r="C810" s="177" t="s">
        <v>1734</v>
      </c>
      <c r="D810" s="178">
        <v>41385</v>
      </c>
      <c r="E810" s="120" t="s">
        <v>3259</v>
      </c>
      <c r="F810" s="131">
        <v>24</v>
      </c>
      <c r="G810" s="120">
        <v>1</v>
      </c>
      <c r="H810" s="120">
        <v>0</v>
      </c>
      <c r="I810" s="120">
        <v>1</v>
      </c>
      <c r="J810" s="133" t="s">
        <v>3260</v>
      </c>
      <c r="K810" s="133">
        <v>2</v>
      </c>
      <c r="L810" s="117">
        <v>79.400000000000006</v>
      </c>
      <c r="M810" s="133">
        <f t="shared" si="29"/>
        <v>55.400000000000006</v>
      </c>
      <c r="N810" s="157"/>
      <c r="O810" s="158"/>
      <c r="P810" s="158"/>
      <c r="Q810" s="158"/>
      <c r="R810" s="158"/>
      <c r="S810" s="158"/>
      <c r="T810" s="158"/>
      <c r="U810" s="158"/>
      <c r="V810" s="158"/>
      <c r="W810" s="158"/>
      <c r="X810" s="158"/>
      <c r="Y810" s="158"/>
      <c r="Z810" s="158"/>
      <c r="AA810" s="158"/>
    </row>
    <row r="811" spans="1:27" ht="15.75" customHeight="1" x14ac:dyDescent="0.55000000000000004">
      <c r="A811" s="177">
        <v>131</v>
      </c>
      <c r="B811" s="177" t="s">
        <v>1733</v>
      </c>
      <c r="C811" s="177" t="s">
        <v>1734</v>
      </c>
      <c r="D811" s="178">
        <v>41385</v>
      </c>
      <c r="E811" s="120" t="s">
        <v>3261</v>
      </c>
      <c r="F811" s="131">
        <v>47</v>
      </c>
      <c r="G811" s="120">
        <v>0</v>
      </c>
      <c r="H811" s="120"/>
      <c r="I811" s="120">
        <v>0</v>
      </c>
      <c r="J811" s="133" t="s">
        <v>853</v>
      </c>
      <c r="K811" s="133">
        <v>0</v>
      </c>
      <c r="L811" s="117">
        <v>67.099999999999994</v>
      </c>
      <c r="M811" s="133">
        <f t="shared" si="29"/>
        <v>20.099999999999994</v>
      </c>
      <c r="N811" s="157"/>
      <c r="O811" s="158"/>
      <c r="P811" s="158"/>
      <c r="Q811" s="158"/>
      <c r="R811" s="158"/>
      <c r="S811" s="158"/>
      <c r="T811" s="158"/>
      <c r="U811" s="158"/>
      <c r="V811" s="158"/>
      <c r="W811" s="158"/>
      <c r="X811" s="158"/>
      <c r="Y811" s="158"/>
      <c r="Z811" s="158"/>
      <c r="AA811" s="158"/>
    </row>
    <row r="812" spans="1:27" ht="15.75" customHeight="1" x14ac:dyDescent="0.55000000000000004">
      <c r="A812" s="177">
        <v>131</v>
      </c>
      <c r="B812" s="177" t="s">
        <v>1733</v>
      </c>
      <c r="C812" s="177" t="s">
        <v>1734</v>
      </c>
      <c r="D812" s="178">
        <v>41385</v>
      </c>
      <c r="E812" s="120" t="s">
        <v>3262</v>
      </c>
      <c r="F812" s="131">
        <v>62</v>
      </c>
      <c r="G812" s="120">
        <v>0</v>
      </c>
      <c r="H812" s="120"/>
      <c r="I812" s="120">
        <v>0</v>
      </c>
      <c r="J812" s="133" t="s">
        <v>853</v>
      </c>
      <c r="K812" s="133">
        <v>0</v>
      </c>
      <c r="L812" s="117">
        <v>65.599999999999994</v>
      </c>
      <c r="M812" s="133">
        <f t="shared" si="29"/>
        <v>3.5999999999999943</v>
      </c>
      <c r="N812" s="157"/>
      <c r="O812" s="158"/>
      <c r="P812" s="158"/>
      <c r="Q812" s="158"/>
      <c r="R812" s="158"/>
      <c r="S812" s="158"/>
      <c r="T812" s="158"/>
      <c r="U812" s="158"/>
      <c r="V812" s="158"/>
      <c r="W812" s="158"/>
      <c r="X812" s="158"/>
      <c r="Y812" s="158"/>
      <c r="Z812" s="158"/>
      <c r="AA812" s="158"/>
    </row>
    <row r="813" spans="1:27" ht="15.75" customHeight="1" x14ac:dyDescent="0.55000000000000004">
      <c r="A813" s="177">
        <v>131</v>
      </c>
      <c r="B813" s="177" t="s">
        <v>1733</v>
      </c>
      <c r="C813" s="177" t="s">
        <v>1734</v>
      </c>
      <c r="D813" s="178">
        <v>41385</v>
      </c>
      <c r="E813" s="120" t="s">
        <v>3263</v>
      </c>
      <c r="F813" s="131">
        <v>23</v>
      </c>
      <c r="G813" s="120">
        <v>0</v>
      </c>
      <c r="H813" s="131">
        <v>2</v>
      </c>
      <c r="I813" s="120">
        <v>0</v>
      </c>
      <c r="J813" s="133" t="s">
        <v>853</v>
      </c>
      <c r="K813" s="133">
        <v>0</v>
      </c>
      <c r="L813" s="117">
        <v>71.8</v>
      </c>
      <c r="M813" s="133">
        <f t="shared" si="29"/>
        <v>48.8</v>
      </c>
      <c r="N813" s="157"/>
      <c r="O813" s="158"/>
      <c r="P813" s="158"/>
      <c r="Q813" s="158"/>
      <c r="R813" s="158"/>
      <c r="S813" s="158"/>
      <c r="T813" s="158"/>
      <c r="U813" s="158"/>
      <c r="V813" s="158"/>
      <c r="W813" s="158"/>
      <c r="X813" s="158"/>
      <c r="Y813" s="158"/>
      <c r="Z813" s="158"/>
      <c r="AA813" s="158"/>
    </row>
    <row r="814" spans="1:27" ht="15.75" customHeight="1" x14ac:dyDescent="0.55000000000000004">
      <c r="A814" s="169">
        <v>132</v>
      </c>
      <c r="B814" s="169" t="s">
        <v>1738</v>
      </c>
      <c r="C814" s="169" t="s">
        <v>1014</v>
      </c>
      <c r="D814" s="170">
        <v>41432</v>
      </c>
      <c r="E814" s="120" t="s">
        <v>3264</v>
      </c>
      <c r="F814" s="131">
        <v>68</v>
      </c>
      <c r="G814" s="120">
        <v>0</v>
      </c>
      <c r="H814" s="131">
        <v>2</v>
      </c>
      <c r="I814" s="120">
        <v>0</v>
      </c>
      <c r="J814" s="133" t="s">
        <v>853</v>
      </c>
      <c r="K814" s="133">
        <v>0</v>
      </c>
      <c r="L814" s="117">
        <v>84.2</v>
      </c>
      <c r="M814" s="133">
        <f t="shared" si="29"/>
        <v>16.200000000000003</v>
      </c>
      <c r="N814" s="157"/>
      <c r="O814" s="158"/>
      <c r="P814" s="158"/>
      <c r="Q814" s="158"/>
      <c r="R814" s="158"/>
      <c r="S814" s="158"/>
      <c r="T814" s="158"/>
      <c r="U814" s="158"/>
      <c r="V814" s="158"/>
      <c r="W814" s="158"/>
      <c r="X814" s="158"/>
      <c r="Y814" s="158"/>
      <c r="Z814" s="158"/>
      <c r="AA814" s="158"/>
    </row>
    <row r="815" spans="1:27" ht="15.75" customHeight="1" x14ac:dyDescent="0.55000000000000004">
      <c r="A815" s="169">
        <v>132</v>
      </c>
      <c r="B815" s="169" t="s">
        <v>1738</v>
      </c>
      <c r="C815" s="169" t="s">
        <v>1014</v>
      </c>
      <c r="D815" s="170">
        <v>41432</v>
      </c>
      <c r="E815" s="120" t="s">
        <v>3265</v>
      </c>
      <c r="F815" s="131">
        <v>26</v>
      </c>
      <c r="G815" s="120">
        <v>1</v>
      </c>
      <c r="H815" s="131">
        <v>2</v>
      </c>
      <c r="I815" s="120">
        <v>0</v>
      </c>
      <c r="J815" s="133" t="s">
        <v>853</v>
      </c>
      <c r="K815" s="133">
        <v>0</v>
      </c>
      <c r="L815" s="117">
        <v>78.8</v>
      </c>
      <c r="M815" s="133">
        <f t="shared" si="29"/>
        <v>52.8</v>
      </c>
      <c r="N815" s="157"/>
      <c r="O815" s="158"/>
      <c r="P815" s="158"/>
      <c r="Q815" s="158"/>
      <c r="R815" s="158"/>
      <c r="S815" s="158"/>
      <c r="T815" s="158"/>
      <c r="U815" s="158"/>
      <c r="V815" s="158"/>
      <c r="W815" s="158"/>
      <c r="X815" s="158"/>
      <c r="Y815" s="158"/>
      <c r="Z815" s="158"/>
      <c r="AA815" s="158"/>
    </row>
    <row r="816" spans="1:27" ht="15.75" customHeight="1" x14ac:dyDescent="0.55000000000000004">
      <c r="A816" s="169">
        <v>132</v>
      </c>
      <c r="B816" s="169" t="s">
        <v>1738</v>
      </c>
      <c r="C816" s="169" t="s">
        <v>1014</v>
      </c>
      <c r="D816" s="170">
        <v>41432</v>
      </c>
      <c r="E816" s="120" t="s">
        <v>3266</v>
      </c>
      <c r="F816" s="131">
        <v>68</v>
      </c>
      <c r="G816" s="120">
        <v>1</v>
      </c>
      <c r="H816" s="131">
        <v>2</v>
      </c>
      <c r="I816" s="120">
        <v>0</v>
      </c>
      <c r="J816" s="133" t="s">
        <v>853</v>
      </c>
      <c r="K816" s="133">
        <v>0</v>
      </c>
      <c r="L816" s="117">
        <v>87.6</v>
      </c>
      <c r="M816" s="133">
        <f t="shared" si="29"/>
        <v>19.599999999999994</v>
      </c>
      <c r="N816" s="157"/>
      <c r="O816" s="158"/>
      <c r="P816" s="158"/>
      <c r="Q816" s="158"/>
      <c r="R816" s="158"/>
      <c r="S816" s="158"/>
      <c r="T816" s="158"/>
      <c r="U816" s="158"/>
      <c r="V816" s="158"/>
      <c r="W816" s="158"/>
      <c r="X816" s="158"/>
      <c r="Y816" s="158"/>
      <c r="Z816" s="158"/>
      <c r="AA816" s="158"/>
    </row>
    <row r="817" spans="1:27" ht="15.75" customHeight="1" x14ac:dyDescent="0.55000000000000004">
      <c r="A817" s="169">
        <v>132</v>
      </c>
      <c r="B817" s="169" t="s">
        <v>1738</v>
      </c>
      <c r="C817" s="169" t="s">
        <v>1014</v>
      </c>
      <c r="D817" s="170">
        <v>41432</v>
      </c>
      <c r="E817" s="120" t="s">
        <v>3267</v>
      </c>
      <c r="F817" s="131">
        <v>25</v>
      </c>
      <c r="G817" s="120">
        <v>0</v>
      </c>
      <c r="H817" s="131">
        <v>4</v>
      </c>
      <c r="I817" s="120">
        <v>1</v>
      </c>
      <c r="J817" s="133" t="s">
        <v>3268</v>
      </c>
      <c r="K817" s="133">
        <v>1</v>
      </c>
      <c r="L817" s="117">
        <v>71.8</v>
      </c>
      <c r="M817" s="133">
        <f t="shared" si="29"/>
        <v>46.8</v>
      </c>
      <c r="N817" s="157"/>
      <c r="O817" s="158"/>
      <c r="P817" s="158"/>
      <c r="Q817" s="158"/>
      <c r="R817" s="158"/>
      <c r="S817" s="158"/>
      <c r="T817" s="158"/>
      <c r="U817" s="158"/>
      <c r="V817" s="158"/>
      <c r="W817" s="158"/>
      <c r="X817" s="158"/>
      <c r="Y817" s="158"/>
      <c r="Z817" s="158"/>
      <c r="AA817" s="158"/>
    </row>
    <row r="818" spans="1:27" ht="15.75" customHeight="1" x14ac:dyDescent="0.55000000000000004">
      <c r="A818" s="169">
        <v>132</v>
      </c>
      <c r="B818" s="169" t="s">
        <v>1738</v>
      </c>
      <c r="C818" s="169" t="s">
        <v>1014</v>
      </c>
      <c r="D818" s="170">
        <v>41432</v>
      </c>
      <c r="E818" s="120" t="s">
        <v>3269</v>
      </c>
      <c r="F818" s="131">
        <v>55</v>
      </c>
      <c r="G818" s="120">
        <v>0</v>
      </c>
      <c r="H818" s="131">
        <v>4</v>
      </c>
      <c r="I818" s="120">
        <v>1</v>
      </c>
      <c r="J818" s="133" t="s">
        <v>2804</v>
      </c>
      <c r="K818" s="133">
        <v>1</v>
      </c>
      <c r="L818" s="117">
        <v>66.599999999999994</v>
      </c>
      <c r="M818" s="133">
        <f t="shared" si="29"/>
        <v>11.599999999999994</v>
      </c>
      <c r="N818" s="157"/>
      <c r="O818" s="158"/>
      <c r="P818" s="158"/>
      <c r="Q818" s="158"/>
      <c r="R818" s="158"/>
      <c r="S818" s="158"/>
      <c r="T818" s="158"/>
      <c r="U818" s="158"/>
      <c r="V818" s="158"/>
      <c r="W818" s="158"/>
      <c r="X818" s="158"/>
      <c r="Y818" s="158"/>
      <c r="Z818" s="158"/>
      <c r="AA818" s="158"/>
    </row>
    <row r="819" spans="1:27" ht="15.75" customHeight="1" x14ac:dyDescent="0.55000000000000004">
      <c r="A819" s="175">
        <v>133</v>
      </c>
      <c r="B819" s="175" t="s">
        <v>1744</v>
      </c>
      <c r="C819" s="175" t="s">
        <v>1745</v>
      </c>
      <c r="D819" s="176">
        <v>41481</v>
      </c>
      <c r="E819" s="120" t="s">
        <v>3270</v>
      </c>
      <c r="F819" s="131">
        <v>33</v>
      </c>
      <c r="G819" s="120">
        <v>0</v>
      </c>
      <c r="H819" s="131">
        <v>2</v>
      </c>
      <c r="I819" s="120">
        <v>0</v>
      </c>
      <c r="J819" s="133" t="s">
        <v>853</v>
      </c>
      <c r="K819" s="133">
        <v>0</v>
      </c>
      <c r="L819" s="117">
        <v>70</v>
      </c>
      <c r="M819" s="133">
        <f t="shared" si="29"/>
        <v>37</v>
      </c>
      <c r="N819" s="157"/>
      <c r="O819" s="158"/>
      <c r="P819" s="158"/>
      <c r="Q819" s="158"/>
      <c r="R819" s="158"/>
      <c r="S819" s="158"/>
      <c r="T819" s="158"/>
      <c r="U819" s="158"/>
      <c r="V819" s="158"/>
      <c r="W819" s="158"/>
      <c r="X819" s="158"/>
      <c r="Y819" s="158"/>
      <c r="Z819" s="158"/>
      <c r="AA819" s="158"/>
    </row>
    <row r="820" spans="1:27" ht="15.75" customHeight="1" x14ac:dyDescent="0.55000000000000004">
      <c r="A820" s="175">
        <v>133</v>
      </c>
      <c r="B820" s="175" t="s">
        <v>1744</v>
      </c>
      <c r="C820" s="175" t="s">
        <v>1745</v>
      </c>
      <c r="D820" s="176">
        <v>41481</v>
      </c>
      <c r="E820" s="120" t="s">
        <v>3271</v>
      </c>
      <c r="F820" s="131">
        <v>51</v>
      </c>
      <c r="G820" s="120">
        <v>1</v>
      </c>
      <c r="H820" s="131">
        <v>2</v>
      </c>
      <c r="I820" s="120">
        <v>1</v>
      </c>
      <c r="J820" s="133" t="s">
        <v>2394</v>
      </c>
      <c r="K820" s="133">
        <v>5</v>
      </c>
      <c r="L820" s="117">
        <v>73.099999999999994</v>
      </c>
      <c r="M820" s="133">
        <f t="shared" si="29"/>
        <v>22.099999999999994</v>
      </c>
      <c r="N820" s="157"/>
      <c r="O820" s="158"/>
      <c r="P820" s="158"/>
      <c r="Q820" s="158"/>
      <c r="R820" s="158"/>
      <c r="S820" s="158"/>
      <c r="T820" s="158"/>
      <c r="U820" s="158"/>
      <c r="V820" s="158"/>
      <c r="W820" s="158"/>
      <c r="X820" s="158"/>
      <c r="Y820" s="158"/>
      <c r="Z820" s="158"/>
      <c r="AA820" s="158"/>
    </row>
    <row r="821" spans="1:27" ht="15.75" customHeight="1" x14ac:dyDescent="0.55000000000000004">
      <c r="A821" s="175">
        <v>133</v>
      </c>
      <c r="B821" s="175" t="s">
        <v>1744</v>
      </c>
      <c r="C821" s="175" t="s">
        <v>1745</v>
      </c>
      <c r="D821" s="176">
        <v>41481</v>
      </c>
      <c r="E821" s="120" t="s">
        <v>3272</v>
      </c>
      <c r="F821" s="131">
        <v>17</v>
      </c>
      <c r="G821" s="120">
        <v>1</v>
      </c>
      <c r="H821" s="131">
        <v>2</v>
      </c>
      <c r="I821" s="120">
        <v>1</v>
      </c>
      <c r="J821" s="133" t="s">
        <v>2394</v>
      </c>
      <c r="K821" s="133">
        <v>5</v>
      </c>
      <c r="L821" s="117">
        <v>78.900000000000006</v>
      </c>
      <c r="M821" s="133">
        <f t="shared" si="29"/>
        <v>61.900000000000006</v>
      </c>
      <c r="N821" s="157"/>
      <c r="O821" s="158"/>
      <c r="P821" s="158"/>
      <c r="Q821" s="158"/>
      <c r="R821" s="158"/>
      <c r="S821" s="158"/>
      <c r="T821" s="158"/>
      <c r="U821" s="158"/>
      <c r="V821" s="158"/>
      <c r="W821" s="158"/>
      <c r="X821" s="158"/>
      <c r="Y821" s="158"/>
      <c r="Z821" s="158"/>
      <c r="AA821" s="158"/>
    </row>
    <row r="822" spans="1:27" ht="15.75" customHeight="1" x14ac:dyDescent="0.55000000000000004">
      <c r="A822" s="175">
        <v>133</v>
      </c>
      <c r="B822" s="175" t="s">
        <v>1744</v>
      </c>
      <c r="C822" s="175" t="s">
        <v>1745</v>
      </c>
      <c r="D822" s="176">
        <v>41481</v>
      </c>
      <c r="E822" s="120" t="s">
        <v>3273</v>
      </c>
      <c r="F822" s="131">
        <v>69</v>
      </c>
      <c r="G822" s="120">
        <v>1</v>
      </c>
      <c r="H822" s="131">
        <v>2</v>
      </c>
      <c r="I822" s="120">
        <v>1</v>
      </c>
      <c r="J822" s="133" t="s">
        <v>3274</v>
      </c>
      <c r="K822" s="133">
        <v>5</v>
      </c>
      <c r="L822" s="117">
        <v>86.9</v>
      </c>
      <c r="M822" s="133">
        <f t="shared" si="29"/>
        <v>17.900000000000006</v>
      </c>
      <c r="N822" s="157"/>
      <c r="O822" s="158"/>
      <c r="P822" s="158"/>
      <c r="Q822" s="158"/>
      <c r="R822" s="158"/>
      <c r="S822" s="158"/>
      <c r="T822" s="158"/>
      <c r="U822" s="158"/>
      <c r="V822" s="158"/>
      <c r="W822" s="158"/>
      <c r="X822" s="158"/>
      <c r="Y822" s="158"/>
      <c r="Z822" s="158"/>
      <c r="AA822" s="158"/>
    </row>
    <row r="823" spans="1:27" ht="15.75" customHeight="1" x14ac:dyDescent="0.55000000000000004">
      <c r="A823" s="175">
        <v>133</v>
      </c>
      <c r="B823" s="175" t="s">
        <v>1744</v>
      </c>
      <c r="C823" s="175" t="s">
        <v>1745</v>
      </c>
      <c r="D823" s="176">
        <v>41481</v>
      </c>
      <c r="E823" s="120" t="s">
        <v>3275</v>
      </c>
      <c r="F823" s="131">
        <v>79</v>
      </c>
      <c r="G823" s="120">
        <v>0</v>
      </c>
      <c r="H823" s="131">
        <v>2</v>
      </c>
      <c r="I823" s="120">
        <v>1</v>
      </c>
      <c r="J823" s="133" t="s">
        <v>3274</v>
      </c>
      <c r="K823" s="133">
        <v>5</v>
      </c>
      <c r="L823" s="117">
        <v>87</v>
      </c>
      <c r="M823" s="133">
        <f t="shared" si="29"/>
        <v>8</v>
      </c>
      <c r="N823" s="157"/>
      <c r="O823" s="158"/>
      <c r="P823" s="158"/>
      <c r="Q823" s="158"/>
      <c r="R823" s="158"/>
      <c r="S823" s="158"/>
      <c r="T823" s="158"/>
      <c r="U823" s="158"/>
      <c r="V823" s="158"/>
      <c r="W823" s="158"/>
      <c r="X823" s="158"/>
      <c r="Y823" s="158"/>
      <c r="Z823" s="158"/>
      <c r="AA823" s="158"/>
    </row>
    <row r="824" spans="1:27" ht="15.75" customHeight="1" x14ac:dyDescent="0.55000000000000004">
      <c r="A824" s="175">
        <v>133</v>
      </c>
      <c r="B824" s="175" t="s">
        <v>1744</v>
      </c>
      <c r="C824" s="175" t="s">
        <v>1745</v>
      </c>
      <c r="D824" s="176">
        <v>41481</v>
      </c>
      <c r="E824" s="120" t="s">
        <v>3276</v>
      </c>
      <c r="F824" s="131">
        <v>64</v>
      </c>
      <c r="G824" s="120">
        <v>0</v>
      </c>
      <c r="H824" s="131">
        <v>2</v>
      </c>
      <c r="I824" s="120">
        <v>1</v>
      </c>
      <c r="J824" s="133" t="s">
        <v>2394</v>
      </c>
      <c r="K824" s="133">
        <v>5</v>
      </c>
      <c r="L824" s="117">
        <v>71.099999999999994</v>
      </c>
      <c r="M824" s="133">
        <f t="shared" si="29"/>
        <v>7.0999999999999943</v>
      </c>
      <c r="N824" s="157"/>
      <c r="O824" s="158"/>
      <c r="P824" s="158"/>
      <c r="Q824" s="158"/>
      <c r="R824" s="158"/>
      <c r="S824" s="158"/>
      <c r="T824" s="158"/>
      <c r="U824" s="158"/>
      <c r="V824" s="158"/>
      <c r="W824" s="158"/>
      <c r="X824" s="158"/>
      <c r="Y824" s="158"/>
      <c r="Z824" s="158"/>
      <c r="AA824" s="158"/>
    </row>
    <row r="825" spans="1:27" ht="15.75" customHeight="1" x14ac:dyDescent="0.55000000000000004">
      <c r="A825" s="159">
        <v>134</v>
      </c>
      <c r="B825" s="159" t="s">
        <v>1751</v>
      </c>
      <c r="C825" s="159" t="s">
        <v>1752</v>
      </c>
      <c r="D825" s="160">
        <v>41533</v>
      </c>
      <c r="E825" s="120" t="s">
        <v>3277</v>
      </c>
      <c r="F825" s="131">
        <v>59</v>
      </c>
      <c r="G825" s="120">
        <v>0</v>
      </c>
      <c r="H825" s="120">
        <v>0</v>
      </c>
      <c r="I825" s="120">
        <v>0</v>
      </c>
      <c r="J825" s="133" t="s">
        <v>853</v>
      </c>
      <c r="K825" s="133">
        <v>0</v>
      </c>
      <c r="L825" s="117">
        <v>66.5</v>
      </c>
      <c r="M825" s="133">
        <f t="shared" si="29"/>
        <v>7.5</v>
      </c>
      <c r="N825" s="157"/>
      <c r="O825" s="158"/>
      <c r="P825" s="158"/>
      <c r="Q825" s="158"/>
      <c r="R825" s="158"/>
      <c r="S825" s="158"/>
      <c r="T825" s="158"/>
      <c r="U825" s="158"/>
      <c r="V825" s="158"/>
      <c r="W825" s="158"/>
      <c r="X825" s="158"/>
      <c r="Y825" s="158"/>
      <c r="Z825" s="158"/>
      <c r="AA825" s="158"/>
    </row>
    <row r="826" spans="1:27" ht="15.75" customHeight="1" x14ac:dyDescent="0.55000000000000004">
      <c r="A826" s="159">
        <v>134</v>
      </c>
      <c r="B826" s="159" t="s">
        <v>1751</v>
      </c>
      <c r="C826" s="159" t="s">
        <v>1752</v>
      </c>
      <c r="D826" s="160">
        <v>41533</v>
      </c>
      <c r="E826" s="120" t="s">
        <v>3278</v>
      </c>
      <c r="F826" s="131">
        <v>54</v>
      </c>
      <c r="G826" s="120">
        <v>0</v>
      </c>
      <c r="H826" s="120">
        <v>0</v>
      </c>
      <c r="I826" s="120">
        <v>0</v>
      </c>
      <c r="J826" s="133" t="s">
        <v>853</v>
      </c>
      <c r="K826" s="133">
        <v>0</v>
      </c>
      <c r="L826" s="117">
        <v>67.400000000000006</v>
      </c>
      <c r="M826" s="133">
        <f t="shared" si="29"/>
        <v>13.400000000000006</v>
      </c>
      <c r="N826" s="157"/>
      <c r="O826" s="158"/>
      <c r="P826" s="158"/>
      <c r="Q826" s="158"/>
      <c r="R826" s="158"/>
      <c r="S826" s="158"/>
      <c r="T826" s="158"/>
      <c r="U826" s="158"/>
      <c r="V826" s="158"/>
      <c r="W826" s="158"/>
      <c r="X826" s="158"/>
      <c r="Y826" s="158"/>
      <c r="Z826" s="158"/>
      <c r="AA826" s="158"/>
    </row>
    <row r="827" spans="1:27" ht="15.75" customHeight="1" x14ac:dyDescent="0.55000000000000004">
      <c r="A827" s="159">
        <v>134</v>
      </c>
      <c r="B827" s="159" t="s">
        <v>1751</v>
      </c>
      <c r="C827" s="159" t="s">
        <v>1752</v>
      </c>
      <c r="D827" s="160">
        <v>41533</v>
      </c>
      <c r="E827" s="120" t="s">
        <v>3279</v>
      </c>
      <c r="F827" s="131">
        <v>51</v>
      </c>
      <c r="G827" s="120">
        <v>0</v>
      </c>
      <c r="H827" s="120">
        <v>1</v>
      </c>
      <c r="I827" s="120">
        <v>0</v>
      </c>
      <c r="J827" s="133" t="s">
        <v>853</v>
      </c>
      <c r="K827" s="133">
        <v>0</v>
      </c>
      <c r="L827" s="117">
        <v>61.1</v>
      </c>
      <c r="M827" s="133">
        <f t="shared" si="29"/>
        <v>10.100000000000001</v>
      </c>
      <c r="N827" s="157"/>
      <c r="O827" s="158"/>
      <c r="P827" s="158"/>
      <c r="Q827" s="158"/>
      <c r="R827" s="158"/>
      <c r="S827" s="158"/>
      <c r="T827" s="158"/>
      <c r="U827" s="158"/>
      <c r="V827" s="158"/>
      <c r="W827" s="158"/>
      <c r="X827" s="158"/>
      <c r="Y827" s="158"/>
      <c r="Z827" s="158"/>
      <c r="AA827" s="158"/>
    </row>
    <row r="828" spans="1:27" ht="15.75" customHeight="1" x14ac:dyDescent="0.55000000000000004">
      <c r="A828" s="159">
        <v>134</v>
      </c>
      <c r="B828" s="159" t="s">
        <v>1751</v>
      </c>
      <c r="C828" s="159" t="s">
        <v>1752</v>
      </c>
      <c r="D828" s="160">
        <v>41533</v>
      </c>
      <c r="E828" s="120" t="s">
        <v>3280</v>
      </c>
      <c r="F828" s="131">
        <v>53</v>
      </c>
      <c r="G828" s="120">
        <v>1</v>
      </c>
      <c r="H828" s="120">
        <v>1</v>
      </c>
      <c r="I828" s="120">
        <v>0</v>
      </c>
      <c r="J828" s="133" t="s">
        <v>853</v>
      </c>
      <c r="K828" s="133">
        <v>0</v>
      </c>
      <c r="L828" s="117">
        <v>66.3</v>
      </c>
      <c r="M828" s="133">
        <f t="shared" si="29"/>
        <v>13.299999999999997</v>
      </c>
      <c r="N828" s="157"/>
      <c r="O828" s="158"/>
      <c r="P828" s="158"/>
      <c r="Q828" s="158"/>
      <c r="R828" s="158"/>
      <c r="S828" s="158"/>
      <c r="T828" s="158"/>
      <c r="U828" s="158"/>
      <c r="V828" s="158"/>
      <c r="W828" s="158"/>
      <c r="X828" s="158"/>
      <c r="Y828" s="158"/>
      <c r="Z828" s="158"/>
      <c r="AA828" s="158"/>
    </row>
    <row r="829" spans="1:27" ht="15.75" customHeight="1" x14ac:dyDescent="0.55000000000000004">
      <c r="A829" s="159">
        <v>134</v>
      </c>
      <c r="B829" s="159" t="s">
        <v>1751</v>
      </c>
      <c r="C829" s="159" t="s">
        <v>1752</v>
      </c>
      <c r="D829" s="160">
        <v>41533</v>
      </c>
      <c r="E829" s="120" t="s">
        <v>3281</v>
      </c>
      <c r="F829" s="120">
        <v>62</v>
      </c>
      <c r="G829" s="120">
        <v>1</v>
      </c>
      <c r="H829" s="120">
        <v>0</v>
      </c>
      <c r="I829" s="120">
        <v>0</v>
      </c>
      <c r="J829" s="133" t="s">
        <v>853</v>
      </c>
      <c r="K829" s="133">
        <v>0</v>
      </c>
      <c r="L829" s="117">
        <v>72.2</v>
      </c>
      <c r="M829" s="133">
        <f t="shared" si="29"/>
        <v>10.200000000000003</v>
      </c>
      <c r="N829" s="157"/>
      <c r="O829" s="158"/>
      <c r="P829" s="158"/>
      <c r="Q829" s="158"/>
      <c r="R829" s="158"/>
      <c r="S829" s="158"/>
      <c r="T829" s="158"/>
      <c r="U829" s="158"/>
      <c r="V829" s="158"/>
      <c r="W829" s="158"/>
      <c r="X829" s="158"/>
      <c r="Y829" s="158"/>
      <c r="Z829" s="158"/>
      <c r="AA829" s="158"/>
    </row>
    <row r="830" spans="1:27" ht="15.75" customHeight="1" x14ac:dyDescent="0.55000000000000004">
      <c r="A830" s="159">
        <v>134</v>
      </c>
      <c r="B830" s="159" t="s">
        <v>1751</v>
      </c>
      <c r="C830" s="159" t="s">
        <v>1752</v>
      </c>
      <c r="D830" s="160">
        <v>41533</v>
      </c>
      <c r="E830" s="120" t="s">
        <v>3282</v>
      </c>
      <c r="F830" s="131">
        <v>73</v>
      </c>
      <c r="G830" s="120">
        <v>0</v>
      </c>
      <c r="H830" s="120">
        <v>0</v>
      </c>
      <c r="I830" s="120">
        <v>0</v>
      </c>
      <c r="J830" s="133" t="s">
        <v>853</v>
      </c>
      <c r="K830" s="133">
        <v>0</v>
      </c>
      <c r="L830" s="183">
        <v>82</v>
      </c>
      <c r="M830" s="133">
        <f t="shared" si="29"/>
        <v>9</v>
      </c>
      <c r="N830" s="157"/>
      <c r="O830" s="158"/>
      <c r="P830" s="158"/>
      <c r="Q830" s="158"/>
      <c r="R830" s="158"/>
      <c r="S830" s="158"/>
      <c r="T830" s="158"/>
      <c r="U830" s="158"/>
      <c r="V830" s="158"/>
      <c r="W830" s="158"/>
      <c r="X830" s="158"/>
      <c r="Y830" s="158"/>
      <c r="Z830" s="158"/>
      <c r="AA830" s="158"/>
    </row>
    <row r="831" spans="1:27" ht="15.75" customHeight="1" x14ac:dyDescent="0.55000000000000004">
      <c r="A831" s="159">
        <v>134</v>
      </c>
      <c r="B831" s="159" t="s">
        <v>1751</v>
      </c>
      <c r="C831" s="159" t="s">
        <v>1752</v>
      </c>
      <c r="D831" s="160">
        <v>41533</v>
      </c>
      <c r="E831" s="120" t="s">
        <v>3283</v>
      </c>
      <c r="F831" s="131">
        <v>51</v>
      </c>
      <c r="G831" s="120">
        <v>1</v>
      </c>
      <c r="H831" s="120">
        <v>0</v>
      </c>
      <c r="I831" s="120">
        <v>0</v>
      </c>
      <c r="J831" s="133" t="s">
        <v>853</v>
      </c>
      <c r="K831" s="133">
        <v>0</v>
      </c>
      <c r="L831" s="117">
        <v>74.099999999999994</v>
      </c>
      <c r="M831" s="133">
        <f t="shared" si="29"/>
        <v>23.099999999999994</v>
      </c>
      <c r="N831" s="157"/>
      <c r="O831" s="158"/>
      <c r="P831" s="158"/>
      <c r="Q831" s="158"/>
      <c r="R831" s="158"/>
      <c r="S831" s="158"/>
      <c r="T831" s="158"/>
      <c r="U831" s="158"/>
      <c r="V831" s="158"/>
      <c r="W831" s="158"/>
      <c r="X831" s="158"/>
      <c r="Y831" s="158"/>
      <c r="Z831" s="158"/>
      <c r="AA831" s="158"/>
    </row>
    <row r="832" spans="1:27" ht="15.75" customHeight="1" x14ac:dyDescent="0.55000000000000004">
      <c r="A832" s="159">
        <v>134</v>
      </c>
      <c r="B832" s="159" t="s">
        <v>1751</v>
      </c>
      <c r="C832" s="159" t="s">
        <v>1752</v>
      </c>
      <c r="D832" s="160">
        <v>41533</v>
      </c>
      <c r="E832" s="120" t="s">
        <v>3284</v>
      </c>
      <c r="F832" s="131">
        <v>50</v>
      </c>
      <c r="G832" s="120">
        <v>0</v>
      </c>
      <c r="H832" s="120">
        <v>0</v>
      </c>
      <c r="I832" s="120">
        <v>0</v>
      </c>
      <c r="J832" s="133" t="s">
        <v>853</v>
      </c>
      <c r="K832" s="133">
        <v>0</v>
      </c>
      <c r="L832" s="117">
        <v>67.400000000000006</v>
      </c>
      <c r="M832" s="133">
        <f t="shared" si="29"/>
        <v>17.400000000000006</v>
      </c>
      <c r="N832" s="157"/>
      <c r="O832" s="158"/>
      <c r="P832" s="158"/>
      <c r="Q832" s="158"/>
      <c r="R832" s="158"/>
      <c r="S832" s="158"/>
      <c r="T832" s="158"/>
      <c r="U832" s="158"/>
      <c r="V832" s="158"/>
      <c r="W832" s="158"/>
      <c r="X832" s="158"/>
      <c r="Y832" s="158"/>
      <c r="Z832" s="158"/>
      <c r="AA832" s="158"/>
    </row>
    <row r="833" spans="1:27" ht="15.75" customHeight="1" x14ac:dyDescent="0.55000000000000004">
      <c r="A833" s="159">
        <v>134</v>
      </c>
      <c r="B833" s="159" t="s">
        <v>1751</v>
      </c>
      <c r="C833" s="159" t="s">
        <v>1752</v>
      </c>
      <c r="D833" s="160">
        <v>41533</v>
      </c>
      <c r="E833" s="120" t="s">
        <v>3285</v>
      </c>
      <c r="F833" s="131">
        <v>61</v>
      </c>
      <c r="G833" s="120">
        <v>0</v>
      </c>
      <c r="H833" s="131">
        <v>3</v>
      </c>
      <c r="I833" s="120">
        <v>0</v>
      </c>
      <c r="J833" s="133" t="s">
        <v>853</v>
      </c>
      <c r="K833" s="133">
        <v>0</v>
      </c>
      <c r="L833" s="117">
        <v>65.599999999999994</v>
      </c>
      <c r="M833" s="133">
        <f t="shared" si="29"/>
        <v>4.5999999999999943</v>
      </c>
      <c r="N833" s="157"/>
      <c r="O833" s="158"/>
      <c r="P833" s="158"/>
      <c r="Q833" s="158"/>
      <c r="R833" s="158"/>
      <c r="S833" s="158"/>
      <c r="T833" s="158"/>
      <c r="U833" s="158"/>
      <c r="V833" s="158"/>
      <c r="W833" s="158"/>
      <c r="X833" s="158"/>
      <c r="Y833" s="158"/>
      <c r="Z833" s="158"/>
      <c r="AA833" s="158"/>
    </row>
    <row r="834" spans="1:27" ht="15.75" customHeight="1" x14ac:dyDescent="0.55000000000000004">
      <c r="A834" s="159">
        <v>134</v>
      </c>
      <c r="B834" s="159" t="s">
        <v>1751</v>
      </c>
      <c r="C834" s="159" t="s">
        <v>1752</v>
      </c>
      <c r="D834" s="160">
        <v>41533</v>
      </c>
      <c r="E834" s="120" t="s">
        <v>3286</v>
      </c>
      <c r="F834" s="120">
        <v>46</v>
      </c>
      <c r="G834" s="120">
        <v>0</v>
      </c>
      <c r="H834" s="120">
        <v>0</v>
      </c>
      <c r="I834" s="120">
        <v>0</v>
      </c>
      <c r="J834" s="133" t="s">
        <v>853</v>
      </c>
      <c r="K834" s="133">
        <v>0</v>
      </c>
      <c r="L834" s="117">
        <v>68</v>
      </c>
      <c r="M834" s="133">
        <f t="shared" si="29"/>
        <v>22</v>
      </c>
      <c r="N834" s="157"/>
      <c r="O834" s="158"/>
      <c r="P834" s="158"/>
      <c r="Q834" s="158"/>
      <c r="R834" s="158"/>
      <c r="S834" s="158"/>
      <c r="T834" s="158"/>
      <c r="U834" s="158"/>
      <c r="V834" s="158"/>
      <c r="W834" s="158"/>
      <c r="X834" s="158"/>
      <c r="Y834" s="158"/>
      <c r="Z834" s="158"/>
      <c r="AA834" s="158"/>
    </row>
    <row r="835" spans="1:27" ht="15.75" customHeight="1" x14ac:dyDescent="0.55000000000000004">
      <c r="A835" s="159">
        <v>134</v>
      </c>
      <c r="B835" s="159" t="s">
        <v>1751</v>
      </c>
      <c r="C835" s="159" t="s">
        <v>1752</v>
      </c>
      <c r="D835" s="160">
        <v>41533</v>
      </c>
      <c r="E835" s="120" t="s">
        <v>3287</v>
      </c>
      <c r="F835" s="131">
        <v>58</v>
      </c>
      <c r="G835" s="120">
        <v>0</v>
      </c>
      <c r="H835" s="131">
        <v>0</v>
      </c>
      <c r="I835" s="120">
        <v>0</v>
      </c>
      <c r="J835" s="133" t="s">
        <v>853</v>
      </c>
      <c r="K835" s="133">
        <v>0</v>
      </c>
      <c r="L835" s="117">
        <v>67.400000000000006</v>
      </c>
      <c r="M835" s="133">
        <f t="shared" si="29"/>
        <v>9.4000000000000057</v>
      </c>
      <c r="N835" s="157"/>
      <c r="O835" s="158"/>
      <c r="P835" s="158"/>
      <c r="Q835" s="158"/>
      <c r="R835" s="158"/>
      <c r="S835" s="158"/>
      <c r="T835" s="158"/>
      <c r="U835" s="158"/>
      <c r="V835" s="158"/>
      <c r="W835" s="158"/>
      <c r="X835" s="158"/>
      <c r="Y835" s="158"/>
      <c r="Z835" s="158"/>
      <c r="AA835" s="158"/>
    </row>
    <row r="836" spans="1:27" ht="15.75" customHeight="1" x14ac:dyDescent="0.55000000000000004">
      <c r="A836" s="159">
        <v>134</v>
      </c>
      <c r="B836" s="159" t="s">
        <v>1751</v>
      </c>
      <c r="C836" s="159" t="s">
        <v>1752</v>
      </c>
      <c r="D836" s="160">
        <v>41533</v>
      </c>
      <c r="E836" s="120" t="s">
        <v>3288</v>
      </c>
      <c r="F836" s="131">
        <v>52</v>
      </c>
      <c r="G836" s="120">
        <v>0</v>
      </c>
      <c r="H836" s="120">
        <v>0</v>
      </c>
      <c r="I836" s="120">
        <v>0</v>
      </c>
      <c r="J836" s="133" t="s">
        <v>853</v>
      </c>
      <c r="K836" s="133">
        <v>0</v>
      </c>
      <c r="L836" s="117">
        <v>67.400000000000006</v>
      </c>
      <c r="M836" s="133">
        <f t="shared" si="29"/>
        <v>15.400000000000006</v>
      </c>
      <c r="N836" s="157"/>
      <c r="O836" s="158"/>
      <c r="P836" s="158"/>
      <c r="Q836" s="158"/>
      <c r="R836" s="158"/>
      <c r="S836" s="158"/>
      <c r="T836" s="158"/>
      <c r="U836" s="158"/>
      <c r="V836" s="158"/>
      <c r="W836" s="158"/>
      <c r="X836" s="158"/>
      <c r="Y836" s="158"/>
      <c r="Z836" s="158"/>
      <c r="AA836" s="158"/>
    </row>
    <row r="837" spans="1:27" ht="15.75" customHeight="1" x14ac:dyDescent="0.55000000000000004">
      <c r="A837" s="162">
        <v>135</v>
      </c>
      <c r="B837" s="162" t="s">
        <v>1760</v>
      </c>
      <c r="C837" s="162" t="s">
        <v>1761</v>
      </c>
      <c r="D837" s="163">
        <v>41690</v>
      </c>
      <c r="E837" s="120" t="s">
        <v>3289</v>
      </c>
      <c r="F837" s="131">
        <v>30</v>
      </c>
      <c r="G837" s="120">
        <v>0</v>
      </c>
      <c r="H837" s="120">
        <v>5</v>
      </c>
      <c r="I837" s="120">
        <v>1</v>
      </c>
      <c r="J837" s="133" t="s">
        <v>3290</v>
      </c>
      <c r="K837" s="133">
        <v>1</v>
      </c>
      <c r="L837" s="117">
        <v>70</v>
      </c>
      <c r="M837" s="133">
        <f t="shared" si="29"/>
        <v>40</v>
      </c>
      <c r="N837" s="157"/>
      <c r="O837" s="158"/>
      <c r="P837" s="158"/>
      <c r="Q837" s="158"/>
      <c r="R837" s="158"/>
      <c r="S837" s="158"/>
      <c r="T837" s="158"/>
      <c r="U837" s="158"/>
      <c r="V837" s="158"/>
      <c r="W837" s="158"/>
      <c r="X837" s="158"/>
      <c r="Y837" s="158"/>
      <c r="Z837" s="158"/>
      <c r="AA837" s="158"/>
    </row>
    <row r="838" spans="1:27" ht="15.75" customHeight="1" x14ac:dyDescent="0.55000000000000004">
      <c r="A838" s="162">
        <v>135</v>
      </c>
      <c r="B838" s="162" t="s">
        <v>1760</v>
      </c>
      <c r="C838" s="162" t="s">
        <v>1761</v>
      </c>
      <c r="D838" s="163">
        <v>41690</v>
      </c>
      <c r="E838" s="120" t="s">
        <v>3291</v>
      </c>
      <c r="F838" s="131">
        <v>50</v>
      </c>
      <c r="G838" s="120">
        <v>0</v>
      </c>
      <c r="H838" s="120">
        <v>5</v>
      </c>
      <c r="I838" s="120">
        <v>1</v>
      </c>
      <c r="J838" s="133" t="s">
        <v>3268</v>
      </c>
      <c r="K838" s="133">
        <v>1</v>
      </c>
      <c r="L838" s="117">
        <v>66.599999999999994</v>
      </c>
      <c r="M838" s="133">
        <f t="shared" si="29"/>
        <v>16.599999999999994</v>
      </c>
      <c r="N838" s="157"/>
      <c r="O838" s="158"/>
      <c r="P838" s="158"/>
      <c r="Q838" s="158"/>
      <c r="R838" s="158"/>
      <c r="S838" s="158"/>
      <c r="T838" s="158"/>
      <c r="U838" s="158"/>
      <c r="V838" s="158"/>
      <c r="W838" s="158"/>
      <c r="X838" s="158"/>
      <c r="Y838" s="158"/>
      <c r="Z838" s="158"/>
      <c r="AA838" s="158"/>
    </row>
    <row r="839" spans="1:27" ht="15.75" customHeight="1" x14ac:dyDescent="0.55000000000000004">
      <c r="A839" s="162">
        <v>135</v>
      </c>
      <c r="B839" s="162" t="s">
        <v>1760</v>
      </c>
      <c r="C839" s="162" t="s">
        <v>1761</v>
      </c>
      <c r="D839" s="163">
        <v>41690</v>
      </c>
      <c r="E839" s="120" t="s">
        <v>3292</v>
      </c>
      <c r="F839" s="131">
        <v>19</v>
      </c>
      <c r="G839" s="120">
        <v>1</v>
      </c>
      <c r="H839" s="120">
        <v>5</v>
      </c>
      <c r="I839" s="120">
        <v>1</v>
      </c>
      <c r="J839" s="133" t="s">
        <v>3293</v>
      </c>
      <c r="K839" s="133">
        <v>1</v>
      </c>
      <c r="L839" s="117">
        <v>78.900000000000006</v>
      </c>
      <c r="M839" s="133">
        <f t="shared" si="29"/>
        <v>59.900000000000006</v>
      </c>
      <c r="N839" s="157"/>
      <c r="O839" s="158"/>
      <c r="P839" s="158"/>
      <c r="Q839" s="158"/>
      <c r="R839" s="158"/>
      <c r="S839" s="158"/>
      <c r="T839" s="158"/>
      <c r="U839" s="158"/>
      <c r="V839" s="158"/>
      <c r="W839" s="158"/>
      <c r="X839" s="158"/>
      <c r="Y839" s="158"/>
      <c r="Z839" s="158"/>
      <c r="AA839" s="158"/>
    </row>
    <row r="840" spans="1:27" ht="15.75" customHeight="1" x14ac:dyDescent="0.55000000000000004">
      <c r="A840" s="162">
        <v>135</v>
      </c>
      <c r="B840" s="162" t="s">
        <v>1760</v>
      </c>
      <c r="C840" s="162" t="s">
        <v>1761</v>
      </c>
      <c r="D840" s="163">
        <v>41690</v>
      </c>
      <c r="E840" s="120" t="s">
        <v>3294</v>
      </c>
      <c r="F840" s="131">
        <v>47</v>
      </c>
      <c r="G840" s="120">
        <v>1</v>
      </c>
      <c r="H840" s="120">
        <v>5</v>
      </c>
      <c r="I840" s="120">
        <v>1</v>
      </c>
      <c r="J840" s="133" t="s">
        <v>3295</v>
      </c>
      <c r="K840" s="133">
        <v>5</v>
      </c>
      <c r="L840" s="117">
        <v>74.7</v>
      </c>
      <c r="M840" s="133">
        <f t="shared" si="29"/>
        <v>27.700000000000003</v>
      </c>
      <c r="N840" s="157"/>
      <c r="O840" s="158"/>
      <c r="P840" s="158"/>
      <c r="Q840" s="158"/>
      <c r="R840" s="158"/>
      <c r="S840" s="158"/>
      <c r="T840" s="158"/>
      <c r="U840" s="158"/>
      <c r="V840" s="158"/>
      <c r="W840" s="158"/>
      <c r="X840" s="158"/>
      <c r="Y840" s="158"/>
      <c r="Z840" s="158"/>
      <c r="AA840" s="158"/>
    </row>
    <row r="841" spans="1:27" ht="15.75" customHeight="1" x14ac:dyDescent="0.55000000000000004">
      <c r="A841" s="164">
        <v>136</v>
      </c>
      <c r="B841" s="164" t="s">
        <v>1766</v>
      </c>
      <c r="C841" s="164" t="s">
        <v>1767</v>
      </c>
      <c r="D841" s="165">
        <v>41782</v>
      </c>
      <c r="E841" s="120" t="s">
        <v>3296</v>
      </c>
      <c r="F841" s="131">
        <v>19</v>
      </c>
      <c r="G841" s="120">
        <v>0</v>
      </c>
      <c r="H841" s="131">
        <v>3</v>
      </c>
      <c r="I841" s="120">
        <v>2</v>
      </c>
      <c r="J841" s="133" t="s">
        <v>3297</v>
      </c>
      <c r="K841" s="133">
        <v>5</v>
      </c>
      <c r="L841" s="117">
        <v>72.5</v>
      </c>
      <c r="M841" s="133">
        <f t="shared" si="29"/>
        <v>53.5</v>
      </c>
      <c r="N841" s="157"/>
      <c r="O841" s="158"/>
      <c r="P841" s="158"/>
      <c r="Q841" s="158"/>
      <c r="R841" s="158"/>
      <c r="S841" s="158"/>
      <c r="T841" s="158"/>
      <c r="U841" s="158"/>
      <c r="V841" s="158"/>
      <c r="W841" s="158"/>
      <c r="X841" s="158"/>
      <c r="Y841" s="158"/>
      <c r="Z841" s="158"/>
      <c r="AA841" s="158"/>
    </row>
    <row r="842" spans="1:27" ht="15.75" customHeight="1" x14ac:dyDescent="0.55000000000000004">
      <c r="A842" s="164">
        <v>136</v>
      </c>
      <c r="B842" s="164" t="s">
        <v>1766</v>
      </c>
      <c r="C842" s="164" t="s">
        <v>1767</v>
      </c>
      <c r="D842" s="165">
        <v>41782</v>
      </c>
      <c r="E842" s="120" t="s">
        <v>3298</v>
      </c>
      <c r="F842" s="131">
        <v>22</v>
      </c>
      <c r="G842" s="120">
        <v>1</v>
      </c>
      <c r="H842" s="120">
        <v>0</v>
      </c>
      <c r="I842" s="120">
        <v>0</v>
      </c>
      <c r="J842" s="133" t="s">
        <v>853</v>
      </c>
      <c r="K842" s="133">
        <v>0</v>
      </c>
      <c r="L842" s="117">
        <v>79.400000000000006</v>
      </c>
      <c r="M842" s="133">
        <f t="shared" si="29"/>
        <v>57.400000000000006</v>
      </c>
      <c r="N842" s="157"/>
      <c r="O842" s="158"/>
      <c r="P842" s="158"/>
      <c r="Q842" s="158"/>
      <c r="R842" s="158"/>
      <c r="S842" s="158"/>
      <c r="T842" s="158"/>
      <c r="U842" s="158"/>
      <c r="V842" s="158"/>
      <c r="W842" s="158"/>
      <c r="X842" s="158"/>
      <c r="Y842" s="158"/>
      <c r="Z842" s="158"/>
      <c r="AA842" s="158"/>
    </row>
    <row r="843" spans="1:27" ht="15.75" customHeight="1" x14ac:dyDescent="0.55000000000000004">
      <c r="A843" s="164">
        <v>136</v>
      </c>
      <c r="B843" s="164" t="s">
        <v>1766</v>
      </c>
      <c r="C843" s="164" t="s">
        <v>1767</v>
      </c>
      <c r="D843" s="165">
        <v>41782</v>
      </c>
      <c r="E843" s="120" t="s">
        <v>3299</v>
      </c>
      <c r="F843" s="131">
        <v>20</v>
      </c>
      <c r="G843" s="120">
        <v>0</v>
      </c>
      <c r="H843" s="131">
        <v>3</v>
      </c>
      <c r="I843" s="120">
        <v>1</v>
      </c>
      <c r="J843" s="133" t="s">
        <v>3300</v>
      </c>
      <c r="K843" s="133">
        <v>5</v>
      </c>
      <c r="L843" s="117">
        <v>72.5</v>
      </c>
      <c r="M843" s="133">
        <f t="shared" si="29"/>
        <v>52.5</v>
      </c>
      <c r="N843" s="157"/>
      <c r="O843" s="158"/>
      <c r="P843" s="158"/>
      <c r="Q843" s="158"/>
      <c r="R843" s="158"/>
      <c r="S843" s="158"/>
      <c r="T843" s="158"/>
      <c r="U843" s="158"/>
      <c r="V843" s="158"/>
      <c r="W843" s="158"/>
      <c r="X843" s="158"/>
      <c r="Y843" s="158"/>
      <c r="Z843" s="158"/>
      <c r="AA843" s="158"/>
    </row>
    <row r="844" spans="1:27" ht="15.75" customHeight="1" x14ac:dyDescent="0.55000000000000004">
      <c r="A844" s="164">
        <v>136</v>
      </c>
      <c r="B844" s="164" t="s">
        <v>1766</v>
      </c>
      <c r="C844" s="164" t="s">
        <v>1767</v>
      </c>
      <c r="D844" s="165">
        <v>41782</v>
      </c>
      <c r="E844" s="120" t="s">
        <v>3301</v>
      </c>
      <c r="F844" s="131">
        <v>20</v>
      </c>
      <c r="G844" s="120">
        <v>0</v>
      </c>
      <c r="H844" s="120">
        <v>0</v>
      </c>
      <c r="I844" s="120">
        <v>0</v>
      </c>
      <c r="J844" s="133" t="s">
        <v>853</v>
      </c>
      <c r="K844" s="133">
        <v>0</v>
      </c>
      <c r="L844" s="117">
        <v>73.400000000000006</v>
      </c>
      <c r="M844" s="133">
        <f t="shared" si="29"/>
        <v>53.400000000000006</v>
      </c>
      <c r="N844" s="157"/>
      <c r="O844" s="158"/>
      <c r="P844" s="158"/>
      <c r="Q844" s="158"/>
      <c r="R844" s="158"/>
      <c r="S844" s="158"/>
      <c r="T844" s="158"/>
      <c r="U844" s="158"/>
      <c r="V844" s="158"/>
      <c r="W844" s="158"/>
      <c r="X844" s="158"/>
      <c r="Y844" s="158"/>
      <c r="Z844" s="158"/>
      <c r="AA844" s="158"/>
    </row>
    <row r="845" spans="1:27" ht="15.75" customHeight="1" x14ac:dyDescent="0.55000000000000004">
      <c r="A845" s="164">
        <v>136</v>
      </c>
      <c r="B845" s="164" t="s">
        <v>1766</v>
      </c>
      <c r="C845" s="164" t="s">
        <v>1767</v>
      </c>
      <c r="D845" s="165">
        <v>41782</v>
      </c>
      <c r="E845" s="120" t="s">
        <v>3302</v>
      </c>
      <c r="F845" s="131">
        <v>20</v>
      </c>
      <c r="G845" s="120">
        <v>0</v>
      </c>
      <c r="H845" s="131">
        <v>3</v>
      </c>
      <c r="I845" s="120">
        <v>1</v>
      </c>
      <c r="J845" s="133" t="s">
        <v>3300</v>
      </c>
      <c r="K845" s="133">
        <v>5</v>
      </c>
      <c r="L845" s="117">
        <v>72.5</v>
      </c>
      <c r="M845" s="133">
        <f t="shared" si="29"/>
        <v>52.5</v>
      </c>
      <c r="N845" s="157"/>
      <c r="O845" s="158"/>
      <c r="P845" s="158"/>
      <c r="Q845" s="158"/>
      <c r="R845" s="158"/>
      <c r="S845" s="158"/>
      <c r="T845" s="158"/>
      <c r="U845" s="158"/>
      <c r="V845" s="158"/>
      <c r="W845" s="158"/>
      <c r="X845" s="158"/>
      <c r="Y845" s="158"/>
      <c r="Z845" s="158"/>
      <c r="AA845" s="158"/>
    </row>
    <row r="846" spans="1:27" ht="15.75" customHeight="1" x14ac:dyDescent="0.55000000000000004">
      <c r="A846" s="164">
        <v>136</v>
      </c>
      <c r="B846" s="164" t="s">
        <v>1766</v>
      </c>
      <c r="C846" s="164" t="s">
        <v>1767</v>
      </c>
      <c r="D846" s="165">
        <v>41782</v>
      </c>
      <c r="E846" s="120" t="s">
        <v>3303</v>
      </c>
      <c r="F846" s="131">
        <v>19</v>
      </c>
      <c r="G846" s="120">
        <v>1</v>
      </c>
      <c r="H846" s="120">
        <v>0</v>
      </c>
      <c r="I846" s="120">
        <v>0</v>
      </c>
      <c r="J846" s="133" t="s">
        <v>853</v>
      </c>
      <c r="K846" s="133">
        <v>0</v>
      </c>
      <c r="L846" s="117">
        <v>79.599999999999994</v>
      </c>
      <c r="M846" s="133">
        <f t="shared" si="29"/>
        <v>60.599999999999994</v>
      </c>
      <c r="N846" s="157"/>
      <c r="O846" s="158"/>
      <c r="P846" s="158"/>
      <c r="Q846" s="158"/>
      <c r="R846" s="158"/>
      <c r="S846" s="158"/>
      <c r="T846" s="158"/>
      <c r="U846" s="158"/>
      <c r="V846" s="158"/>
      <c r="W846" s="158"/>
      <c r="X846" s="158"/>
      <c r="Y846" s="158"/>
      <c r="Z846" s="158"/>
      <c r="AA846" s="158"/>
    </row>
    <row r="847" spans="1:27" ht="15.75" customHeight="1" x14ac:dyDescent="0.55000000000000004">
      <c r="A847" s="166">
        <v>137</v>
      </c>
      <c r="B847" s="166" t="s">
        <v>1774</v>
      </c>
      <c r="C847" s="166" t="s">
        <v>1775</v>
      </c>
      <c r="D847" s="167">
        <v>41936</v>
      </c>
      <c r="E847" s="120" t="s">
        <v>3304</v>
      </c>
      <c r="F847" s="131">
        <v>14</v>
      </c>
      <c r="G847" s="120">
        <v>1</v>
      </c>
      <c r="H847" s="131">
        <v>5</v>
      </c>
      <c r="I847" s="131">
        <v>1</v>
      </c>
      <c r="J847" s="133" t="s">
        <v>2480</v>
      </c>
      <c r="K847" s="133">
        <v>5</v>
      </c>
      <c r="L847" s="117">
        <v>79.3</v>
      </c>
      <c r="M847" s="133">
        <f t="shared" si="29"/>
        <v>65.3</v>
      </c>
      <c r="N847" s="157"/>
      <c r="O847" s="158"/>
      <c r="P847" s="158"/>
      <c r="Q847" s="158"/>
      <c r="R847" s="158"/>
      <c r="S847" s="158"/>
      <c r="T847" s="158"/>
      <c r="U847" s="158"/>
      <c r="V847" s="158"/>
      <c r="W847" s="158"/>
      <c r="X847" s="158"/>
      <c r="Y847" s="158"/>
      <c r="Z847" s="158"/>
      <c r="AA847" s="158"/>
    </row>
    <row r="848" spans="1:27" ht="15.75" customHeight="1" x14ac:dyDescent="0.55000000000000004">
      <c r="A848" s="166">
        <v>137</v>
      </c>
      <c r="B848" s="166" t="s">
        <v>1774</v>
      </c>
      <c r="C848" s="166" t="s">
        <v>1775</v>
      </c>
      <c r="D848" s="167">
        <v>41936</v>
      </c>
      <c r="E848" s="120" t="s">
        <v>3305</v>
      </c>
      <c r="F848" s="131">
        <v>15</v>
      </c>
      <c r="G848" s="120">
        <v>0</v>
      </c>
      <c r="H848" s="120">
        <v>5</v>
      </c>
      <c r="I848" s="120">
        <v>1</v>
      </c>
      <c r="J848" s="133" t="s">
        <v>3306</v>
      </c>
      <c r="K848" s="133">
        <v>1</v>
      </c>
      <c r="L848" s="117">
        <v>74.099999999999994</v>
      </c>
      <c r="M848" s="133">
        <f t="shared" si="29"/>
        <v>59.099999999999994</v>
      </c>
      <c r="N848" s="157"/>
      <c r="O848" s="158"/>
      <c r="P848" s="158"/>
      <c r="Q848" s="158"/>
      <c r="R848" s="158"/>
      <c r="S848" s="158"/>
      <c r="T848" s="158"/>
      <c r="U848" s="158"/>
      <c r="V848" s="158"/>
      <c r="W848" s="158"/>
      <c r="X848" s="158"/>
      <c r="Y848" s="158"/>
      <c r="Z848" s="158"/>
      <c r="AA848" s="158"/>
    </row>
    <row r="849" spans="1:27" ht="15.75" customHeight="1" x14ac:dyDescent="0.55000000000000004">
      <c r="A849" s="166">
        <v>137</v>
      </c>
      <c r="B849" s="166" t="s">
        <v>1774</v>
      </c>
      <c r="C849" s="166" t="s">
        <v>1775</v>
      </c>
      <c r="D849" s="167">
        <v>41936</v>
      </c>
      <c r="E849" s="120" t="s">
        <v>3307</v>
      </c>
      <c r="F849" s="131">
        <v>14</v>
      </c>
      <c r="G849" s="120">
        <v>1</v>
      </c>
      <c r="H849" s="120"/>
      <c r="I849" s="131">
        <v>1</v>
      </c>
      <c r="J849" s="133" t="s">
        <v>2480</v>
      </c>
      <c r="K849" s="133">
        <v>5</v>
      </c>
      <c r="L849" s="117">
        <v>79.3</v>
      </c>
      <c r="M849" s="133">
        <f t="shared" si="29"/>
        <v>65.3</v>
      </c>
      <c r="N849" s="157"/>
      <c r="O849" s="158"/>
      <c r="P849" s="158"/>
      <c r="Q849" s="158"/>
      <c r="R849" s="158"/>
      <c r="S849" s="158"/>
      <c r="T849" s="158"/>
      <c r="U849" s="158"/>
      <c r="V849" s="158"/>
      <c r="W849" s="158"/>
      <c r="X849" s="158"/>
      <c r="Y849" s="158"/>
      <c r="Z849" s="158"/>
      <c r="AA849" s="158"/>
    </row>
    <row r="850" spans="1:27" ht="15.75" customHeight="1" x14ac:dyDescent="0.55000000000000004">
      <c r="A850" s="166">
        <v>137</v>
      </c>
      <c r="B850" s="166" t="s">
        <v>1774</v>
      </c>
      <c r="C850" s="166" t="s">
        <v>1775</v>
      </c>
      <c r="D850" s="167">
        <v>41936</v>
      </c>
      <c r="E850" s="120" t="s">
        <v>3308</v>
      </c>
      <c r="F850" s="131">
        <v>14</v>
      </c>
      <c r="G850" s="120">
        <v>1</v>
      </c>
      <c r="H850" s="120"/>
      <c r="I850" s="131">
        <v>1</v>
      </c>
      <c r="J850" s="133" t="s">
        <v>2480</v>
      </c>
      <c r="K850" s="133">
        <v>5</v>
      </c>
      <c r="L850" s="117">
        <v>79.3</v>
      </c>
      <c r="M850" s="133">
        <f t="shared" si="29"/>
        <v>65.3</v>
      </c>
      <c r="N850" s="157"/>
      <c r="O850" s="158"/>
      <c r="P850" s="158"/>
      <c r="Q850" s="158"/>
      <c r="R850" s="158"/>
      <c r="S850" s="158"/>
      <c r="T850" s="158"/>
      <c r="U850" s="158"/>
      <c r="V850" s="158"/>
      <c r="W850" s="158"/>
      <c r="X850" s="158"/>
      <c r="Y850" s="158"/>
      <c r="Z850" s="158"/>
      <c r="AA850" s="158"/>
    </row>
    <row r="851" spans="1:27" ht="15.75" customHeight="1" x14ac:dyDescent="0.55000000000000004">
      <c r="A851" s="177">
        <v>138</v>
      </c>
      <c r="B851" s="177" t="s">
        <v>1782</v>
      </c>
      <c r="C851" s="177" t="s">
        <v>1783</v>
      </c>
      <c r="D851" s="178">
        <v>42172</v>
      </c>
      <c r="E851" s="120" t="s">
        <v>3309</v>
      </c>
      <c r="F851" s="131">
        <v>45</v>
      </c>
      <c r="G851" s="120">
        <v>1</v>
      </c>
      <c r="H851" s="131">
        <v>1</v>
      </c>
      <c r="I851" s="120">
        <v>0</v>
      </c>
      <c r="J851" s="133" t="s">
        <v>853</v>
      </c>
      <c r="K851" s="133">
        <v>0</v>
      </c>
      <c r="L851" s="117">
        <v>68.3</v>
      </c>
      <c r="M851" s="133">
        <f t="shared" si="29"/>
        <v>23.299999999999997</v>
      </c>
      <c r="N851" s="157"/>
      <c r="O851" s="158"/>
      <c r="P851" s="158"/>
      <c r="Q851" s="158"/>
      <c r="R851" s="158"/>
      <c r="S851" s="158"/>
      <c r="T851" s="158"/>
      <c r="U851" s="158"/>
      <c r="V851" s="158"/>
      <c r="W851" s="158"/>
      <c r="X851" s="158"/>
      <c r="Y851" s="158"/>
      <c r="Z851" s="158"/>
      <c r="AA851" s="158"/>
    </row>
    <row r="852" spans="1:27" ht="15.75" customHeight="1" x14ac:dyDescent="0.55000000000000004">
      <c r="A852" s="177">
        <v>138</v>
      </c>
      <c r="B852" s="177" t="s">
        <v>1782</v>
      </c>
      <c r="C852" s="177" t="s">
        <v>1783</v>
      </c>
      <c r="D852" s="178">
        <v>42172</v>
      </c>
      <c r="E852" s="120" t="s">
        <v>3310</v>
      </c>
      <c r="F852" s="131">
        <v>49</v>
      </c>
      <c r="G852" s="120">
        <v>1</v>
      </c>
      <c r="H852" s="131">
        <v>1</v>
      </c>
      <c r="I852" s="120">
        <v>0</v>
      </c>
      <c r="J852" s="133" t="s">
        <v>853</v>
      </c>
      <c r="K852" s="133">
        <v>0</v>
      </c>
      <c r="L852" s="117">
        <v>68.3</v>
      </c>
      <c r="M852" s="133">
        <f t="shared" si="29"/>
        <v>19.299999999999997</v>
      </c>
      <c r="N852" s="157"/>
      <c r="O852" s="158"/>
      <c r="P852" s="158"/>
      <c r="Q852" s="158"/>
      <c r="R852" s="158"/>
      <c r="S852" s="158"/>
      <c r="T852" s="158"/>
      <c r="U852" s="158"/>
      <c r="V852" s="158"/>
      <c r="W852" s="158"/>
      <c r="X852" s="158"/>
      <c r="Y852" s="158"/>
      <c r="Z852" s="158"/>
      <c r="AA852" s="158"/>
    </row>
    <row r="853" spans="1:27" ht="15.75" customHeight="1" x14ac:dyDescent="0.55000000000000004">
      <c r="A853" s="177">
        <v>138</v>
      </c>
      <c r="B853" s="177" t="s">
        <v>1782</v>
      </c>
      <c r="C853" s="177" t="s">
        <v>1783</v>
      </c>
      <c r="D853" s="178">
        <v>42172</v>
      </c>
      <c r="E853" s="120" t="s">
        <v>3311</v>
      </c>
      <c r="F853" s="131">
        <v>54</v>
      </c>
      <c r="G853" s="120">
        <v>1</v>
      </c>
      <c r="H853" s="131">
        <v>1</v>
      </c>
      <c r="I853" s="120">
        <v>0</v>
      </c>
      <c r="J853" s="133" t="s">
        <v>853</v>
      </c>
      <c r="K853" s="133">
        <v>0</v>
      </c>
      <c r="L853" s="117">
        <v>66.3</v>
      </c>
      <c r="M853" s="133">
        <f t="shared" si="29"/>
        <v>12.299999999999997</v>
      </c>
      <c r="N853" s="157"/>
      <c r="O853" s="158"/>
      <c r="P853" s="158"/>
      <c r="Q853" s="158"/>
      <c r="R853" s="158"/>
      <c r="S853" s="158"/>
      <c r="T853" s="158"/>
      <c r="U853" s="158"/>
      <c r="V853" s="158"/>
      <c r="W853" s="158"/>
      <c r="X853" s="158"/>
      <c r="Y853" s="158"/>
      <c r="Z853" s="158"/>
      <c r="AA853" s="158"/>
    </row>
    <row r="854" spans="1:27" ht="15.75" customHeight="1" x14ac:dyDescent="0.55000000000000004">
      <c r="A854" s="177">
        <v>138</v>
      </c>
      <c r="B854" s="177" t="s">
        <v>1782</v>
      </c>
      <c r="C854" s="177" t="s">
        <v>1783</v>
      </c>
      <c r="D854" s="178">
        <v>42172</v>
      </c>
      <c r="E854" s="120" t="s">
        <v>3312</v>
      </c>
      <c r="F854" s="131">
        <v>87</v>
      </c>
      <c r="G854" s="120">
        <v>1</v>
      </c>
      <c r="H854" s="131">
        <v>1</v>
      </c>
      <c r="I854" s="120">
        <v>0</v>
      </c>
      <c r="J854" s="133" t="s">
        <v>853</v>
      </c>
      <c r="K854" s="133">
        <v>0</v>
      </c>
      <c r="L854" s="117">
        <v>86.6</v>
      </c>
      <c r="M854" s="133">
        <v>0</v>
      </c>
      <c r="N854" s="157"/>
      <c r="O854" s="158"/>
      <c r="P854" s="158"/>
      <c r="Q854" s="158"/>
      <c r="R854" s="158"/>
      <c r="S854" s="158"/>
      <c r="T854" s="158"/>
      <c r="U854" s="158"/>
      <c r="V854" s="158"/>
      <c r="W854" s="158"/>
      <c r="X854" s="158"/>
      <c r="Y854" s="158"/>
      <c r="Z854" s="158"/>
      <c r="AA854" s="158"/>
    </row>
    <row r="855" spans="1:27" ht="15.75" customHeight="1" x14ac:dyDescent="0.55000000000000004">
      <c r="A855" s="177">
        <v>138</v>
      </c>
      <c r="B855" s="177" t="s">
        <v>1782</v>
      </c>
      <c r="C855" s="177" t="s">
        <v>1783</v>
      </c>
      <c r="D855" s="178">
        <v>42172</v>
      </c>
      <c r="E855" s="120" t="s">
        <v>3313</v>
      </c>
      <c r="F855" s="131">
        <v>70</v>
      </c>
      <c r="G855" s="120">
        <v>1</v>
      </c>
      <c r="H855" s="131">
        <v>1</v>
      </c>
      <c r="I855" s="120">
        <v>0</v>
      </c>
      <c r="J855" s="133" t="s">
        <v>853</v>
      </c>
      <c r="K855" s="133">
        <v>0</v>
      </c>
      <c r="L855" s="117">
        <v>84.3</v>
      </c>
      <c r="M855" s="133">
        <f t="shared" ref="M855:M958" si="30">L855-F855</f>
        <v>14.299999999999997</v>
      </c>
      <c r="N855" s="157"/>
      <c r="O855" s="158"/>
      <c r="P855" s="158"/>
      <c r="Q855" s="158"/>
      <c r="R855" s="158"/>
      <c r="S855" s="158"/>
      <c r="T855" s="158"/>
      <c r="U855" s="158"/>
      <c r="V855" s="158"/>
      <c r="W855" s="158"/>
      <c r="X855" s="158"/>
      <c r="Y855" s="158"/>
      <c r="Z855" s="158"/>
      <c r="AA855" s="158"/>
    </row>
    <row r="856" spans="1:27" ht="15.75" customHeight="1" x14ac:dyDescent="0.55000000000000004">
      <c r="A856" s="177">
        <v>138</v>
      </c>
      <c r="B856" s="177" t="s">
        <v>1782</v>
      </c>
      <c r="C856" s="177" t="s">
        <v>1783</v>
      </c>
      <c r="D856" s="178">
        <v>42172</v>
      </c>
      <c r="E856" s="120" t="s">
        <v>3314</v>
      </c>
      <c r="F856" s="131">
        <v>41</v>
      </c>
      <c r="G856" s="120">
        <v>0</v>
      </c>
      <c r="H856" s="131">
        <v>1</v>
      </c>
      <c r="I856" s="120">
        <v>0</v>
      </c>
      <c r="J856" s="133" t="s">
        <v>853</v>
      </c>
      <c r="K856" s="133">
        <v>0</v>
      </c>
      <c r="L856" s="117">
        <v>62.4</v>
      </c>
      <c r="M856" s="133">
        <f t="shared" si="30"/>
        <v>21.4</v>
      </c>
      <c r="N856" s="157"/>
      <c r="O856" s="158"/>
      <c r="P856" s="158"/>
      <c r="Q856" s="158"/>
      <c r="R856" s="158"/>
      <c r="S856" s="158"/>
      <c r="T856" s="158"/>
      <c r="U856" s="158"/>
      <c r="V856" s="158"/>
      <c r="W856" s="158"/>
      <c r="X856" s="158"/>
      <c r="Y856" s="158"/>
      <c r="Z856" s="158"/>
      <c r="AA856" s="158"/>
    </row>
    <row r="857" spans="1:27" ht="15.75" customHeight="1" x14ac:dyDescent="0.55000000000000004">
      <c r="A857" s="177">
        <v>138</v>
      </c>
      <c r="B857" s="177" t="s">
        <v>1782</v>
      </c>
      <c r="C857" s="177" t="s">
        <v>1783</v>
      </c>
      <c r="D857" s="178">
        <v>42172</v>
      </c>
      <c r="E857" s="120" t="s">
        <v>3315</v>
      </c>
      <c r="F857" s="131">
        <v>26</v>
      </c>
      <c r="G857" s="120">
        <v>0</v>
      </c>
      <c r="H857" s="131">
        <v>1</v>
      </c>
      <c r="I857" s="120">
        <v>0</v>
      </c>
      <c r="J857" s="133" t="s">
        <v>853</v>
      </c>
      <c r="K857" s="133">
        <v>0</v>
      </c>
      <c r="L857" s="117">
        <v>64.5</v>
      </c>
      <c r="M857" s="133">
        <f t="shared" si="30"/>
        <v>38.5</v>
      </c>
      <c r="N857" s="157"/>
      <c r="O857" s="158"/>
      <c r="P857" s="158"/>
      <c r="Q857" s="158"/>
      <c r="R857" s="158"/>
      <c r="S857" s="158"/>
      <c r="T857" s="158"/>
      <c r="U857" s="158"/>
      <c r="V857" s="158"/>
      <c r="W857" s="158"/>
      <c r="X857" s="158"/>
      <c r="Y857" s="158"/>
      <c r="Z857" s="158"/>
      <c r="AA857" s="158"/>
    </row>
    <row r="858" spans="1:27" ht="15.75" customHeight="1" x14ac:dyDescent="0.55000000000000004">
      <c r="A858" s="177">
        <v>138</v>
      </c>
      <c r="B858" s="177" t="s">
        <v>1782</v>
      </c>
      <c r="C858" s="177" t="s">
        <v>1783</v>
      </c>
      <c r="D858" s="178">
        <v>42172</v>
      </c>
      <c r="E858" s="120" t="s">
        <v>3316</v>
      </c>
      <c r="F858" s="131">
        <v>74</v>
      </c>
      <c r="G858" s="120">
        <v>0</v>
      </c>
      <c r="H858" s="131">
        <v>1</v>
      </c>
      <c r="I858" s="120">
        <v>0</v>
      </c>
      <c r="J858" s="133" t="s">
        <v>853</v>
      </c>
      <c r="K858" s="133">
        <v>0</v>
      </c>
      <c r="L858" s="117">
        <v>80.2</v>
      </c>
      <c r="M858" s="133">
        <f t="shared" si="30"/>
        <v>6.2000000000000028</v>
      </c>
      <c r="N858" s="157"/>
      <c r="O858" s="158"/>
      <c r="P858" s="158"/>
      <c r="Q858" s="158"/>
      <c r="R858" s="158"/>
      <c r="S858" s="158"/>
      <c r="T858" s="158"/>
      <c r="U858" s="158"/>
      <c r="V858" s="158"/>
      <c r="W858" s="158"/>
      <c r="X858" s="158"/>
      <c r="Y858" s="158"/>
      <c r="Z858" s="158"/>
      <c r="AA858" s="158"/>
    </row>
    <row r="859" spans="1:27" ht="15.75" customHeight="1" x14ac:dyDescent="0.55000000000000004">
      <c r="A859" s="177">
        <v>138</v>
      </c>
      <c r="B859" s="177" t="s">
        <v>1782</v>
      </c>
      <c r="C859" s="177" t="s">
        <v>1783</v>
      </c>
      <c r="D859" s="178">
        <v>42172</v>
      </c>
      <c r="E859" s="120" t="s">
        <v>3317</v>
      </c>
      <c r="F859" s="131">
        <v>59</v>
      </c>
      <c r="G859" s="120">
        <v>1</v>
      </c>
      <c r="H859" s="131">
        <v>1</v>
      </c>
      <c r="I859" s="120">
        <v>0</v>
      </c>
      <c r="J859" s="133" t="s">
        <v>853</v>
      </c>
      <c r="K859" s="133">
        <v>0</v>
      </c>
      <c r="L859" s="117">
        <v>66.3</v>
      </c>
      <c r="M859" s="133">
        <f t="shared" si="30"/>
        <v>7.2999999999999972</v>
      </c>
      <c r="N859" s="157"/>
      <c r="O859" s="158"/>
      <c r="P859" s="158"/>
      <c r="Q859" s="158"/>
      <c r="R859" s="158"/>
      <c r="S859" s="158"/>
      <c r="T859" s="158"/>
      <c r="U859" s="158"/>
      <c r="V859" s="158"/>
      <c r="W859" s="158"/>
      <c r="X859" s="158"/>
      <c r="Y859" s="158"/>
      <c r="Z859" s="158"/>
      <c r="AA859" s="158"/>
    </row>
    <row r="860" spans="1:27" ht="15.75" customHeight="1" x14ac:dyDescent="0.55000000000000004">
      <c r="A860" s="169">
        <v>139</v>
      </c>
      <c r="B860" s="169" t="s">
        <v>1790</v>
      </c>
      <c r="C860" s="169" t="s">
        <v>1791</v>
      </c>
      <c r="D860" s="170">
        <v>42201</v>
      </c>
      <c r="E860" s="120" t="s">
        <v>3318</v>
      </c>
      <c r="F860" s="131">
        <v>25</v>
      </c>
      <c r="G860" s="120">
        <v>0</v>
      </c>
      <c r="H860" s="120">
        <v>0</v>
      </c>
      <c r="I860" s="120">
        <v>0</v>
      </c>
      <c r="J860" s="133" t="s">
        <v>853</v>
      </c>
      <c r="K860" s="133">
        <v>0</v>
      </c>
      <c r="L860" s="117">
        <v>72.7</v>
      </c>
      <c r="M860" s="133">
        <f t="shared" si="30"/>
        <v>47.7</v>
      </c>
      <c r="N860" s="157"/>
      <c r="O860" s="158"/>
      <c r="P860" s="158"/>
      <c r="Q860" s="158"/>
      <c r="R860" s="158"/>
      <c r="S860" s="158"/>
      <c r="T860" s="158"/>
      <c r="U860" s="158"/>
      <c r="V860" s="158"/>
      <c r="W860" s="158"/>
      <c r="X860" s="158"/>
      <c r="Y860" s="158"/>
      <c r="Z860" s="158"/>
      <c r="AA860" s="158"/>
    </row>
    <row r="861" spans="1:27" ht="15.75" customHeight="1" x14ac:dyDescent="0.55000000000000004">
      <c r="A861" s="169">
        <v>139</v>
      </c>
      <c r="B861" s="169" t="s">
        <v>1790</v>
      </c>
      <c r="C861" s="169" t="s">
        <v>1791</v>
      </c>
      <c r="D861" s="170">
        <v>42201</v>
      </c>
      <c r="E861" s="120" t="s">
        <v>3319</v>
      </c>
      <c r="F861" s="131">
        <v>26</v>
      </c>
      <c r="G861" s="120">
        <v>0</v>
      </c>
      <c r="H861" s="131">
        <v>0</v>
      </c>
      <c r="I861" s="120">
        <v>0</v>
      </c>
      <c r="J861" s="133" t="s">
        <v>853</v>
      </c>
      <c r="K861" s="133">
        <v>0</v>
      </c>
      <c r="L861" s="117">
        <v>72.7</v>
      </c>
      <c r="M861" s="133">
        <f t="shared" si="30"/>
        <v>46.7</v>
      </c>
      <c r="N861" s="157"/>
      <c r="O861" s="158"/>
      <c r="P861" s="158"/>
      <c r="Q861" s="158"/>
      <c r="R861" s="158"/>
      <c r="S861" s="158"/>
      <c r="T861" s="158"/>
      <c r="U861" s="158"/>
      <c r="V861" s="158"/>
      <c r="W861" s="158"/>
      <c r="X861" s="158"/>
      <c r="Y861" s="158"/>
      <c r="Z861" s="158"/>
      <c r="AA861" s="158"/>
    </row>
    <row r="862" spans="1:27" ht="15.75" customHeight="1" x14ac:dyDescent="0.55000000000000004">
      <c r="A862" s="169">
        <v>139</v>
      </c>
      <c r="B862" s="169" t="s">
        <v>1790</v>
      </c>
      <c r="C862" s="169" t="s">
        <v>1791</v>
      </c>
      <c r="D862" s="170">
        <v>42201</v>
      </c>
      <c r="E862" s="120" t="s">
        <v>3320</v>
      </c>
      <c r="F862" s="131">
        <v>40</v>
      </c>
      <c r="G862" s="120">
        <v>0</v>
      </c>
      <c r="H862" s="120">
        <v>0</v>
      </c>
      <c r="I862" s="120">
        <v>0</v>
      </c>
      <c r="J862" s="133" t="s">
        <v>853</v>
      </c>
      <c r="K862" s="133">
        <v>0</v>
      </c>
      <c r="L862" s="117">
        <v>69.5</v>
      </c>
      <c r="M862" s="133">
        <f t="shared" si="30"/>
        <v>29.5</v>
      </c>
      <c r="N862" s="157"/>
      <c r="O862" s="158"/>
      <c r="P862" s="158"/>
      <c r="Q862" s="158"/>
      <c r="R862" s="158"/>
      <c r="S862" s="158"/>
      <c r="T862" s="158"/>
      <c r="U862" s="158"/>
      <c r="V862" s="158"/>
      <c r="W862" s="158"/>
      <c r="X862" s="158"/>
      <c r="Y862" s="158"/>
      <c r="Z862" s="158"/>
      <c r="AA862" s="158"/>
    </row>
    <row r="863" spans="1:27" ht="15.75" customHeight="1" x14ac:dyDescent="0.55000000000000004">
      <c r="A863" s="169">
        <v>139</v>
      </c>
      <c r="B863" s="169" t="s">
        <v>1790</v>
      </c>
      <c r="C863" s="169" t="s">
        <v>1791</v>
      </c>
      <c r="D863" s="170">
        <v>42201</v>
      </c>
      <c r="E863" s="120" t="s">
        <v>3321</v>
      </c>
      <c r="F863" s="131">
        <v>21</v>
      </c>
      <c r="G863" s="120">
        <v>0</v>
      </c>
      <c r="H863" s="120">
        <v>0</v>
      </c>
      <c r="I863" s="120">
        <v>0</v>
      </c>
      <c r="J863" s="133" t="s">
        <v>853</v>
      </c>
      <c r="K863" s="133">
        <v>0</v>
      </c>
      <c r="L863" s="117">
        <v>73.400000000000006</v>
      </c>
      <c r="M863" s="133">
        <f t="shared" si="30"/>
        <v>52.400000000000006</v>
      </c>
      <c r="N863" s="157"/>
      <c r="O863" s="158"/>
      <c r="P863" s="158"/>
      <c r="Q863" s="158"/>
      <c r="R863" s="158"/>
      <c r="S863" s="158"/>
      <c r="T863" s="158"/>
      <c r="U863" s="158"/>
      <c r="V863" s="158"/>
      <c r="W863" s="158"/>
      <c r="X863" s="158"/>
      <c r="Y863" s="158"/>
      <c r="Z863" s="158"/>
      <c r="AA863" s="158"/>
    </row>
    <row r="864" spans="1:27" ht="15.75" customHeight="1" x14ac:dyDescent="0.55000000000000004">
      <c r="A864" s="169">
        <v>139</v>
      </c>
      <c r="B864" s="169" t="s">
        <v>1790</v>
      </c>
      <c r="C864" s="169" t="s">
        <v>1791</v>
      </c>
      <c r="D864" s="170">
        <v>42201</v>
      </c>
      <c r="E864" s="120" t="s">
        <v>3322</v>
      </c>
      <c r="F864" s="131">
        <v>35</v>
      </c>
      <c r="G864" s="120">
        <v>0</v>
      </c>
      <c r="H864" s="131">
        <v>0</v>
      </c>
      <c r="I864" s="120">
        <v>0</v>
      </c>
      <c r="J864" s="133" t="s">
        <v>853</v>
      </c>
      <c r="K864" s="133">
        <v>0</v>
      </c>
      <c r="L864" s="117">
        <v>70.7</v>
      </c>
      <c r="M864" s="133">
        <f t="shared" si="30"/>
        <v>35.700000000000003</v>
      </c>
      <c r="N864" s="157"/>
      <c r="O864" s="158"/>
      <c r="P864" s="158"/>
      <c r="Q864" s="158"/>
      <c r="R864" s="158"/>
      <c r="S864" s="158"/>
      <c r="T864" s="158"/>
      <c r="U864" s="158"/>
      <c r="V864" s="158"/>
      <c r="W864" s="158"/>
      <c r="X864" s="158"/>
      <c r="Y864" s="158"/>
      <c r="Z864" s="158"/>
      <c r="AA864" s="158"/>
    </row>
    <row r="865" spans="1:27" ht="15.75" customHeight="1" x14ac:dyDescent="0.55000000000000004">
      <c r="A865" s="175">
        <v>140</v>
      </c>
      <c r="B865" s="175" t="s">
        <v>1799</v>
      </c>
      <c r="C865" s="175" t="s">
        <v>1800</v>
      </c>
      <c r="D865" s="176">
        <v>42278</v>
      </c>
      <c r="E865" s="120" t="s">
        <v>3323</v>
      </c>
      <c r="F865" s="131">
        <v>19</v>
      </c>
      <c r="G865" s="120">
        <v>1</v>
      </c>
      <c r="H865" s="131">
        <v>2</v>
      </c>
      <c r="I865" s="131">
        <v>1</v>
      </c>
      <c r="J865" s="133" t="s">
        <v>2673</v>
      </c>
      <c r="K865" s="133">
        <v>4</v>
      </c>
      <c r="L865" s="117">
        <v>78.900000000000006</v>
      </c>
      <c r="M865" s="133">
        <f t="shared" si="30"/>
        <v>59.900000000000006</v>
      </c>
      <c r="N865" s="157"/>
      <c r="O865" s="158"/>
      <c r="P865" s="158"/>
      <c r="Q865" s="158"/>
      <c r="R865" s="158"/>
      <c r="S865" s="158"/>
      <c r="T865" s="158"/>
      <c r="U865" s="158"/>
      <c r="V865" s="158"/>
      <c r="W865" s="158"/>
      <c r="X865" s="158"/>
      <c r="Y865" s="158"/>
      <c r="Z865" s="158"/>
      <c r="AA865" s="158"/>
    </row>
    <row r="866" spans="1:27" ht="15.75" customHeight="1" x14ac:dyDescent="0.55000000000000004">
      <c r="A866" s="175">
        <v>140</v>
      </c>
      <c r="B866" s="175" t="s">
        <v>1799</v>
      </c>
      <c r="C866" s="175" t="s">
        <v>1800</v>
      </c>
      <c r="D866" s="176">
        <v>42278</v>
      </c>
      <c r="E866" s="120" t="s">
        <v>3324</v>
      </c>
      <c r="F866" s="131">
        <v>20</v>
      </c>
      <c r="G866" s="120">
        <v>0</v>
      </c>
      <c r="H866" s="131">
        <v>0</v>
      </c>
      <c r="I866" s="131">
        <v>1</v>
      </c>
      <c r="J866" s="133" t="s">
        <v>2673</v>
      </c>
      <c r="K866" s="133">
        <v>4</v>
      </c>
      <c r="L866" s="117">
        <v>73.400000000000006</v>
      </c>
      <c r="M866" s="133">
        <f t="shared" si="30"/>
        <v>53.400000000000006</v>
      </c>
      <c r="N866" s="157"/>
      <c r="O866" s="158"/>
      <c r="P866" s="158"/>
      <c r="Q866" s="158"/>
      <c r="R866" s="158"/>
      <c r="S866" s="158"/>
      <c r="T866" s="158"/>
      <c r="U866" s="158"/>
      <c r="V866" s="158"/>
      <c r="W866" s="158"/>
      <c r="X866" s="158"/>
      <c r="Y866" s="158"/>
      <c r="Z866" s="158"/>
      <c r="AA866" s="158"/>
    </row>
    <row r="867" spans="1:27" ht="15.75" customHeight="1" x14ac:dyDescent="0.55000000000000004">
      <c r="A867" s="175">
        <v>140</v>
      </c>
      <c r="B867" s="175" t="s">
        <v>1799</v>
      </c>
      <c r="C867" s="175" t="s">
        <v>1800</v>
      </c>
      <c r="D867" s="176">
        <v>42278</v>
      </c>
      <c r="E867" s="120" t="s">
        <v>3325</v>
      </c>
      <c r="F867" s="131">
        <v>18</v>
      </c>
      <c r="G867" s="120">
        <v>1</v>
      </c>
      <c r="H867" s="120">
        <v>0</v>
      </c>
      <c r="I867" s="131">
        <v>1</v>
      </c>
      <c r="J867" s="133" t="s">
        <v>2673</v>
      </c>
      <c r="K867" s="133">
        <v>4</v>
      </c>
      <c r="L867" s="117">
        <v>79.599999999999994</v>
      </c>
      <c r="M867" s="133">
        <f t="shared" si="30"/>
        <v>61.599999999999994</v>
      </c>
      <c r="N867" s="157"/>
      <c r="O867" s="158"/>
      <c r="P867" s="158"/>
      <c r="Q867" s="158"/>
      <c r="R867" s="158"/>
      <c r="S867" s="158"/>
      <c r="T867" s="158"/>
      <c r="U867" s="158"/>
      <c r="V867" s="158"/>
      <c r="W867" s="158"/>
      <c r="X867" s="158"/>
      <c r="Y867" s="158"/>
      <c r="Z867" s="158"/>
      <c r="AA867" s="158"/>
    </row>
    <row r="868" spans="1:27" ht="15.75" customHeight="1" x14ac:dyDescent="0.55000000000000004">
      <c r="A868" s="175">
        <v>140</v>
      </c>
      <c r="B868" s="175" t="s">
        <v>1799</v>
      </c>
      <c r="C868" s="175" t="s">
        <v>1800</v>
      </c>
      <c r="D868" s="176">
        <v>42278</v>
      </c>
      <c r="E868" s="120" t="s">
        <v>3326</v>
      </c>
      <c r="F868" s="131">
        <v>18</v>
      </c>
      <c r="G868" s="120">
        <v>0</v>
      </c>
      <c r="H868" s="131">
        <v>0</v>
      </c>
      <c r="I868" s="131">
        <v>1</v>
      </c>
      <c r="J868" s="133" t="s">
        <v>2673</v>
      </c>
      <c r="K868" s="133">
        <v>4</v>
      </c>
      <c r="L868" s="117">
        <v>73.400000000000006</v>
      </c>
      <c r="M868" s="133">
        <f t="shared" si="30"/>
        <v>55.400000000000006</v>
      </c>
      <c r="N868" s="157"/>
      <c r="O868" s="158"/>
      <c r="P868" s="158"/>
      <c r="Q868" s="158"/>
      <c r="R868" s="158"/>
      <c r="S868" s="158"/>
      <c r="T868" s="158"/>
      <c r="U868" s="158"/>
      <c r="V868" s="158"/>
      <c r="W868" s="158"/>
      <c r="X868" s="158"/>
      <c r="Y868" s="158"/>
      <c r="Z868" s="158"/>
      <c r="AA868" s="158"/>
    </row>
    <row r="869" spans="1:27" ht="15.75" customHeight="1" x14ac:dyDescent="0.55000000000000004">
      <c r="A869" s="175">
        <v>140</v>
      </c>
      <c r="B869" s="175" t="s">
        <v>1799</v>
      </c>
      <c r="C869" s="175" t="s">
        <v>1800</v>
      </c>
      <c r="D869" s="176">
        <v>42278</v>
      </c>
      <c r="E869" s="120" t="s">
        <v>3327</v>
      </c>
      <c r="F869" s="131">
        <v>59</v>
      </c>
      <c r="G869" s="120">
        <v>1</v>
      </c>
      <c r="H869" s="131">
        <v>0</v>
      </c>
      <c r="I869" s="131">
        <v>1</v>
      </c>
      <c r="J869" s="133" t="s">
        <v>2673</v>
      </c>
      <c r="K869" s="133">
        <v>4</v>
      </c>
      <c r="L869" s="117">
        <v>74.099999999999994</v>
      </c>
      <c r="M869" s="133">
        <f t="shared" si="30"/>
        <v>15.099999999999994</v>
      </c>
      <c r="N869" s="157"/>
      <c r="O869" s="158"/>
      <c r="P869" s="158"/>
      <c r="Q869" s="158"/>
      <c r="R869" s="158"/>
      <c r="S869" s="158"/>
      <c r="T869" s="158"/>
      <c r="U869" s="158"/>
      <c r="V869" s="158"/>
      <c r="W869" s="158"/>
      <c r="X869" s="158"/>
      <c r="Y869" s="158"/>
      <c r="Z869" s="158"/>
      <c r="AA869" s="158"/>
    </row>
    <row r="870" spans="1:27" ht="15.75" customHeight="1" x14ac:dyDescent="0.55000000000000004">
      <c r="A870" s="175">
        <v>140</v>
      </c>
      <c r="B870" s="175" t="s">
        <v>1799</v>
      </c>
      <c r="C870" s="175" t="s">
        <v>1800</v>
      </c>
      <c r="D870" s="176">
        <v>42278</v>
      </c>
      <c r="E870" s="120" t="s">
        <v>3328</v>
      </c>
      <c r="F870" s="131">
        <v>18</v>
      </c>
      <c r="G870" s="120">
        <v>0</v>
      </c>
      <c r="H870" s="120">
        <v>0</v>
      </c>
      <c r="I870" s="131">
        <v>1</v>
      </c>
      <c r="J870" s="133" t="s">
        <v>2673</v>
      </c>
      <c r="K870" s="133">
        <v>4</v>
      </c>
      <c r="L870" s="117">
        <v>73.400000000000006</v>
      </c>
      <c r="M870" s="133">
        <f t="shared" si="30"/>
        <v>55.400000000000006</v>
      </c>
      <c r="N870" s="157"/>
      <c r="O870" s="158"/>
      <c r="P870" s="158"/>
      <c r="Q870" s="158"/>
      <c r="R870" s="158"/>
      <c r="S870" s="158"/>
      <c r="T870" s="158"/>
      <c r="U870" s="158"/>
      <c r="V870" s="158"/>
      <c r="W870" s="158"/>
      <c r="X870" s="158"/>
      <c r="Y870" s="158"/>
      <c r="Z870" s="158"/>
      <c r="AA870" s="158"/>
    </row>
    <row r="871" spans="1:27" ht="15.75" customHeight="1" x14ac:dyDescent="0.55000000000000004">
      <c r="A871" s="175">
        <v>140</v>
      </c>
      <c r="B871" s="175" t="s">
        <v>1799</v>
      </c>
      <c r="C871" s="175" t="s">
        <v>1800</v>
      </c>
      <c r="D871" s="176">
        <v>42278</v>
      </c>
      <c r="E871" s="120" t="s">
        <v>3329</v>
      </c>
      <c r="F871" s="131">
        <v>33</v>
      </c>
      <c r="G871" s="120">
        <v>0</v>
      </c>
      <c r="H871" s="131">
        <v>0</v>
      </c>
      <c r="I871" s="131">
        <v>1</v>
      </c>
      <c r="J871" s="133" t="s">
        <v>2673</v>
      </c>
      <c r="K871" s="133">
        <v>4</v>
      </c>
      <c r="L871" s="117">
        <v>70.7</v>
      </c>
      <c r="M871" s="133">
        <f t="shared" si="30"/>
        <v>37.700000000000003</v>
      </c>
      <c r="N871" s="157"/>
      <c r="O871" s="158"/>
      <c r="P871" s="158"/>
      <c r="Q871" s="158"/>
      <c r="R871" s="158"/>
      <c r="S871" s="158"/>
      <c r="T871" s="158"/>
      <c r="U871" s="158"/>
      <c r="V871" s="158"/>
      <c r="W871" s="158"/>
      <c r="X871" s="158"/>
      <c r="Y871" s="158"/>
      <c r="Z871" s="158"/>
      <c r="AA871" s="158"/>
    </row>
    <row r="872" spans="1:27" ht="15.75" customHeight="1" x14ac:dyDescent="0.55000000000000004">
      <c r="A872" s="175">
        <v>140</v>
      </c>
      <c r="B872" s="175" t="s">
        <v>1799</v>
      </c>
      <c r="C872" s="175" t="s">
        <v>1800</v>
      </c>
      <c r="D872" s="176">
        <v>42278</v>
      </c>
      <c r="E872" s="120" t="s">
        <v>3330</v>
      </c>
      <c r="F872" s="131">
        <v>67</v>
      </c>
      <c r="G872" s="120">
        <v>0</v>
      </c>
      <c r="H872" s="131">
        <v>0</v>
      </c>
      <c r="I872" s="131">
        <v>1</v>
      </c>
      <c r="J872" s="133" t="s">
        <v>2802</v>
      </c>
      <c r="K872" s="133">
        <v>4</v>
      </c>
      <c r="L872" s="183">
        <v>83</v>
      </c>
      <c r="M872" s="133">
        <f t="shared" si="30"/>
        <v>16</v>
      </c>
      <c r="N872" s="157"/>
      <c r="O872" s="158"/>
      <c r="P872" s="158"/>
      <c r="Q872" s="158"/>
      <c r="R872" s="158"/>
      <c r="S872" s="158"/>
      <c r="T872" s="158"/>
      <c r="U872" s="158"/>
      <c r="V872" s="158"/>
      <c r="W872" s="158"/>
      <c r="X872" s="158"/>
      <c r="Y872" s="158"/>
      <c r="Z872" s="158"/>
      <c r="AA872" s="158"/>
    </row>
    <row r="873" spans="1:27" ht="15.75" customHeight="1" x14ac:dyDescent="0.55000000000000004">
      <c r="A873" s="175">
        <v>140</v>
      </c>
      <c r="B873" s="175" t="s">
        <v>1799</v>
      </c>
      <c r="C873" s="175" t="s">
        <v>1800</v>
      </c>
      <c r="D873" s="176">
        <v>42278</v>
      </c>
      <c r="E873" s="120" t="s">
        <v>3331</v>
      </c>
      <c r="F873" s="131">
        <v>44</v>
      </c>
      <c r="G873" s="120">
        <v>1</v>
      </c>
      <c r="H873" s="131">
        <v>0</v>
      </c>
      <c r="I873" s="131">
        <v>1</v>
      </c>
      <c r="J873" s="133" t="s">
        <v>2673</v>
      </c>
      <c r="K873" s="133">
        <v>4</v>
      </c>
      <c r="L873" s="117">
        <v>75.599999999999994</v>
      </c>
      <c r="M873" s="133">
        <f t="shared" si="30"/>
        <v>31.599999999999994</v>
      </c>
      <c r="N873" s="157"/>
      <c r="O873" s="158"/>
      <c r="P873" s="158"/>
      <c r="Q873" s="158"/>
      <c r="R873" s="158"/>
      <c r="S873" s="158"/>
      <c r="T873" s="158"/>
      <c r="U873" s="158"/>
      <c r="V873" s="158"/>
      <c r="W873" s="158"/>
      <c r="X873" s="158"/>
      <c r="Y873" s="158"/>
      <c r="Z873" s="158"/>
      <c r="AA873" s="158"/>
    </row>
    <row r="874" spans="1:27" ht="15.75" customHeight="1" x14ac:dyDescent="0.55000000000000004">
      <c r="A874" s="159">
        <v>141</v>
      </c>
      <c r="B874" s="159" t="s">
        <v>1806</v>
      </c>
      <c r="C874" s="159" t="s">
        <v>999</v>
      </c>
      <c r="D874" s="160">
        <v>42322</v>
      </c>
      <c r="E874" s="120" t="s">
        <v>3332</v>
      </c>
      <c r="F874" s="131">
        <v>77</v>
      </c>
      <c r="G874" s="120">
        <v>0</v>
      </c>
      <c r="H874" s="131">
        <v>0</v>
      </c>
      <c r="I874" s="120">
        <v>0</v>
      </c>
      <c r="J874" s="133" t="s">
        <v>853</v>
      </c>
      <c r="K874" s="133">
        <v>0</v>
      </c>
      <c r="L874" s="183">
        <v>86.1</v>
      </c>
      <c r="M874" s="133">
        <f t="shared" si="30"/>
        <v>9.0999999999999943</v>
      </c>
      <c r="N874" s="157"/>
      <c r="O874" s="158"/>
      <c r="P874" s="158"/>
      <c r="Q874" s="158"/>
      <c r="R874" s="158"/>
      <c r="S874" s="158"/>
      <c r="T874" s="158"/>
      <c r="U874" s="158"/>
      <c r="V874" s="158"/>
      <c r="W874" s="158"/>
      <c r="X874" s="158"/>
      <c r="Y874" s="158"/>
      <c r="Z874" s="158"/>
      <c r="AA874" s="158"/>
    </row>
    <row r="875" spans="1:27" ht="15.75" customHeight="1" x14ac:dyDescent="0.55000000000000004">
      <c r="A875" s="159">
        <v>141</v>
      </c>
      <c r="B875" s="159" t="s">
        <v>1806</v>
      </c>
      <c r="C875" s="159" t="s">
        <v>999</v>
      </c>
      <c r="D875" s="160">
        <v>42322</v>
      </c>
      <c r="E875" s="120" t="s">
        <v>3333</v>
      </c>
      <c r="F875" s="131">
        <v>40</v>
      </c>
      <c r="G875" s="120">
        <v>1</v>
      </c>
      <c r="H875" s="131">
        <v>0</v>
      </c>
      <c r="I875" s="120">
        <v>0</v>
      </c>
      <c r="J875" s="133" t="s">
        <v>853</v>
      </c>
      <c r="K875" s="133">
        <v>0</v>
      </c>
      <c r="L875" s="117">
        <v>77.3</v>
      </c>
      <c r="M875" s="133">
        <f t="shared" si="30"/>
        <v>37.299999999999997</v>
      </c>
      <c r="N875" s="157"/>
      <c r="O875" s="158"/>
      <c r="P875" s="158"/>
      <c r="Q875" s="158"/>
      <c r="R875" s="158"/>
      <c r="S875" s="158"/>
      <c r="T875" s="158"/>
      <c r="U875" s="158"/>
      <c r="V875" s="158"/>
      <c r="W875" s="158"/>
      <c r="X875" s="158"/>
      <c r="Y875" s="158"/>
      <c r="Z875" s="158"/>
      <c r="AA875" s="158"/>
    </row>
    <row r="876" spans="1:27" ht="15.75" customHeight="1" x14ac:dyDescent="0.55000000000000004">
      <c r="A876" s="159">
        <v>141</v>
      </c>
      <c r="B876" s="159" t="s">
        <v>1806</v>
      </c>
      <c r="C876" s="159" t="s">
        <v>999</v>
      </c>
      <c r="D876" s="160">
        <v>42322</v>
      </c>
      <c r="E876" s="120" t="s">
        <v>3334</v>
      </c>
      <c r="F876" s="131">
        <v>6</v>
      </c>
      <c r="G876" s="120">
        <v>0</v>
      </c>
      <c r="H876" s="131">
        <v>0</v>
      </c>
      <c r="I876" s="120">
        <v>0</v>
      </c>
      <c r="J876" s="133" t="s">
        <v>853</v>
      </c>
      <c r="K876" s="133">
        <v>0</v>
      </c>
      <c r="L876" s="117">
        <v>76.400000000000006</v>
      </c>
      <c r="M876" s="133">
        <f t="shared" si="30"/>
        <v>70.400000000000006</v>
      </c>
      <c r="N876" s="157"/>
      <c r="O876" s="158"/>
      <c r="P876" s="158"/>
      <c r="Q876" s="158"/>
      <c r="R876" s="158"/>
      <c r="S876" s="158"/>
      <c r="T876" s="158"/>
      <c r="U876" s="158"/>
      <c r="V876" s="158"/>
      <c r="W876" s="158"/>
      <c r="X876" s="158"/>
      <c r="Y876" s="158"/>
      <c r="Z876" s="158"/>
      <c r="AA876" s="158"/>
    </row>
    <row r="877" spans="1:27" ht="15.75" customHeight="1" x14ac:dyDescent="0.55000000000000004">
      <c r="A877" s="159">
        <v>141</v>
      </c>
      <c r="B877" s="159" t="s">
        <v>1806</v>
      </c>
      <c r="C877" s="159" t="s">
        <v>999</v>
      </c>
      <c r="D877" s="160">
        <v>42322</v>
      </c>
      <c r="E877" s="120" t="s">
        <v>3335</v>
      </c>
      <c r="F877" s="131">
        <v>21</v>
      </c>
      <c r="G877" s="120">
        <v>0</v>
      </c>
      <c r="H877" s="131">
        <v>0</v>
      </c>
      <c r="I877" s="120">
        <v>0</v>
      </c>
      <c r="J877" s="133" t="s">
        <v>853</v>
      </c>
      <c r="K877" s="133">
        <v>0</v>
      </c>
      <c r="L877" s="117">
        <v>73.400000000000006</v>
      </c>
      <c r="M877" s="133">
        <f t="shared" si="30"/>
        <v>52.400000000000006</v>
      </c>
      <c r="N877" s="157"/>
      <c r="O877" s="158"/>
      <c r="P877" s="158"/>
      <c r="Q877" s="158"/>
      <c r="R877" s="158"/>
      <c r="S877" s="158"/>
      <c r="T877" s="158"/>
      <c r="U877" s="158"/>
      <c r="V877" s="158"/>
      <c r="W877" s="158"/>
      <c r="X877" s="158"/>
      <c r="Y877" s="158"/>
      <c r="Z877" s="158"/>
      <c r="AA877" s="158"/>
    </row>
    <row r="878" spans="1:27" ht="15.75" customHeight="1" x14ac:dyDescent="0.55000000000000004">
      <c r="A878" s="159">
        <v>141</v>
      </c>
      <c r="B878" s="159" t="s">
        <v>1806</v>
      </c>
      <c r="C878" s="159" t="s">
        <v>999</v>
      </c>
      <c r="D878" s="160">
        <v>42322</v>
      </c>
      <c r="E878" s="120" t="s">
        <v>3336</v>
      </c>
      <c r="F878" s="131">
        <v>23</v>
      </c>
      <c r="G878" s="120">
        <v>0</v>
      </c>
      <c r="H878" s="131">
        <v>0</v>
      </c>
      <c r="I878" s="120">
        <v>0</v>
      </c>
      <c r="J878" s="133" t="s">
        <v>853</v>
      </c>
      <c r="K878" s="133">
        <v>0</v>
      </c>
      <c r="L878" s="117">
        <v>72.7</v>
      </c>
      <c r="M878" s="133">
        <f t="shared" si="30"/>
        <v>49.7</v>
      </c>
      <c r="N878" s="157"/>
      <c r="O878" s="158"/>
      <c r="P878" s="158"/>
      <c r="Q878" s="158"/>
      <c r="R878" s="158"/>
      <c r="S878" s="158"/>
      <c r="T878" s="158"/>
      <c r="U878" s="158"/>
      <c r="V878" s="158"/>
      <c r="W878" s="158"/>
      <c r="X878" s="158"/>
      <c r="Y878" s="158"/>
      <c r="Z878" s="158"/>
      <c r="AA878" s="158"/>
    </row>
    <row r="879" spans="1:27" ht="15.75" customHeight="1" x14ac:dyDescent="0.55000000000000004">
      <c r="A879" s="159">
        <v>141</v>
      </c>
      <c r="B879" s="159" t="s">
        <v>1806</v>
      </c>
      <c r="C879" s="159" t="s">
        <v>999</v>
      </c>
      <c r="D879" s="160">
        <v>42322</v>
      </c>
      <c r="E879" s="120" t="s">
        <v>3337</v>
      </c>
      <c r="F879" s="131">
        <v>45</v>
      </c>
      <c r="G879" s="120">
        <v>0</v>
      </c>
      <c r="H879" s="131">
        <v>0</v>
      </c>
      <c r="I879" s="120">
        <v>0</v>
      </c>
      <c r="J879" s="133" t="s">
        <v>853</v>
      </c>
      <c r="K879" s="133">
        <v>0</v>
      </c>
      <c r="L879" s="117">
        <v>68</v>
      </c>
      <c r="M879" s="133">
        <f t="shared" si="30"/>
        <v>23</v>
      </c>
      <c r="N879" s="157"/>
      <c r="O879" s="158"/>
      <c r="P879" s="158"/>
      <c r="Q879" s="158"/>
      <c r="R879" s="158"/>
      <c r="S879" s="158"/>
      <c r="T879" s="158"/>
      <c r="U879" s="158"/>
      <c r="V879" s="158"/>
      <c r="W879" s="158"/>
      <c r="X879" s="158"/>
      <c r="Y879" s="158"/>
      <c r="Z879" s="158"/>
      <c r="AA879" s="158"/>
    </row>
    <row r="880" spans="1:27" ht="15.75" customHeight="1" x14ac:dyDescent="0.55000000000000004">
      <c r="A880" s="162" t="s">
        <v>2287</v>
      </c>
      <c r="B880" s="162" t="s">
        <v>2288</v>
      </c>
      <c r="C880" s="162" t="s">
        <v>2289</v>
      </c>
      <c r="D880" s="163">
        <v>42340</v>
      </c>
      <c r="E880" s="120" t="s">
        <v>3338</v>
      </c>
      <c r="F880" s="131">
        <v>40</v>
      </c>
      <c r="G880" s="120">
        <v>0</v>
      </c>
      <c r="H880" s="120">
        <v>0</v>
      </c>
      <c r="I880" s="131">
        <v>1</v>
      </c>
      <c r="J880" s="133" t="s">
        <v>2903</v>
      </c>
      <c r="K880" s="133">
        <v>3</v>
      </c>
      <c r="L880" s="117">
        <v>69.5</v>
      </c>
      <c r="M880" s="133">
        <f t="shared" si="30"/>
        <v>29.5</v>
      </c>
      <c r="N880" s="157"/>
      <c r="O880" s="158"/>
      <c r="P880" s="158"/>
      <c r="Q880" s="158"/>
      <c r="R880" s="158"/>
      <c r="S880" s="158"/>
      <c r="T880" s="158"/>
      <c r="U880" s="158"/>
      <c r="V880" s="158"/>
      <c r="W880" s="158"/>
      <c r="X880" s="158"/>
      <c r="Y880" s="158"/>
      <c r="Z880" s="158"/>
      <c r="AA880" s="158"/>
    </row>
    <row r="881" spans="1:27" ht="15.75" customHeight="1" x14ac:dyDescent="0.55000000000000004">
      <c r="A881" s="162" t="s">
        <v>2287</v>
      </c>
      <c r="B881" s="162" t="s">
        <v>2288</v>
      </c>
      <c r="C881" s="162" t="s">
        <v>2289</v>
      </c>
      <c r="D881" s="163">
        <v>42340</v>
      </c>
      <c r="E881" s="120" t="s">
        <v>3339</v>
      </c>
      <c r="F881" s="131">
        <v>60</v>
      </c>
      <c r="G881" s="120">
        <v>0</v>
      </c>
      <c r="H881" s="120">
        <v>1</v>
      </c>
      <c r="I881" s="131">
        <v>1</v>
      </c>
      <c r="J881" s="133" t="s">
        <v>2903</v>
      </c>
      <c r="K881" s="133">
        <v>3</v>
      </c>
      <c r="L881" s="117">
        <v>61.1</v>
      </c>
      <c r="M881" s="133">
        <f t="shared" si="30"/>
        <v>1.1000000000000014</v>
      </c>
      <c r="N881" s="157"/>
      <c r="O881" s="158"/>
      <c r="P881" s="158"/>
      <c r="Q881" s="158"/>
      <c r="R881" s="158"/>
      <c r="S881" s="158"/>
      <c r="T881" s="158"/>
      <c r="U881" s="158"/>
      <c r="V881" s="158"/>
      <c r="W881" s="158"/>
      <c r="X881" s="158"/>
      <c r="Y881" s="158"/>
      <c r="Z881" s="158"/>
      <c r="AA881" s="158"/>
    </row>
    <row r="882" spans="1:27" ht="15.75" customHeight="1" x14ac:dyDescent="0.55000000000000004">
      <c r="A882" s="162" t="s">
        <v>2287</v>
      </c>
      <c r="B882" s="162" t="s">
        <v>2288</v>
      </c>
      <c r="C882" s="162" t="s">
        <v>2289</v>
      </c>
      <c r="D882" s="163">
        <v>42340</v>
      </c>
      <c r="E882" s="120" t="s">
        <v>3340</v>
      </c>
      <c r="F882" s="131">
        <v>46</v>
      </c>
      <c r="G882" s="120">
        <v>1</v>
      </c>
      <c r="H882" s="120">
        <v>4</v>
      </c>
      <c r="I882" s="131">
        <v>1</v>
      </c>
      <c r="J882" s="133" t="s">
        <v>2903</v>
      </c>
      <c r="K882" s="133">
        <v>3</v>
      </c>
      <c r="L882" s="117">
        <v>74.7</v>
      </c>
      <c r="M882" s="133">
        <f t="shared" si="30"/>
        <v>28.700000000000003</v>
      </c>
      <c r="N882" s="157"/>
      <c r="O882" s="158"/>
      <c r="P882" s="158"/>
      <c r="Q882" s="158"/>
      <c r="R882" s="158"/>
      <c r="S882" s="158"/>
      <c r="T882" s="158"/>
      <c r="U882" s="158"/>
      <c r="V882" s="158"/>
      <c r="W882" s="158"/>
      <c r="X882" s="158"/>
      <c r="Y882" s="158"/>
      <c r="Z882" s="158"/>
      <c r="AA882" s="158"/>
    </row>
    <row r="883" spans="1:27" ht="15.75" customHeight="1" x14ac:dyDescent="0.55000000000000004">
      <c r="A883" s="162" t="s">
        <v>2287</v>
      </c>
      <c r="B883" s="162" t="s">
        <v>2288</v>
      </c>
      <c r="C883" s="162" t="s">
        <v>2289</v>
      </c>
      <c r="D883" s="163">
        <v>42340</v>
      </c>
      <c r="E883" s="120" t="s">
        <v>3341</v>
      </c>
      <c r="F883" s="131">
        <v>46</v>
      </c>
      <c r="G883" s="120">
        <v>0</v>
      </c>
      <c r="H883" s="131">
        <v>0</v>
      </c>
      <c r="I883" s="131">
        <v>1</v>
      </c>
      <c r="J883" s="133" t="s">
        <v>2903</v>
      </c>
      <c r="K883" s="133">
        <v>3</v>
      </c>
      <c r="L883" s="117">
        <v>68</v>
      </c>
      <c r="M883" s="133">
        <f t="shared" si="30"/>
        <v>22</v>
      </c>
      <c r="N883" s="157"/>
      <c r="O883" s="158"/>
      <c r="P883" s="158"/>
      <c r="Q883" s="158"/>
      <c r="R883" s="158"/>
      <c r="S883" s="158"/>
      <c r="T883" s="158"/>
      <c r="U883" s="158"/>
      <c r="V883" s="158"/>
      <c r="W883" s="158"/>
      <c r="X883" s="158"/>
      <c r="Y883" s="158"/>
      <c r="Z883" s="158"/>
      <c r="AA883" s="158"/>
    </row>
    <row r="884" spans="1:27" ht="15.75" customHeight="1" x14ac:dyDescent="0.55000000000000004">
      <c r="A884" s="162" t="s">
        <v>2287</v>
      </c>
      <c r="B884" s="162" t="s">
        <v>2288</v>
      </c>
      <c r="C884" s="162" t="s">
        <v>2289</v>
      </c>
      <c r="D884" s="163">
        <v>42340</v>
      </c>
      <c r="E884" s="120" t="s">
        <v>3342</v>
      </c>
      <c r="F884" s="131">
        <v>27</v>
      </c>
      <c r="G884" s="120">
        <v>1</v>
      </c>
      <c r="H884" s="120">
        <v>1</v>
      </c>
      <c r="I884" s="131">
        <v>1</v>
      </c>
      <c r="J884" s="133" t="s">
        <v>2903</v>
      </c>
      <c r="K884" s="133">
        <v>3</v>
      </c>
      <c r="L884" s="117">
        <v>73.599999999999994</v>
      </c>
      <c r="M884" s="133">
        <f t="shared" si="30"/>
        <v>46.599999999999994</v>
      </c>
      <c r="N884" s="157"/>
      <c r="O884" s="158"/>
      <c r="P884" s="158"/>
      <c r="Q884" s="158"/>
      <c r="R884" s="158"/>
      <c r="S884" s="158"/>
      <c r="T884" s="158"/>
      <c r="U884" s="158"/>
      <c r="V884" s="158"/>
      <c r="W884" s="158"/>
      <c r="X884" s="158"/>
      <c r="Y884" s="158"/>
      <c r="Z884" s="158"/>
      <c r="AA884" s="158"/>
    </row>
    <row r="885" spans="1:27" ht="15.75" customHeight="1" x14ac:dyDescent="0.55000000000000004">
      <c r="A885" s="162" t="s">
        <v>2287</v>
      </c>
      <c r="B885" s="162" t="s">
        <v>2288</v>
      </c>
      <c r="C885" s="162" t="s">
        <v>2289</v>
      </c>
      <c r="D885" s="163">
        <v>42340</v>
      </c>
      <c r="E885" s="120" t="s">
        <v>3343</v>
      </c>
      <c r="F885" s="131">
        <v>50</v>
      </c>
      <c r="G885" s="120">
        <v>0</v>
      </c>
      <c r="H885" s="120">
        <v>2</v>
      </c>
      <c r="I885" s="131">
        <v>1</v>
      </c>
      <c r="J885" s="133" t="s">
        <v>2903</v>
      </c>
      <c r="K885" s="133">
        <v>3</v>
      </c>
      <c r="L885" s="117">
        <v>67.099999999999994</v>
      </c>
      <c r="M885" s="133">
        <f t="shared" si="30"/>
        <v>17.099999999999994</v>
      </c>
      <c r="N885" s="157"/>
      <c r="O885" s="158"/>
      <c r="P885" s="158"/>
      <c r="Q885" s="158"/>
      <c r="R885" s="158"/>
      <c r="S885" s="158"/>
      <c r="T885" s="158"/>
      <c r="U885" s="158"/>
      <c r="V885" s="158"/>
      <c r="W885" s="158"/>
      <c r="X885" s="158"/>
      <c r="Y885" s="158"/>
      <c r="Z885" s="158"/>
      <c r="AA885" s="158"/>
    </row>
    <row r="886" spans="1:27" ht="15.75" customHeight="1" x14ac:dyDescent="0.55000000000000004">
      <c r="A886" s="162" t="s">
        <v>2287</v>
      </c>
      <c r="B886" s="162" t="s">
        <v>2288</v>
      </c>
      <c r="C886" s="162" t="s">
        <v>2289</v>
      </c>
      <c r="D886" s="163">
        <v>42340</v>
      </c>
      <c r="E886" s="120" t="s">
        <v>3344</v>
      </c>
      <c r="F886" s="131">
        <v>26</v>
      </c>
      <c r="G886" s="120">
        <v>1</v>
      </c>
      <c r="H886" s="131">
        <v>2</v>
      </c>
      <c r="I886" s="131">
        <v>1</v>
      </c>
      <c r="J886" s="133" t="s">
        <v>2903</v>
      </c>
      <c r="K886" s="133">
        <v>3</v>
      </c>
      <c r="L886" s="117">
        <v>78.8</v>
      </c>
      <c r="M886" s="133">
        <f t="shared" si="30"/>
        <v>52.8</v>
      </c>
      <c r="N886" s="157"/>
      <c r="O886" s="158"/>
      <c r="P886" s="158"/>
      <c r="Q886" s="158"/>
      <c r="R886" s="158"/>
      <c r="S886" s="158"/>
      <c r="T886" s="158"/>
      <c r="U886" s="158"/>
      <c r="V886" s="158"/>
      <c r="W886" s="158"/>
      <c r="X886" s="158"/>
      <c r="Y886" s="158"/>
      <c r="Z886" s="158"/>
      <c r="AA886" s="158"/>
    </row>
    <row r="887" spans="1:27" ht="15.75" customHeight="1" x14ac:dyDescent="0.55000000000000004">
      <c r="A887" s="162" t="s">
        <v>2287</v>
      </c>
      <c r="B887" s="162" t="s">
        <v>2288</v>
      </c>
      <c r="C887" s="162" t="s">
        <v>2289</v>
      </c>
      <c r="D887" s="163">
        <v>42340</v>
      </c>
      <c r="E887" s="120" t="s">
        <v>3345</v>
      </c>
      <c r="F887" s="131">
        <v>45</v>
      </c>
      <c r="G887" s="120">
        <v>0</v>
      </c>
      <c r="H887" s="120">
        <v>0</v>
      </c>
      <c r="I887" s="131">
        <v>1</v>
      </c>
      <c r="J887" s="133" t="s">
        <v>2903</v>
      </c>
      <c r="K887" s="133">
        <v>3</v>
      </c>
      <c r="L887" s="117">
        <v>68</v>
      </c>
      <c r="M887" s="133">
        <f t="shared" si="30"/>
        <v>23</v>
      </c>
      <c r="N887" s="157"/>
      <c r="O887" s="158"/>
      <c r="P887" s="158"/>
      <c r="Q887" s="158"/>
      <c r="R887" s="158"/>
      <c r="S887" s="158"/>
      <c r="T887" s="158"/>
      <c r="U887" s="158"/>
      <c r="V887" s="158"/>
      <c r="W887" s="158"/>
      <c r="X887" s="158"/>
      <c r="Y887" s="158"/>
      <c r="Z887" s="158"/>
      <c r="AA887" s="158"/>
    </row>
    <row r="888" spans="1:27" ht="15.75" customHeight="1" x14ac:dyDescent="0.55000000000000004">
      <c r="A888" s="162" t="s">
        <v>2287</v>
      </c>
      <c r="B888" s="162" t="s">
        <v>2288</v>
      </c>
      <c r="C888" s="162" t="s">
        <v>2289</v>
      </c>
      <c r="D888" s="163">
        <v>42340</v>
      </c>
      <c r="E888" s="120" t="s">
        <v>3346</v>
      </c>
      <c r="F888" s="131">
        <v>42</v>
      </c>
      <c r="G888" s="120">
        <v>0</v>
      </c>
      <c r="H888" s="120">
        <v>0</v>
      </c>
      <c r="I888" s="131">
        <v>0</v>
      </c>
      <c r="J888" s="133" t="s">
        <v>853</v>
      </c>
      <c r="K888" s="133">
        <v>0</v>
      </c>
      <c r="L888" s="117">
        <v>69.5</v>
      </c>
      <c r="M888" s="133">
        <f t="shared" si="30"/>
        <v>27.5</v>
      </c>
      <c r="N888" s="157"/>
      <c r="O888" s="158"/>
      <c r="P888" s="158"/>
      <c r="Q888" s="158"/>
      <c r="R888" s="158"/>
      <c r="S888" s="158"/>
      <c r="T888" s="158"/>
      <c r="U888" s="158"/>
      <c r="V888" s="158"/>
      <c r="W888" s="158"/>
      <c r="X888" s="158"/>
      <c r="Y888" s="158"/>
      <c r="Z888" s="158"/>
      <c r="AA888" s="158"/>
    </row>
    <row r="889" spans="1:27" ht="15.75" customHeight="1" x14ac:dyDescent="0.55000000000000004">
      <c r="A889" s="162" t="s">
        <v>2287</v>
      </c>
      <c r="B889" s="162" t="s">
        <v>2288</v>
      </c>
      <c r="C889" s="162" t="s">
        <v>2289</v>
      </c>
      <c r="D889" s="163">
        <v>42340</v>
      </c>
      <c r="E889" s="120" t="s">
        <v>3347</v>
      </c>
      <c r="F889" s="131">
        <v>58</v>
      </c>
      <c r="G889" s="120">
        <v>0</v>
      </c>
      <c r="H889" s="120">
        <v>0</v>
      </c>
      <c r="I889" s="131">
        <v>1</v>
      </c>
      <c r="J889" s="133" t="s">
        <v>2903</v>
      </c>
      <c r="K889" s="133">
        <v>3</v>
      </c>
      <c r="L889" s="117">
        <v>67.400000000000006</v>
      </c>
      <c r="M889" s="133">
        <f t="shared" si="30"/>
        <v>9.4000000000000057</v>
      </c>
      <c r="N889" s="157"/>
      <c r="O889" s="158"/>
      <c r="P889" s="158"/>
      <c r="Q889" s="158"/>
      <c r="R889" s="158"/>
      <c r="S889" s="158"/>
      <c r="T889" s="158"/>
      <c r="U889" s="158"/>
      <c r="V889" s="158"/>
      <c r="W889" s="158"/>
      <c r="X889" s="158"/>
      <c r="Y889" s="158"/>
      <c r="Z889" s="158"/>
      <c r="AA889" s="158"/>
    </row>
    <row r="890" spans="1:27" ht="15.75" customHeight="1" x14ac:dyDescent="0.55000000000000004">
      <c r="A890" s="162" t="s">
        <v>2287</v>
      </c>
      <c r="B890" s="162" t="s">
        <v>2288</v>
      </c>
      <c r="C890" s="162" t="s">
        <v>2289</v>
      </c>
      <c r="D890" s="163">
        <v>42340</v>
      </c>
      <c r="E890" s="120" t="s">
        <v>3348</v>
      </c>
      <c r="F890" s="131">
        <v>31</v>
      </c>
      <c r="G890" s="120">
        <v>1</v>
      </c>
      <c r="H890" s="120">
        <v>3</v>
      </c>
      <c r="I890" s="131">
        <v>1</v>
      </c>
      <c r="J890" s="133" t="s">
        <v>2903</v>
      </c>
      <c r="K890" s="133">
        <v>3</v>
      </c>
      <c r="L890" s="117">
        <v>77.400000000000006</v>
      </c>
      <c r="M890" s="133">
        <f t="shared" si="30"/>
        <v>46.400000000000006</v>
      </c>
      <c r="N890" s="157"/>
      <c r="O890" s="158"/>
      <c r="P890" s="158"/>
      <c r="Q890" s="158"/>
      <c r="R890" s="158"/>
      <c r="S890" s="158"/>
      <c r="T890" s="158"/>
      <c r="U890" s="158"/>
      <c r="V890" s="158"/>
      <c r="W890" s="158"/>
      <c r="X890" s="158"/>
      <c r="Y890" s="158"/>
      <c r="Z890" s="158"/>
      <c r="AA890" s="158"/>
    </row>
    <row r="891" spans="1:27" ht="15.75" customHeight="1" x14ac:dyDescent="0.55000000000000004">
      <c r="A891" s="162" t="s">
        <v>2287</v>
      </c>
      <c r="B891" s="162" t="s">
        <v>2288</v>
      </c>
      <c r="C891" s="162" t="s">
        <v>2289</v>
      </c>
      <c r="D891" s="163">
        <v>42340</v>
      </c>
      <c r="E891" s="120" t="s">
        <v>3349</v>
      </c>
      <c r="F891" s="131">
        <v>52</v>
      </c>
      <c r="G891" s="120">
        <v>0</v>
      </c>
      <c r="H891" s="131">
        <v>0</v>
      </c>
      <c r="I891" s="131">
        <v>1</v>
      </c>
      <c r="J891" s="133" t="s">
        <v>2903</v>
      </c>
      <c r="K891" s="133">
        <v>3</v>
      </c>
      <c r="L891" s="117">
        <v>67.400000000000006</v>
      </c>
      <c r="M891" s="133">
        <f t="shared" si="30"/>
        <v>15.400000000000006</v>
      </c>
      <c r="N891" s="157"/>
      <c r="O891" s="158"/>
      <c r="P891" s="158"/>
      <c r="Q891" s="158"/>
      <c r="R891" s="158"/>
      <c r="S891" s="158"/>
      <c r="T891" s="158"/>
      <c r="U891" s="158"/>
      <c r="V891" s="158"/>
      <c r="W891" s="158"/>
      <c r="X891" s="158"/>
      <c r="Y891" s="158"/>
      <c r="Z891" s="158"/>
      <c r="AA891" s="158"/>
    </row>
    <row r="892" spans="1:27" ht="15.75" customHeight="1" x14ac:dyDescent="0.55000000000000004">
      <c r="A892" s="162" t="s">
        <v>2287</v>
      </c>
      <c r="B892" s="162" t="s">
        <v>2288</v>
      </c>
      <c r="C892" s="162" t="s">
        <v>2289</v>
      </c>
      <c r="D892" s="163">
        <v>42340</v>
      </c>
      <c r="E892" s="120" t="s">
        <v>3350</v>
      </c>
      <c r="F892" s="131">
        <v>27</v>
      </c>
      <c r="G892" s="120">
        <v>1</v>
      </c>
      <c r="H892" s="131">
        <v>2</v>
      </c>
      <c r="I892" s="131">
        <v>1</v>
      </c>
      <c r="J892" s="133" t="s">
        <v>2903</v>
      </c>
      <c r="K892" s="133">
        <v>3</v>
      </c>
      <c r="L892" s="117">
        <v>78.8</v>
      </c>
      <c r="M892" s="133">
        <f t="shared" si="30"/>
        <v>51.8</v>
      </c>
      <c r="N892" s="157"/>
      <c r="O892" s="158"/>
      <c r="P892" s="158"/>
      <c r="Q892" s="158"/>
      <c r="R892" s="158"/>
      <c r="S892" s="158"/>
      <c r="T892" s="158"/>
      <c r="U892" s="158"/>
      <c r="V892" s="158"/>
      <c r="W892" s="158"/>
      <c r="X892" s="158"/>
      <c r="Y892" s="158"/>
      <c r="Z892" s="158"/>
      <c r="AA892" s="158"/>
    </row>
    <row r="893" spans="1:27" ht="15.75" customHeight="1" x14ac:dyDescent="0.55000000000000004">
      <c r="A893" s="162" t="s">
        <v>2287</v>
      </c>
      <c r="B893" s="162" t="s">
        <v>2288</v>
      </c>
      <c r="C893" s="162" t="s">
        <v>2289</v>
      </c>
      <c r="D893" s="163">
        <v>42340</v>
      </c>
      <c r="E893" s="120" t="s">
        <v>3351</v>
      </c>
      <c r="F893" s="131">
        <v>37</v>
      </c>
      <c r="G893" s="120">
        <v>0</v>
      </c>
      <c r="H893" s="120">
        <v>0</v>
      </c>
      <c r="I893" s="131">
        <v>1</v>
      </c>
      <c r="J893" s="133" t="s">
        <v>2903</v>
      </c>
      <c r="K893" s="133">
        <v>3</v>
      </c>
      <c r="L893" s="117">
        <v>70.7</v>
      </c>
      <c r="M893" s="133">
        <f t="shared" si="30"/>
        <v>33.700000000000003</v>
      </c>
      <c r="N893" s="157"/>
      <c r="O893" s="158"/>
      <c r="P893" s="158"/>
      <c r="Q893" s="158"/>
      <c r="R893" s="158"/>
      <c r="S893" s="158"/>
      <c r="T893" s="158"/>
      <c r="U893" s="158"/>
      <c r="V893" s="158"/>
      <c r="W893" s="158"/>
      <c r="X893" s="158"/>
      <c r="Y893" s="158"/>
      <c r="Z893" s="158"/>
      <c r="AA893" s="158"/>
    </row>
    <row r="894" spans="1:27" ht="15.75" customHeight="1" x14ac:dyDescent="0.55000000000000004">
      <c r="A894" s="171">
        <v>144</v>
      </c>
      <c r="B894" s="171" t="s">
        <v>1819</v>
      </c>
      <c r="C894" s="171" t="s">
        <v>1820</v>
      </c>
      <c r="D894" s="172">
        <v>42420</v>
      </c>
      <c r="E894" s="120" t="s">
        <v>3352</v>
      </c>
      <c r="F894" s="131">
        <v>74</v>
      </c>
      <c r="G894" s="120">
        <v>1</v>
      </c>
      <c r="H894" s="131">
        <v>0</v>
      </c>
      <c r="I894" s="120">
        <v>0</v>
      </c>
      <c r="J894" s="133" t="s">
        <v>853</v>
      </c>
      <c r="K894" s="133">
        <v>0</v>
      </c>
      <c r="L894" s="183">
        <v>85.1</v>
      </c>
      <c r="M894" s="133">
        <f t="shared" si="30"/>
        <v>11.099999999999994</v>
      </c>
      <c r="N894" s="157"/>
      <c r="O894" s="158"/>
      <c r="P894" s="158"/>
      <c r="Q894" s="158"/>
      <c r="R894" s="158"/>
      <c r="S894" s="158"/>
      <c r="T894" s="158"/>
      <c r="U894" s="158"/>
      <c r="V894" s="158"/>
      <c r="W894" s="158"/>
      <c r="X894" s="158"/>
      <c r="Y894" s="158"/>
      <c r="Z894" s="158"/>
      <c r="AA894" s="158"/>
    </row>
    <row r="895" spans="1:27" ht="15.75" customHeight="1" x14ac:dyDescent="0.55000000000000004">
      <c r="A895" s="171">
        <v>144</v>
      </c>
      <c r="B895" s="171" t="s">
        <v>1819</v>
      </c>
      <c r="C895" s="171" t="s">
        <v>1820</v>
      </c>
      <c r="D895" s="172">
        <v>42420</v>
      </c>
      <c r="E895" s="120" t="s">
        <v>3353</v>
      </c>
      <c r="F895" s="131">
        <v>68</v>
      </c>
      <c r="G895" s="120">
        <v>1</v>
      </c>
      <c r="H895" s="131">
        <v>0</v>
      </c>
      <c r="I895" s="120">
        <v>0</v>
      </c>
      <c r="J895" s="133" t="s">
        <v>853</v>
      </c>
      <c r="K895" s="133">
        <v>0</v>
      </c>
      <c r="L895" s="183">
        <v>85.5</v>
      </c>
      <c r="M895" s="133">
        <f t="shared" si="30"/>
        <v>17.5</v>
      </c>
      <c r="N895" s="157"/>
      <c r="O895" s="158"/>
      <c r="P895" s="158"/>
      <c r="Q895" s="158"/>
      <c r="R895" s="158"/>
      <c r="S895" s="158"/>
      <c r="T895" s="158"/>
      <c r="U895" s="158"/>
      <c r="V895" s="158"/>
      <c r="W895" s="158"/>
      <c r="X895" s="158"/>
      <c r="Y895" s="158"/>
      <c r="Z895" s="158"/>
      <c r="AA895" s="158"/>
    </row>
    <row r="896" spans="1:27" ht="15.75" customHeight="1" x14ac:dyDescent="0.55000000000000004">
      <c r="A896" s="171">
        <v>144</v>
      </c>
      <c r="B896" s="171" t="s">
        <v>1819</v>
      </c>
      <c r="C896" s="171" t="s">
        <v>1820</v>
      </c>
      <c r="D896" s="172">
        <v>42420</v>
      </c>
      <c r="E896" s="120" t="s">
        <v>3354</v>
      </c>
      <c r="F896" s="131">
        <v>60</v>
      </c>
      <c r="G896" s="120">
        <v>1</v>
      </c>
      <c r="H896" s="131">
        <v>0</v>
      </c>
      <c r="I896" s="120">
        <v>0</v>
      </c>
      <c r="J896" s="133" t="s">
        <v>853</v>
      </c>
      <c r="K896" s="133">
        <v>0</v>
      </c>
      <c r="L896" s="117">
        <v>74.099999999999994</v>
      </c>
      <c r="M896" s="133">
        <f t="shared" si="30"/>
        <v>14.099999999999994</v>
      </c>
      <c r="N896" s="157"/>
      <c r="O896" s="158"/>
      <c r="P896" s="158"/>
      <c r="Q896" s="158"/>
      <c r="R896" s="158"/>
      <c r="S896" s="158"/>
      <c r="T896" s="158"/>
      <c r="U896" s="158"/>
      <c r="V896" s="158"/>
      <c r="W896" s="158"/>
      <c r="X896" s="158"/>
      <c r="Y896" s="158"/>
      <c r="Z896" s="158"/>
      <c r="AA896" s="158"/>
    </row>
    <row r="897" spans="1:27" ht="15.75" customHeight="1" x14ac:dyDescent="0.55000000000000004">
      <c r="A897" s="171">
        <v>144</v>
      </c>
      <c r="B897" s="171" t="s">
        <v>1819</v>
      </c>
      <c r="C897" s="171" t="s">
        <v>1820</v>
      </c>
      <c r="D897" s="172">
        <v>42420</v>
      </c>
      <c r="E897" s="120" t="s">
        <v>3355</v>
      </c>
      <c r="F897" s="131">
        <v>62</v>
      </c>
      <c r="G897" s="120">
        <v>1</v>
      </c>
      <c r="H897" s="131">
        <v>0</v>
      </c>
      <c r="I897" s="120">
        <v>0</v>
      </c>
      <c r="J897" s="133" t="s">
        <v>853</v>
      </c>
      <c r="K897" s="133">
        <v>0</v>
      </c>
      <c r="L897" s="117">
        <v>72.2</v>
      </c>
      <c r="M897" s="133">
        <f t="shared" si="30"/>
        <v>10.200000000000003</v>
      </c>
      <c r="N897" s="157"/>
      <c r="O897" s="158"/>
      <c r="P897" s="158"/>
      <c r="Q897" s="158"/>
      <c r="R897" s="158"/>
      <c r="S897" s="158"/>
      <c r="T897" s="158"/>
      <c r="U897" s="158"/>
      <c r="V897" s="158"/>
      <c r="W897" s="158"/>
      <c r="X897" s="158"/>
      <c r="Y897" s="158"/>
      <c r="Z897" s="158"/>
      <c r="AA897" s="158"/>
    </row>
    <row r="898" spans="1:27" ht="15.75" customHeight="1" x14ac:dyDescent="0.55000000000000004">
      <c r="A898" s="171">
        <v>144</v>
      </c>
      <c r="B898" s="171" t="s">
        <v>1819</v>
      </c>
      <c r="C898" s="171" t="s">
        <v>1820</v>
      </c>
      <c r="D898" s="172">
        <v>42420</v>
      </c>
      <c r="E898" s="120" t="s">
        <v>3356</v>
      </c>
      <c r="F898" s="131">
        <v>53</v>
      </c>
      <c r="G898" s="120">
        <v>0</v>
      </c>
      <c r="H898" s="131">
        <v>0</v>
      </c>
      <c r="I898" s="120">
        <v>0</v>
      </c>
      <c r="J898" s="133" t="s">
        <v>853</v>
      </c>
      <c r="K898" s="133">
        <v>0</v>
      </c>
      <c r="L898" s="117">
        <v>66.5</v>
      </c>
      <c r="M898" s="133">
        <f t="shared" si="30"/>
        <v>13.5</v>
      </c>
      <c r="N898" s="157"/>
      <c r="O898" s="158"/>
      <c r="P898" s="158"/>
      <c r="Q898" s="158"/>
      <c r="R898" s="158"/>
      <c r="S898" s="158"/>
      <c r="T898" s="158"/>
      <c r="U898" s="158"/>
      <c r="V898" s="158"/>
      <c r="W898" s="158"/>
      <c r="X898" s="158"/>
      <c r="Y898" s="158"/>
      <c r="Z898" s="158"/>
      <c r="AA898" s="158"/>
    </row>
    <row r="899" spans="1:27" ht="15.75" customHeight="1" x14ac:dyDescent="0.55000000000000004">
      <c r="A899" s="171">
        <v>144</v>
      </c>
      <c r="B899" s="171" t="s">
        <v>1819</v>
      </c>
      <c r="C899" s="171" t="s">
        <v>1820</v>
      </c>
      <c r="D899" s="172">
        <v>42420</v>
      </c>
      <c r="E899" s="120" t="s">
        <v>3357</v>
      </c>
      <c r="F899" s="131">
        <v>17</v>
      </c>
      <c r="G899" s="120">
        <v>0</v>
      </c>
      <c r="H899" s="131">
        <v>0</v>
      </c>
      <c r="I899" s="120">
        <v>0</v>
      </c>
      <c r="J899" s="133" t="s">
        <v>853</v>
      </c>
      <c r="K899" s="133">
        <v>0</v>
      </c>
      <c r="L899" s="117">
        <v>74.7</v>
      </c>
      <c r="M899" s="133">
        <f t="shared" si="30"/>
        <v>57.7</v>
      </c>
      <c r="N899" s="157"/>
      <c r="O899" s="158"/>
      <c r="P899" s="158"/>
      <c r="Q899" s="158"/>
      <c r="R899" s="158"/>
      <c r="S899" s="158"/>
      <c r="T899" s="158"/>
      <c r="U899" s="158"/>
      <c r="V899" s="158"/>
      <c r="W899" s="158"/>
      <c r="X899" s="158"/>
      <c r="Y899" s="158"/>
      <c r="Z899" s="158"/>
      <c r="AA899" s="158"/>
    </row>
    <row r="900" spans="1:27" ht="15.75" customHeight="1" x14ac:dyDescent="0.55000000000000004">
      <c r="A900" s="164" t="s">
        <v>1825</v>
      </c>
      <c r="B900" s="164"/>
      <c r="C900" s="164"/>
      <c r="D900" s="165">
        <v>42438</v>
      </c>
      <c r="E900" s="120" t="s">
        <v>3358</v>
      </c>
      <c r="F900" s="131">
        <v>26</v>
      </c>
      <c r="G900" s="120">
        <v>1</v>
      </c>
      <c r="H900" s="131">
        <v>1</v>
      </c>
      <c r="I900" s="120"/>
      <c r="J900" s="133"/>
      <c r="K900" s="133"/>
      <c r="L900" s="117">
        <v>73.599999999999994</v>
      </c>
      <c r="M900" s="133">
        <f t="shared" si="30"/>
        <v>47.599999999999994</v>
      </c>
      <c r="N900" s="157"/>
      <c r="O900" s="158"/>
      <c r="P900" s="158"/>
      <c r="Q900" s="158"/>
      <c r="R900" s="158"/>
      <c r="S900" s="158"/>
      <c r="T900" s="158"/>
      <c r="U900" s="158"/>
      <c r="V900" s="158"/>
      <c r="W900" s="158"/>
      <c r="X900" s="158"/>
      <c r="Y900" s="158"/>
      <c r="Z900" s="158"/>
      <c r="AA900" s="158"/>
    </row>
    <row r="901" spans="1:27" ht="15.75" customHeight="1" x14ac:dyDescent="0.55000000000000004">
      <c r="A901" s="164" t="s">
        <v>1825</v>
      </c>
      <c r="B901" s="164"/>
      <c r="C901" s="164"/>
      <c r="D901" s="165">
        <v>42438</v>
      </c>
      <c r="E901" s="120" t="s">
        <v>3359</v>
      </c>
      <c r="F901" s="131">
        <v>27</v>
      </c>
      <c r="G901" s="120">
        <v>1</v>
      </c>
      <c r="H901" s="131">
        <v>1</v>
      </c>
      <c r="I901" s="120"/>
      <c r="J901" s="133"/>
      <c r="K901" s="133"/>
      <c r="L901" s="117">
        <v>73.599999999999994</v>
      </c>
      <c r="M901" s="133">
        <f t="shared" si="30"/>
        <v>46.599999999999994</v>
      </c>
      <c r="N901" s="157"/>
      <c r="O901" s="158"/>
      <c r="P901" s="158"/>
      <c r="Q901" s="158"/>
      <c r="R901" s="158"/>
      <c r="S901" s="158"/>
      <c r="T901" s="158"/>
      <c r="U901" s="158"/>
      <c r="V901" s="158"/>
      <c r="W901" s="158"/>
      <c r="X901" s="158"/>
      <c r="Y901" s="158"/>
      <c r="Z901" s="158"/>
      <c r="AA901" s="158"/>
    </row>
    <row r="902" spans="1:27" ht="15.75" customHeight="1" x14ac:dyDescent="0.55000000000000004">
      <c r="A902" s="164" t="s">
        <v>1825</v>
      </c>
      <c r="B902" s="164"/>
      <c r="C902" s="164"/>
      <c r="D902" s="165">
        <v>42438</v>
      </c>
      <c r="E902" s="120" t="s">
        <v>3360</v>
      </c>
      <c r="F902" s="131">
        <v>25</v>
      </c>
      <c r="G902" s="120">
        <v>1</v>
      </c>
      <c r="H902" s="131">
        <v>1</v>
      </c>
      <c r="I902" s="120"/>
      <c r="J902" s="133"/>
      <c r="K902" s="133"/>
      <c r="L902" s="117">
        <v>73.599999999999994</v>
      </c>
      <c r="M902" s="133">
        <f t="shared" si="30"/>
        <v>48.599999999999994</v>
      </c>
      <c r="N902" s="157"/>
      <c r="O902" s="158"/>
      <c r="P902" s="158"/>
      <c r="Q902" s="158"/>
      <c r="R902" s="158"/>
      <c r="S902" s="158"/>
      <c r="T902" s="158"/>
      <c r="U902" s="158"/>
      <c r="V902" s="158"/>
      <c r="W902" s="158"/>
      <c r="X902" s="158"/>
      <c r="Y902" s="158"/>
      <c r="Z902" s="158"/>
      <c r="AA902" s="158"/>
    </row>
    <row r="903" spans="1:27" ht="15.75" customHeight="1" x14ac:dyDescent="0.55000000000000004">
      <c r="A903" s="164" t="s">
        <v>1825</v>
      </c>
      <c r="B903" s="164"/>
      <c r="C903" s="164"/>
      <c r="D903" s="165">
        <v>42438</v>
      </c>
      <c r="E903" s="120" t="s">
        <v>3361</v>
      </c>
      <c r="F903" s="131">
        <v>35</v>
      </c>
      <c r="G903" s="120">
        <v>0</v>
      </c>
      <c r="H903" s="131">
        <v>1</v>
      </c>
      <c r="I903" s="120"/>
      <c r="J903" s="133"/>
      <c r="K903" s="133"/>
      <c r="L903" s="117">
        <v>63.8</v>
      </c>
      <c r="M903" s="133">
        <f t="shared" si="30"/>
        <v>28.799999999999997</v>
      </c>
      <c r="N903" s="157"/>
      <c r="O903" s="158"/>
      <c r="P903" s="158"/>
      <c r="Q903" s="158"/>
      <c r="R903" s="158"/>
      <c r="S903" s="158"/>
      <c r="T903" s="158"/>
      <c r="U903" s="158"/>
      <c r="V903" s="158"/>
      <c r="W903" s="158"/>
      <c r="X903" s="158"/>
      <c r="Y903" s="158"/>
      <c r="Z903" s="158"/>
      <c r="AA903" s="158"/>
    </row>
    <row r="904" spans="1:27" ht="15.75" customHeight="1" x14ac:dyDescent="0.55000000000000004">
      <c r="A904" s="164" t="s">
        <v>1825</v>
      </c>
      <c r="B904" s="164"/>
      <c r="C904" s="164"/>
      <c r="D904" s="165">
        <v>42438</v>
      </c>
      <c r="E904" s="120" t="s">
        <v>3362</v>
      </c>
      <c r="F904" s="131">
        <v>37</v>
      </c>
      <c r="G904" s="120">
        <v>1</v>
      </c>
      <c r="H904" s="131">
        <v>1</v>
      </c>
      <c r="I904" s="120"/>
      <c r="J904" s="133"/>
      <c r="K904" s="133"/>
      <c r="L904" s="117">
        <v>63.8</v>
      </c>
      <c r="M904" s="133">
        <f t="shared" si="30"/>
        <v>26.799999999999997</v>
      </c>
      <c r="N904" s="157"/>
      <c r="O904" s="158"/>
      <c r="P904" s="158"/>
      <c r="Q904" s="158"/>
      <c r="R904" s="158"/>
      <c r="S904" s="158"/>
      <c r="T904" s="158"/>
      <c r="U904" s="158"/>
      <c r="V904" s="158"/>
      <c r="W904" s="158"/>
      <c r="X904" s="158"/>
      <c r="Y904" s="158"/>
      <c r="Z904" s="158"/>
      <c r="AA904" s="158"/>
    </row>
    <row r="905" spans="1:27" ht="15.75" customHeight="1" x14ac:dyDescent="0.55000000000000004">
      <c r="A905" s="166">
        <v>147</v>
      </c>
      <c r="B905" s="166" t="s">
        <v>1828</v>
      </c>
      <c r="C905" s="166" t="s">
        <v>1649</v>
      </c>
      <c r="D905" s="167">
        <v>42533</v>
      </c>
      <c r="E905" s="120" t="s">
        <v>3363</v>
      </c>
      <c r="F905" s="131">
        <v>23</v>
      </c>
      <c r="G905" s="120">
        <v>0</v>
      </c>
      <c r="H905" s="131">
        <v>2</v>
      </c>
      <c r="I905" s="120">
        <v>0</v>
      </c>
      <c r="J905" s="133" t="s">
        <v>853</v>
      </c>
      <c r="K905" s="133">
        <v>0</v>
      </c>
      <c r="L905" s="117">
        <v>72.5</v>
      </c>
      <c r="M905" s="133">
        <f t="shared" si="30"/>
        <v>49.5</v>
      </c>
      <c r="N905" s="157"/>
      <c r="O905" s="158"/>
      <c r="P905" s="158"/>
      <c r="Q905" s="158"/>
      <c r="R905" s="158"/>
      <c r="S905" s="158"/>
      <c r="T905" s="158"/>
      <c r="U905" s="158"/>
      <c r="V905" s="158"/>
      <c r="W905" s="158"/>
      <c r="X905" s="158"/>
      <c r="Y905" s="158"/>
      <c r="Z905" s="158"/>
      <c r="AA905" s="158"/>
    </row>
    <row r="906" spans="1:27" ht="15.75" customHeight="1" x14ac:dyDescent="0.55000000000000004">
      <c r="A906" s="166">
        <v>147</v>
      </c>
      <c r="B906" s="166" t="s">
        <v>1828</v>
      </c>
      <c r="C906" s="166" t="s">
        <v>1649</v>
      </c>
      <c r="D906" s="167">
        <v>42533</v>
      </c>
      <c r="E906" s="120" t="s">
        <v>3364</v>
      </c>
      <c r="F906" s="131">
        <v>25</v>
      </c>
      <c r="G906" s="120">
        <v>1</v>
      </c>
      <c r="H906" s="120">
        <v>2</v>
      </c>
      <c r="I906" s="120">
        <v>0</v>
      </c>
      <c r="J906" s="133" t="s">
        <v>853</v>
      </c>
      <c r="K906" s="133">
        <v>0</v>
      </c>
      <c r="L906" s="117">
        <v>78.8</v>
      </c>
      <c r="M906" s="133">
        <f t="shared" si="30"/>
        <v>53.8</v>
      </c>
      <c r="N906" s="157"/>
      <c r="O906" s="158"/>
      <c r="P906" s="158"/>
      <c r="Q906" s="158"/>
      <c r="R906" s="158"/>
      <c r="S906" s="158"/>
      <c r="T906" s="158"/>
      <c r="U906" s="158"/>
      <c r="V906" s="158"/>
      <c r="W906" s="158"/>
      <c r="X906" s="158"/>
      <c r="Y906" s="158"/>
      <c r="Z906" s="158"/>
      <c r="AA906" s="158"/>
    </row>
    <row r="907" spans="1:27" ht="15.75" customHeight="1" x14ac:dyDescent="0.55000000000000004">
      <c r="A907" s="166">
        <v>147</v>
      </c>
      <c r="B907" s="166" t="s">
        <v>1828</v>
      </c>
      <c r="C907" s="166" t="s">
        <v>1649</v>
      </c>
      <c r="D907" s="167">
        <v>42533</v>
      </c>
      <c r="E907" s="120" t="s">
        <v>3365</v>
      </c>
      <c r="F907" s="131">
        <v>26</v>
      </c>
      <c r="G907" s="120">
        <v>0</v>
      </c>
      <c r="H907" s="131">
        <v>2</v>
      </c>
      <c r="I907" s="120">
        <v>0</v>
      </c>
      <c r="J907" s="133" t="s">
        <v>853</v>
      </c>
      <c r="K907" s="133">
        <v>0</v>
      </c>
      <c r="L907" s="117">
        <v>71.8</v>
      </c>
      <c r="M907" s="133">
        <f t="shared" si="30"/>
        <v>45.8</v>
      </c>
      <c r="N907" s="157"/>
      <c r="O907" s="158"/>
      <c r="P907" s="158"/>
      <c r="Q907" s="158"/>
      <c r="R907" s="158"/>
      <c r="S907" s="158"/>
      <c r="T907" s="158"/>
      <c r="U907" s="158"/>
      <c r="V907" s="158"/>
      <c r="W907" s="158"/>
      <c r="X907" s="158"/>
      <c r="Y907" s="158"/>
      <c r="Z907" s="158"/>
      <c r="AA907" s="158"/>
    </row>
    <row r="908" spans="1:27" ht="15.75" customHeight="1" x14ac:dyDescent="0.55000000000000004">
      <c r="A908" s="166">
        <v>147</v>
      </c>
      <c r="B908" s="166" t="s">
        <v>1828</v>
      </c>
      <c r="C908" s="166" t="s">
        <v>1649</v>
      </c>
      <c r="D908" s="167">
        <v>42533</v>
      </c>
      <c r="E908" s="120" t="s">
        <v>3366</v>
      </c>
      <c r="F908" s="131">
        <v>33</v>
      </c>
      <c r="G908" s="120">
        <v>0</v>
      </c>
      <c r="H908" s="131">
        <v>2</v>
      </c>
      <c r="I908" s="120">
        <v>0</v>
      </c>
      <c r="J908" s="133" t="s">
        <v>853</v>
      </c>
      <c r="K908" s="133">
        <v>0</v>
      </c>
      <c r="L908" s="117">
        <v>70</v>
      </c>
      <c r="M908" s="133">
        <f t="shared" si="30"/>
        <v>37</v>
      </c>
      <c r="N908" s="157"/>
      <c r="O908" s="158"/>
      <c r="P908" s="158"/>
      <c r="Q908" s="158"/>
      <c r="R908" s="158"/>
      <c r="S908" s="158"/>
      <c r="T908" s="158"/>
      <c r="U908" s="158"/>
      <c r="V908" s="158"/>
      <c r="W908" s="158"/>
      <c r="X908" s="158"/>
      <c r="Y908" s="158"/>
      <c r="Z908" s="158"/>
      <c r="AA908" s="158"/>
    </row>
    <row r="909" spans="1:27" ht="15.75" customHeight="1" x14ac:dyDescent="0.55000000000000004">
      <c r="A909" s="166">
        <v>147</v>
      </c>
      <c r="B909" s="166" t="s">
        <v>1828</v>
      </c>
      <c r="C909" s="166" t="s">
        <v>1649</v>
      </c>
      <c r="D909" s="167">
        <v>42533</v>
      </c>
      <c r="E909" s="120" t="s">
        <v>3367</v>
      </c>
      <c r="F909" s="131">
        <v>21</v>
      </c>
      <c r="G909" s="120">
        <v>0</v>
      </c>
      <c r="H909" s="131">
        <v>2</v>
      </c>
      <c r="I909" s="120">
        <v>0</v>
      </c>
      <c r="J909" s="133" t="s">
        <v>853</v>
      </c>
      <c r="K909" s="133">
        <v>0</v>
      </c>
      <c r="L909" s="117">
        <v>72.5</v>
      </c>
      <c r="M909" s="133">
        <f t="shared" si="30"/>
        <v>51.5</v>
      </c>
      <c r="N909" s="157"/>
      <c r="O909" s="158"/>
      <c r="P909" s="158"/>
      <c r="Q909" s="158"/>
      <c r="R909" s="158"/>
      <c r="S909" s="158"/>
      <c r="T909" s="158"/>
      <c r="U909" s="158"/>
      <c r="V909" s="158"/>
      <c r="W909" s="158"/>
      <c r="X909" s="158"/>
      <c r="Y909" s="158"/>
      <c r="Z909" s="158"/>
      <c r="AA909" s="158"/>
    </row>
    <row r="910" spans="1:27" ht="15.75" customHeight="1" x14ac:dyDescent="0.55000000000000004">
      <c r="A910" s="166">
        <v>147</v>
      </c>
      <c r="B910" s="166" t="s">
        <v>1828</v>
      </c>
      <c r="C910" s="166" t="s">
        <v>1649</v>
      </c>
      <c r="D910" s="167">
        <v>42533</v>
      </c>
      <c r="E910" s="120" t="s">
        <v>3368</v>
      </c>
      <c r="F910" s="131">
        <v>33</v>
      </c>
      <c r="G910" s="120">
        <v>0</v>
      </c>
      <c r="H910" s="131">
        <v>2</v>
      </c>
      <c r="I910" s="120">
        <v>0</v>
      </c>
      <c r="J910" s="133" t="s">
        <v>853</v>
      </c>
      <c r="K910" s="133">
        <v>0</v>
      </c>
      <c r="L910" s="117">
        <v>70</v>
      </c>
      <c r="M910" s="133">
        <f t="shared" si="30"/>
        <v>37</v>
      </c>
      <c r="N910" s="157"/>
      <c r="O910" s="158"/>
      <c r="P910" s="158"/>
      <c r="Q910" s="158"/>
      <c r="R910" s="158"/>
      <c r="S910" s="158"/>
      <c r="T910" s="158"/>
      <c r="U910" s="158"/>
      <c r="V910" s="158"/>
      <c r="W910" s="158"/>
      <c r="X910" s="158"/>
      <c r="Y910" s="158"/>
      <c r="Z910" s="158"/>
      <c r="AA910" s="158"/>
    </row>
    <row r="911" spans="1:27" ht="15.75" customHeight="1" x14ac:dyDescent="0.55000000000000004">
      <c r="A911" s="166">
        <v>147</v>
      </c>
      <c r="B911" s="166" t="s">
        <v>1828</v>
      </c>
      <c r="C911" s="166" t="s">
        <v>1649</v>
      </c>
      <c r="D911" s="167">
        <v>42533</v>
      </c>
      <c r="E911" s="120" t="s">
        <v>3369</v>
      </c>
      <c r="F911" s="131">
        <v>29</v>
      </c>
      <c r="G911" s="120">
        <v>0</v>
      </c>
      <c r="H911" s="120">
        <v>1</v>
      </c>
      <c r="I911" s="120">
        <v>0</v>
      </c>
      <c r="J911" s="133" t="s">
        <v>853</v>
      </c>
      <c r="K911" s="133">
        <v>0</v>
      </c>
      <c r="L911" s="117">
        <v>64.5</v>
      </c>
      <c r="M911" s="133">
        <f t="shared" si="30"/>
        <v>35.5</v>
      </c>
      <c r="N911" s="157"/>
      <c r="O911" s="158"/>
      <c r="P911" s="158"/>
      <c r="Q911" s="158"/>
      <c r="R911" s="158"/>
      <c r="S911" s="158"/>
      <c r="T911" s="158"/>
      <c r="U911" s="158"/>
      <c r="V911" s="158"/>
      <c r="W911" s="158"/>
      <c r="X911" s="158"/>
      <c r="Y911" s="158"/>
      <c r="Z911" s="158"/>
      <c r="AA911" s="158"/>
    </row>
    <row r="912" spans="1:27" ht="15.75" customHeight="1" x14ac:dyDescent="0.55000000000000004">
      <c r="A912" s="166">
        <v>147</v>
      </c>
      <c r="B912" s="166" t="s">
        <v>1828</v>
      </c>
      <c r="C912" s="166" t="s">
        <v>1649</v>
      </c>
      <c r="D912" s="167">
        <v>42533</v>
      </c>
      <c r="E912" s="120" t="s">
        <v>3370</v>
      </c>
      <c r="F912" s="131">
        <v>29</v>
      </c>
      <c r="G912" s="120">
        <v>0</v>
      </c>
      <c r="H912" s="120">
        <v>1</v>
      </c>
      <c r="I912" s="120">
        <v>0</v>
      </c>
      <c r="J912" s="133" t="s">
        <v>853</v>
      </c>
      <c r="K912" s="133">
        <v>0</v>
      </c>
      <c r="L912" s="117">
        <v>64.5</v>
      </c>
      <c r="M912" s="133">
        <f t="shared" si="30"/>
        <v>35.5</v>
      </c>
      <c r="N912" s="157"/>
      <c r="O912" s="158"/>
      <c r="P912" s="158"/>
      <c r="Q912" s="158"/>
      <c r="R912" s="158"/>
      <c r="S912" s="158"/>
      <c r="T912" s="158"/>
      <c r="U912" s="158"/>
      <c r="V912" s="158"/>
      <c r="W912" s="158"/>
      <c r="X912" s="158"/>
      <c r="Y912" s="158"/>
      <c r="Z912" s="158"/>
      <c r="AA912" s="158"/>
    </row>
    <row r="913" spans="1:27" ht="15.75" customHeight="1" x14ac:dyDescent="0.55000000000000004">
      <c r="A913" s="166">
        <v>147</v>
      </c>
      <c r="B913" s="166" t="s">
        <v>1828</v>
      </c>
      <c r="C913" s="166" t="s">
        <v>1649</v>
      </c>
      <c r="D913" s="167">
        <v>42533</v>
      </c>
      <c r="E913" s="120" t="s">
        <v>3371</v>
      </c>
      <c r="F913" s="131">
        <v>24</v>
      </c>
      <c r="G913" s="120">
        <v>0</v>
      </c>
      <c r="H913" s="131">
        <v>2</v>
      </c>
      <c r="I913" s="120">
        <v>0</v>
      </c>
      <c r="J913" s="133" t="s">
        <v>853</v>
      </c>
      <c r="K913" s="133">
        <v>0</v>
      </c>
      <c r="L913" s="117">
        <v>71.8</v>
      </c>
      <c r="M913" s="133">
        <f t="shared" si="30"/>
        <v>47.8</v>
      </c>
      <c r="N913" s="157"/>
      <c r="O913" s="158"/>
      <c r="P913" s="158"/>
      <c r="Q913" s="158"/>
      <c r="R913" s="158"/>
      <c r="S913" s="158"/>
      <c r="T913" s="158"/>
      <c r="U913" s="158"/>
      <c r="V913" s="158"/>
      <c r="W913" s="158"/>
      <c r="X913" s="158"/>
      <c r="Y913" s="158"/>
      <c r="Z913" s="158"/>
      <c r="AA913" s="158"/>
    </row>
    <row r="914" spans="1:27" ht="15.75" customHeight="1" x14ac:dyDescent="0.55000000000000004">
      <c r="A914" s="166">
        <v>147</v>
      </c>
      <c r="B914" s="166" t="s">
        <v>1828</v>
      </c>
      <c r="C914" s="166" t="s">
        <v>1649</v>
      </c>
      <c r="D914" s="167">
        <v>42533</v>
      </c>
      <c r="E914" s="120" t="s">
        <v>3372</v>
      </c>
      <c r="F914" s="131">
        <v>28</v>
      </c>
      <c r="G914" s="120">
        <v>0</v>
      </c>
      <c r="H914" s="131">
        <v>2</v>
      </c>
      <c r="I914" s="120">
        <v>0</v>
      </c>
      <c r="J914" s="133" t="s">
        <v>853</v>
      </c>
      <c r="K914" s="133">
        <v>0</v>
      </c>
      <c r="L914" s="117">
        <v>71.8</v>
      </c>
      <c r="M914" s="133">
        <f t="shared" si="30"/>
        <v>43.8</v>
      </c>
      <c r="N914" s="157"/>
      <c r="O914" s="158"/>
      <c r="P914" s="158"/>
      <c r="Q914" s="158"/>
      <c r="R914" s="158"/>
      <c r="S914" s="158"/>
      <c r="T914" s="158"/>
      <c r="U914" s="158"/>
      <c r="V914" s="158"/>
      <c r="W914" s="158"/>
      <c r="X914" s="158"/>
      <c r="Y914" s="158"/>
      <c r="Z914" s="158"/>
      <c r="AA914" s="158"/>
    </row>
    <row r="915" spans="1:27" ht="15.75" customHeight="1" x14ac:dyDescent="0.55000000000000004">
      <c r="A915" s="166">
        <v>147</v>
      </c>
      <c r="B915" s="166" t="s">
        <v>1828</v>
      </c>
      <c r="C915" s="166" t="s">
        <v>1649</v>
      </c>
      <c r="D915" s="167">
        <v>42533</v>
      </c>
      <c r="E915" s="120" t="s">
        <v>3373</v>
      </c>
      <c r="F915" s="131">
        <v>31</v>
      </c>
      <c r="G915" s="120">
        <v>0</v>
      </c>
      <c r="H915" s="131">
        <v>2</v>
      </c>
      <c r="I915" s="120">
        <v>0</v>
      </c>
      <c r="J915" s="133" t="s">
        <v>853</v>
      </c>
      <c r="K915" s="133">
        <v>0</v>
      </c>
      <c r="L915" s="117">
        <v>71.8</v>
      </c>
      <c r="M915" s="133">
        <f t="shared" si="30"/>
        <v>40.799999999999997</v>
      </c>
      <c r="N915" s="157"/>
      <c r="O915" s="158"/>
      <c r="P915" s="158"/>
      <c r="Q915" s="158"/>
      <c r="R915" s="158"/>
      <c r="S915" s="158"/>
      <c r="T915" s="158"/>
      <c r="U915" s="158"/>
      <c r="V915" s="158"/>
      <c r="W915" s="158"/>
      <c r="X915" s="158"/>
      <c r="Y915" s="158"/>
      <c r="Z915" s="158"/>
      <c r="AA915" s="158"/>
    </row>
    <row r="916" spans="1:27" ht="15.75" customHeight="1" x14ac:dyDescent="0.55000000000000004">
      <c r="A916" s="166">
        <v>147</v>
      </c>
      <c r="B916" s="166" t="s">
        <v>1828</v>
      </c>
      <c r="C916" s="166" t="s">
        <v>1649</v>
      </c>
      <c r="D916" s="167">
        <v>42533</v>
      </c>
      <c r="E916" s="120" t="s">
        <v>3374</v>
      </c>
      <c r="F916" s="131">
        <v>25</v>
      </c>
      <c r="G916" s="120">
        <v>0</v>
      </c>
      <c r="H916" s="131">
        <v>2</v>
      </c>
      <c r="I916" s="120">
        <v>0</v>
      </c>
      <c r="J916" s="133" t="s">
        <v>853</v>
      </c>
      <c r="K916" s="133">
        <v>0</v>
      </c>
      <c r="L916" s="117">
        <v>71.8</v>
      </c>
      <c r="M916" s="133">
        <f t="shared" si="30"/>
        <v>46.8</v>
      </c>
      <c r="N916" s="157"/>
      <c r="O916" s="158"/>
      <c r="P916" s="158"/>
      <c r="Q916" s="158"/>
      <c r="R916" s="158"/>
      <c r="S916" s="158"/>
      <c r="T916" s="158"/>
      <c r="U916" s="158"/>
      <c r="V916" s="158"/>
      <c r="W916" s="158"/>
      <c r="X916" s="158"/>
      <c r="Y916" s="158"/>
      <c r="Z916" s="158"/>
      <c r="AA916" s="158"/>
    </row>
    <row r="917" spans="1:27" ht="15.75" customHeight="1" x14ac:dyDescent="0.55000000000000004">
      <c r="A917" s="166">
        <v>147</v>
      </c>
      <c r="B917" s="166" t="s">
        <v>1828</v>
      </c>
      <c r="C917" s="166" t="s">
        <v>1649</v>
      </c>
      <c r="D917" s="167">
        <v>42533</v>
      </c>
      <c r="E917" s="120" t="s">
        <v>3375</v>
      </c>
      <c r="F917" s="131">
        <v>39</v>
      </c>
      <c r="G917" s="120">
        <v>0</v>
      </c>
      <c r="H917" s="131">
        <v>2</v>
      </c>
      <c r="I917" s="120">
        <v>0</v>
      </c>
      <c r="J917" s="133" t="s">
        <v>853</v>
      </c>
      <c r="K917" s="133">
        <v>0</v>
      </c>
      <c r="L917" s="117">
        <v>70</v>
      </c>
      <c r="M917" s="133">
        <f t="shared" si="30"/>
        <v>31</v>
      </c>
      <c r="N917" s="157"/>
      <c r="O917" s="158"/>
      <c r="P917" s="158"/>
      <c r="Q917" s="158"/>
      <c r="R917" s="158"/>
      <c r="S917" s="158"/>
      <c r="T917" s="158"/>
      <c r="U917" s="158"/>
      <c r="V917" s="158"/>
      <c r="W917" s="158"/>
      <c r="X917" s="158"/>
      <c r="Y917" s="158"/>
      <c r="Z917" s="158"/>
      <c r="AA917" s="158"/>
    </row>
    <row r="918" spans="1:27" ht="15.75" customHeight="1" x14ac:dyDescent="0.55000000000000004">
      <c r="A918" s="166">
        <v>147</v>
      </c>
      <c r="B918" s="166" t="s">
        <v>1828</v>
      </c>
      <c r="C918" s="166" t="s">
        <v>1649</v>
      </c>
      <c r="D918" s="167">
        <v>42533</v>
      </c>
      <c r="E918" s="120" t="s">
        <v>3376</v>
      </c>
      <c r="F918" s="131">
        <v>21</v>
      </c>
      <c r="G918" s="120">
        <v>0</v>
      </c>
      <c r="H918" s="131">
        <v>0</v>
      </c>
      <c r="I918" s="120">
        <v>0</v>
      </c>
      <c r="J918" s="133" t="s">
        <v>853</v>
      </c>
      <c r="K918" s="133">
        <v>0</v>
      </c>
      <c r="L918" s="117">
        <v>73.400000000000006</v>
      </c>
      <c r="M918" s="133">
        <f t="shared" si="30"/>
        <v>52.400000000000006</v>
      </c>
      <c r="N918" s="157"/>
      <c r="O918" s="158"/>
      <c r="P918" s="158"/>
      <c r="Q918" s="158"/>
      <c r="R918" s="158"/>
      <c r="S918" s="158"/>
      <c r="T918" s="158"/>
      <c r="U918" s="158"/>
      <c r="V918" s="158"/>
      <c r="W918" s="158"/>
      <c r="X918" s="158"/>
      <c r="Y918" s="158"/>
      <c r="Z918" s="158"/>
      <c r="AA918" s="158"/>
    </row>
    <row r="919" spans="1:27" ht="15.75" customHeight="1" x14ac:dyDescent="0.55000000000000004">
      <c r="A919" s="166">
        <v>147</v>
      </c>
      <c r="B919" s="166" t="s">
        <v>1828</v>
      </c>
      <c r="C919" s="166" t="s">
        <v>1649</v>
      </c>
      <c r="D919" s="167">
        <v>42533</v>
      </c>
      <c r="E919" s="120" t="s">
        <v>3377</v>
      </c>
      <c r="F919" s="131">
        <v>25</v>
      </c>
      <c r="G919" s="120">
        <v>0</v>
      </c>
      <c r="H919" s="131">
        <v>1</v>
      </c>
      <c r="I919" s="120">
        <v>0</v>
      </c>
      <c r="J919" s="133" t="s">
        <v>853</v>
      </c>
      <c r="K919" s="133">
        <v>0</v>
      </c>
      <c r="L919" s="117">
        <v>64.5</v>
      </c>
      <c r="M919" s="133">
        <f t="shared" si="30"/>
        <v>39.5</v>
      </c>
      <c r="N919" s="157"/>
      <c r="O919" s="158"/>
      <c r="P919" s="158"/>
      <c r="Q919" s="158"/>
      <c r="R919" s="158"/>
      <c r="S919" s="158"/>
      <c r="T919" s="158"/>
      <c r="U919" s="158"/>
      <c r="V919" s="158"/>
      <c r="W919" s="158"/>
      <c r="X919" s="158"/>
      <c r="Y919" s="158"/>
      <c r="Z919" s="158"/>
      <c r="AA919" s="158"/>
    </row>
    <row r="920" spans="1:27" ht="15.75" customHeight="1" x14ac:dyDescent="0.55000000000000004">
      <c r="A920" s="166">
        <v>147</v>
      </c>
      <c r="B920" s="166" t="s">
        <v>1828</v>
      </c>
      <c r="C920" s="166" t="s">
        <v>1649</v>
      </c>
      <c r="D920" s="167">
        <v>42533</v>
      </c>
      <c r="E920" s="120" t="s">
        <v>3378</v>
      </c>
      <c r="F920" s="131">
        <v>50</v>
      </c>
      <c r="G920" s="120">
        <v>0</v>
      </c>
      <c r="H920" s="120">
        <v>2</v>
      </c>
      <c r="I920" s="120">
        <v>0</v>
      </c>
      <c r="J920" s="133" t="s">
        <v>853</v>
      </c>
      <c r="K920" s="133">
        <v>0</v>
      </c>
      <c r="L920" s="117">
        <v>67.099999999999994</v>
      </c>
      <c r="M920" s="133">
        <f t="shared" si="30"/>
        <v>17.099999999999994</v>
      </c>
      <c r="N920" s="157"/>
      <c r="O920" s="158"/>
      <c r="P920" s="158"/>
      <c r="Q920" s="158"/>
      <c r="R920" s="158"/>
      <c r="S920" s="158"/>
      <c r="T920" s="158"/>
      <c r="U920" s="158"/>
      <c r="V920" s="158"/>
      <c r="W920" s="158"/>
      <c r="X920" s="158"/>
      <c r="Y920" s="158"/>
      <c r="Z920" s="158"/>
      <c r="AA920" s="158"/>
    </row>
    <row r="921" spans="1:27" ht="15.75" customHeight="1" x14ac:dyDescent="0.55000000000000004">
      <c r="A921" s="166">
        <v>147</v>
      </c>
      <c r="B921" s="166" t="s">
        <v>1828</v>
      </c>
      <c r="C921" s="166" t="s">
        <v>1649</v>
      </c>
      <c r="D921" s="167">
        <v>42533</v>
      </c>
      <c r="E921" s="120" t="s">
        <v>3379</v>
      </c>
      <c r="F921" s="131">
        <v>32</v>
      </c>
      <c r="G921" s="120">
        <v>1</v>
      </c>
      <c r="H921" s="131">
        <v>1</v>
      </c>
      <c r="I921" s="120">
        <v>0</v>
      </c>
      <c r="J921" s="133" t="s">
        <v>853</v>
      </c>
      <c r="K921" s="133">
        <v>0</v>
      </c>
      <c r="L921" s="117">
        <v>72.5</v>
      </c>
      <c r="M921" s="133">
        <f t="shared" si="30"/>
        <v>40.5</v>
      </c>
      <c r="N921" s="157"/>
      <c r="O921" s="158"/>
      <c r="P921" s="158"/>
      <c r="Q921" s="158"/>
      <c r="R921" s="158"/>
      <c r="S921" s="158"/>
      <c r="T921" s="158"/>
      <c r="U921" s="158"/>
      <c r="V921" s="158"/>
      <c r="W921" s="158"/>
      <c r="X921" s="158"/>
      <c r="Y921" s="158"/>
      <c r="Z921" s="158"/>
      <c r="AA921" s="158"/>
    </row>
    <row r="922" spans="1:27" ht="15.75" customHeight="1" x14ac:dyDescent="0.55000000000000004">
      <c r="A922" s="166">
        <v>147</v>
      </c>
      <c r="B922" s="166" t="s">
        <v>1828</v>
      </c>
      <c r="C922" s="166" t="s">
        <v>1649</v>
      </c>
      <c r="D922" s="167">
        <v>42533</v>
      </c>
      <c r="E922" s="120" t="s">
        <v>3380</v>
      </c>
      <c r="F922" s="131">
        <v>26</v>
      </c>
      <c r="G922" s="120">
        <v>1</v>
      </c>
      <c r="H922" s="131">
        <v>2</v>
      </c>
      <c r="I922" s="120">
        <v>0</v>
      </c>
      <c r="J922" s="133" t="s">
        <v>853</v>
      </c>
      <c r="K922" s="133">
        <v>0</v>
      </c>
      <c r="L922" s="117">
        <v>78.8</v>
      </c>
      <c r="M922" s="133">
        <f t="shared" si="30"/>
        <v>52.8</v>
      </c>
      <c r="N922" s="157"/>
      <c r="O922" s="158"/>
      <c r="P922" s="158"/>
      <c r="Q922" s="158"/>
      <c r="R922" s="158"/>
      <c r="S922" s="158"/>
      <c r="T922" s="158"/>
      <c r="U922" s="158"/>
      <c r="V922" s="158"/>
      <c r="W922" s="158"/>
      <c r="X922" s="158"/>
      <c r="Y922" s="158"/>
      <c r="Z922" s="158"/>
      <c r="AA922" s="158"/>
    </row>
    <row r="923" spans="1:27" ht="15.75" customHeight="1" x14ac:dyDescent="0.55000000000000004">
      <c r="A923" s="166">
        <v>147</v>
      </c>
      <c r="B923" s="166" t="s">
        <v>1828</v>
      </c>
      <c r="C923" s="166" t="s">
        <v>1649</v>
      </c>
      <c r="D923" s="167">
        <v>42533</v>
      </c>
      <c r="E923" s="120" t="s">
        <v>3381</v>
      </c>
      <c r="F923" s="131">
        <v>22</v>
      </c>
      <c r="G923" s="120">
        <v>0</v>
      </c>
      <c r="H923" s="120">
        <v>2</v>
      </c>
      <c r="I923" s="120">
        <v>0</v>
      </c>
      <c r="J923" s="133" t="s">
        <v>853</v>
      </c>
      <c r="K923" s="133">
        <v>0</v>
      </c>
      <c r="L923" s="117">
        <v>72.5</v>
      </c>
      <c r="M923" s="133">
        <f t="shared" si="30"/>
        <v>50.5</v>
      </c>
      <c r="N923" s="157"/>
      <c r="O923" s="158"/>
      <c r="P923" s="158"/>
      <c r="Q923" s="158"/>
      <c r="R923" s="158"/>
      <c r="S923" s="158"/>
      <c r="T923" s="158"/>
      <c r="U923" s="158"/>
      <c r="V923" s="158"/>
      <c r="W923" s="158"/>
      <c r="X923" s="158"/>
      <c r="Y923" s="158"/>
      <c r="Z923" s="158"/>
      <c r="AA923" s="158"/>
    </row>
    <row r="924" spans="1:27" ht="15.75" customHeight="1" x14ac:dyDescent="0.55000000000000004">
      <c r="A924" s="166">
        <v>147</v>
      </c>
      <c r="B924" s="166" t="s">
        <v>1828</v>
      </c>
      <c r="C924" s="166" t="s">
        <v>1649</v>
      </c>
      <c r="D924" s="167">
        <v>42533</v>
      </c>
      <c r="E924" s="120" t="s">
        <v>3382</v>
      </c>
      <c r="F924" s="131">
        <v>22</v>
      </c>
      <c r="G924" s="120">
        <v>0</v>
      </c>
      <c r="H924" s="120">
        <v>2</v>
      </c>
      <c r="I924" s="120">
        <v>0</v>
      </c>
      <c r="J924" s="133" t="s">
        <v>853</v>
      </c>
      <c r="K924" s="133">
        <v>0</v>
      </c>
      <c r="L924" s="117">
        <v>72.5</v>
      </c>
      <c r="M924" s="133">
        <f t="shared" si="30"/>
        <v>50.5</v>
      </c>
      <c r="N924" s="157"/>
      <c r="O924" s="158"/>
      <c r="P924" s="158"/>
      <c r="Q924" s="158"/>
      <c r="R924" s="158"/>
      <c r="S924" s="158"/>
      <c r="T924" s="158"/>
      <c r="U924" s="158"/>
      <c r="V924" s="158"/>
      <c r="W924" s="158"/>
      <c r="X924" s="158"/>
      <c r="Y924" s="158"/>
      <c r="Z924" s="158"/>
      <c r="AA924" s="158"/>
    </row>
    <row r="925" spans="1:27" ht="15.75" customHeight="1" x14ac:dyDescent="0.55000000000000004">
      <c r="A925" s="166">
        <v>147</v>
      </c>
      <c r="B925" s="166" t="s">
        <v>1828</v>
      </c>
      <c r="C925" s="166" t="s">
        <v>1649</v>
      </c>
      <c r="D925" s="167">
        <v>42533</v>
      </c>
      <c r="E925" s="120" t="s">
        <v>3383</v>
      </c>
      <c r="F925" s="131">
        <v>41</v>
      </c>
      <c r="G925" s="120">
        <v>0</v>
      </c>
      <c r="H925" s="131">
        <v>1</v>
      </c>
      <c r="I925" s="120">
        <v>0</v>
      </c>
      <c r="J925" s="133" t="s">
        <v>853</v>
      </c>
      <c r="K925" s="133">
        <v>0</v>
      </c>
      <c r="L925" s="117">
        <v>71.3</v>
      </c>
      <c r="M925" s="133">
        <f t="shared" si="30"/>
        <v>30.299999999999997</v>
      </c>
      <c r="N925" s="157"/>
      <c r="O925" s="158"/>
      <c r="P925" s="158"/>
      <c r="Q925" s="158"/>
      <c r="R925" s="158"/>
      <c r="S925" s="158"/>
      <c r="T925" s="158"/>
      <c r="U925" s="158"/>
      <c r="V925" s="158"/>
      <c r="W925" s="158"/>
      <c r="X925" s="158"/>
      <c r="Y925" s="158"/>
      <c r="Z925" s="158"/>
      <c r="AA925" s="158"/>
    </row>
    <row r="926" spans="1:27" ht="15.75" customHeight="1" x14ac:dyDescent="0.55000000000000004">
      <c r="A926" s="166">
        <v>147</v>
      </c>
      <c r="B926" s="166" t="s">
        <v>1828</v>
      </c>
      <c r="C926" s="166" t="s">
        <v>1649</v>
      </c>
      <c r="D926" s="167">
        <v>42533</v>
      </c>
      <c r="E926" s="120" t="s">
        <v>3384</v>
      </c>
      <c r="F926" s="131">
        <v>27</v>
      </c>
      <c r="G926" s="120">
        <v>0</v>
      </c>
      <c r="H926" s="131">
        <v>2</v>
      </c>
      <c r="I926" s="120">
        <v>0</v>
      </c>
      <c r="J926" s="133" t="s">
        <v>853</v>
      </c>
      <c r="K926" s="133">
        <v>0</v>
      </c>
      <c r="L926" s="117">
        <v>71.8</v>
      </c>
      <c r="M926" s="133">
        <f t="shared" si="30"/>
        <v>44.8</v>
      </c>
      <c r="N926" s="157"/>
      <c r="O926" s="158"/>
      <c r="P926" s="158"/>
      <c r="Q926" s="158"/>
      <c r="R926" s="158"/>
      <c r="S926" s="158"/>
      <c r="T926" s="158"/>
      <c r="U926" s="158"/>
      <c r="V926" s="158"/>
      <c r="W926" s="158"/>
      <c r="X926" s="158"/>
      <c r="Y926" s="158"/>
      <c r="Z926" s="158"/>
      <c r="AA926" s="158"/>
    </row>
    <row r="927" spans="1:27" ht="15.75" customHeight="1" x14ac:dyDescent="0.55000000000000004">
      <c r="A927" s="166">
        <v>147</v>
      </c>
      <c r="B927" s="166" t="s">
        <v>1828</v>
      </c>
      <c r="C927" s="166" t="s">
        <v>1649</v>
      </c>
      <c r="D927" s="167">
        <v>42533</v>
      </c>
      <c r="E927" s="120" t="s">
        <v>3385</v>
      </c>
      <c r="F927" s="131">
        <v>30</v>
      </c>
      <c r="G927" s="120">
        <v>0</v>
      </c>
      <c r="H927" s="131">
        <v>2</v>
      </c>
      <c r="I927" s="120">
        <v>0</v>
      </c>
      <c r="J927" s="133" t="s">
        <v>853</v>
      </c>
      <c r="K927" s="133">
        <v>0</v>
      </c>
      <c r="L927" s="117">
        <v>71.8</v>
      </c>
      <c r="M927" s="133">
        <f t="shared" si="30"/>
        <v>41.8</v>
      </c>
      <c r="N927" s="157"/>
      <c r="O927" s="158"/>
      <c r="P927" s="158"/>
      <c r="Q927" s="158"/>
      <c r="R927" s="158"/>
      <c r="S927" s="158"/>
      <c r="T927" s="158"/>
      <c r="U927" s="158"/>
      <c r="V927" s="158"/>
      <c r="W927" s="158"/>
      <c r="X927" s="158"/>
      <c r="Y927" s="158"/>
      <c r="Z927" s="158"/>
      <c r="AA927" s="158"/>
    </row>
    <row r="928" spans="1:27" ht="15.75" customHeight="1" x14ac:dyDescent="0.55000000000000004">
      <c r="A928" s="166">
        <v>147</v>
      </c>
      <c r="B928" s="166" t="s">
        <v>1828</v>
      </c>
      <c r="C928" s="166" t="s">
        <v>1649</v>
      </c>
      <c r="D928" s="167">
        <v>42533</v>
      </c>
      <c r="E928" s="120" t="s">
        <v>3386</v>
      </c>
      <c r="F928" s="131">
        <v>40</v>
      </c>
      <c r="G928" s="120">
        <v>0</v>
      </c>
      <c r="H928" s="131">
        <v>2</v>
      </c>
      <c r="I928" s="120">
        <v>0</v>
      </c>
      <c r="J928" s="133" t="s">
        <v>853</v>
      </c>
      <c r="K928" s="133">
        <v>0</v>
      </c>
      <c r="L928" s="117">
        <v>68.8</v>
      </c>
      <c r="M928" s="133">
        <f t="shared" si="30"/>
        <v>28.799999999999997</v>
      </c>
      <c r="N928" s="157"/>
      <c r="O928" s="158"/>
      <c r="P928" s="158"/>
      <c r="Q928" s="158"/>
      <c r="R928" s="158"/>
      <c r="S928" s="158"/>
      <c r="T928" s="158"/>
      <c r="U928" s="158"/>
      <c r="V928" s="158"/>
      <c r="W928" s="158"/>
      <c r="X928" s="158"/>
      <c r="Y928" s="158"/>
      <c r="Z928" s="158"/>
      <c r="AA928" s="158"/>
    </row>
    <row r="929" spans="1:27" ht="15.75" customHeight="1" x14ac:dyDescent="0.55000000000000004">
      <c r="A929" s="166">
        <v>147</v>
      </c>
      <c r="B929" s="166" t="s">
        <v>1828</v>
      </c>
      <c r="C929" s="166" t="s">
        <v>1649</v>
      </c>
      <c r="D929" s="167">
        <v>42533</v>
      </c>
      <c r="E929" s="120" t="s">
        <v>3387</v>
      </c>
      <c r="F929" s="131">
        <v>19</v>
      </c>
      <c r="G929" s="120">
        <v>0</v>
      </c>
      <c r="H929" s="120">
        <v>1</v>
      </c>
      <c r="I929" s="120">
        <v>0</v>
      </c>
      <c r="J929" s="133" t="s">
        <v>853</v>
      </c>
      <c r="K929" s="133">
        <v>0</v>
      </c>
      <c r="L929" s="117">
        <v>65.2</v>
      </c>
      <c r="M929" s="133">
        <f t="shared" si="30"/>
        <v>46.2</v>
      </c>
      <c r="N929" s="157"/>
      <c r="O929" s="158"/>
      <c r="P929" s="158"/>
      <c r="Q929" s="158"/>
      <c r="R929" s="158"/>
      <c r="S929" s="158"/>
      <c r="T929" s="158"/>
      <c r="U929" s="158"/>
      <c r="V929" s="158"/>
      <c r="W929" s="158"/>
      <c r="X929" s="158"/>
      <c r="Y929" s="158"/>
      <c r="Z929" s="158"/>
      <c r="AA929" s="158"/>
    </row>
    <row r="930" spans="1:27" ht="15.75" customHeight="1" x14ac:dyDescent="0.55000000000000004">
      <c r="A930" s="166">
        <v>147</v>
      </c>
      <c r="B930" s="166" t="s">
        <v>1828</v>
      </c>
      <c r="C930" s="166" t="s">
        <v>1649</v>
      </c>
      <c r="D930" s="167">
        <v>42533</v>
      </c>
      <c r="E930" s="120" t="s">
        <v>3388</v>
      </c>
      <c r="F930" s="131">
        <v>30</v>
      </c>
      <c r="G930" s="120">
        <v>0</v>
      </c>
      <c r="H930" s="131">
        <v>1</v>
      </c>
      <c r="I930" s="120">
        <v>0</v>
      </c>
      <c r="J930" s="133" t="s">
        <v>853</v>
      </c>
      <c r="K930" s="133">
        <v>0</v>
      </c>
      <c r="L930" s="117">
        <v>64.5</v>
      </c>
      <c r="M930" s="133">
        <f t="shared" si="30"/>
        <v>34.5</v>
      </c>
      <c r="N930" s="157"/>
      <c r="O930" s="158"/>
      <c r="P930" s="158"/>
      <c r="Q930" s="158"/>
      <c r="R930" s="158"/>
      <c r="S930" s="158"/>
      <c r="T930" s="158"/>
      <c r="U930" s="158"/>
      <c r="V930" s="158"/>
      <c r="W930" s="158"/>
      <c r="X930" s="158"/>
      <c r="Y930" s="158"/>
      <c r="Z930" s="158"/>
      <c r="AA930" s="158"/>
    </row>
    <row r="931" spans="1:27" ht="15.75" customHeight="1" x14ac:dyDescent="0.55000000000000004">
      <c r="A931" s="166">
        <v>147</v>
      </c>
      <c r="B931" s="166" t="s">
        <v>1828</v>
      </c>
      <c r="C931" s="166" t="s">
        <v>1649</v>
      </c>
      <c r="D931" s="167">
        <v>42533</v>
      </c>
      <c r="E931" s="120" t="s">
        <v>3389</v>
      </c>
      <c r="F931" s="131">
        <v>25</v>
      </c>
      <c r="G931" s="120">
        <v>0</v>
      </c>
      <c r="H931" s="120">
        <v>2</v>
      </c>
      <c r="I931" s="120">
        <v>0</v>
      </c>
      <c r="J931" s="133" t="s">
        <v>853</v>
      </c>
      <c r="K931" s="133">
        <v>0</v>
      </c>
      <c r="L931" s="117">
        <v>71.8</v>
      </c>
      <c r="M931" s="133">
        <f t="shared" si="30"/>
        <v>46.8</v>
      </c>
      <c r="N931" s="157"/>
      <c r="O931" s="158"/>
      <c r="P931" s="158"/>
      <c r="Q931" s="158"/>
      <c r="R931" s="158"/>
      <c r="S931" s="158"/>
      <c r="T931" s="158"/>
      <c r="U931" s="158"/>
      <c r="V931" s="158"/>
      <c r="W931" s="158"/>
      <c r="X931" s="158"/>
      <c r="Y931" s="158"/>
      <c r="Z931" s="158"/>
      <c r="AA931" s="158"/>
    </row>
    <row r="932" spans="1:27" ht="15.75" customHeight="1" x14ac:dyDescent="0.55000000000000004">
      <c r="A932" s="166">
        <v>147</v>
      </c>
      <c r="B932" s="166" t="s">
        <v>1828</v>
      </c>
      <c r="C932" s="166" t="s">
        <v>1649</v>
      </c>
      <c r="D932" s="167">
        <v>42533</v>
      </c>
      <c r="E932" s="120" t="s">
        <v>3390</v>
      </c>
      <c r="F932" s="131">
        <v>32</v>
      </c>
      <c r="G932" s="120">
        <v>0</v>
      </c>
      <c r="H932" s="120"/>
      <c r="I932" s="120">
        <v>0</v>
      </c>
      <c r="J932" s="133" t="s">
        <v>853</v>
      </c>
      <c r="K932" s="133">
        <v>0</v>
      </c>
      <c r="L932" s="117">
        <v>70</v>
      </c>
      <c r="M932" s="133">
        <f t="shared" si="30"/>
        <v>38</v>
      </c>
      <c r="N932" s="157"/>
      <c r="O932" s="158"/>
      <c r="P932" s="158"/>
      <c r="Q932" s="158"/>
      <c r="R932" s="158"/>
      <c r="S932" s="158"/>
      <c r="T932" s="158"/>
      <c r="U932" s="158"/>
      <c r="V932" s="158"/>
      <c r="W932" s="158"/>
      <c r="X932" s="158"/>
      <c r="Y932" s="158"/>
      <c r="Z932" s="158"/>
      <c r="AA932" s="158"/>
    </row>
    <row r="933" spans="1:27" ht="15.75" customHeight="1" x14ac:dyDescent="0.55000000000000004">
      <c r="A933" s="166">
        <v>147</v>
      </c>
      <c r="B933" s="166" t="s">
        <v>1828</v>
      </c>
      <c r="C933" s="166" t="s">
        <v>1649</v>
      </c>
      <c r="D933" s="167">
        <v>42533</v>
      </c>
      <c r="E933" s="120" t="s">
        <v>3391</v>
      </c>
      <c r="F933" s="131">
        <v>49</v>
      </c>
      <c r="G933" s="120">
        <v>1</v>
      </c>
      <c r="H933" s="131">
        <v>2</v>
      </c>
      <c r="I933" s="120">
        <v>0</v>
      </c>
      <c r="J933" s="133" t="s">
        <v>853</v>
      </c>
      <c r="K933" s="133">
        <v>0</v>
      </c>
      <c r="L933" s="117">
        <v>74.7</v>
      </c>
      <c r="M933" s="133">
        <f t="shared" si="30"/>
        <v>25.700000000000003</v>
      </c>
      <c r="N933" s="157"/>
      <c r="O933" s="158"/>
      <c r="P933" s="158"/>
      <c r="Q933" s="158"/>
      <c r="R933" s="158"/>
      <c r="S933" s="158"/>
      <c r="T933" s="158"/>
      <c r="U933" s="158"/>
      <c r="V933" s="158"/>
      <c r="W933" s="158"/>
      <c r="X933" s="158"/>
      <c r="Y933" s="158"/>
      <c r="Z933" s="158"/>
      <c r="AA933" s="158"/>
    </row>
    <row r="934" spans="1:27" ht="15.75" customHeight="1" x14ac:dyDescent="0.55000000000000004">
      <c r="A934" s="166">
        <v>147</v>
      </c>
      <c r="B934" s="166" t="s">
        <v>1828</v>
      </c>
      <c r="C934" s="166" t="s">
        <v>1649</v>
      </c>
      <c r="D934" s="167">
        <v>42533</v>
      </c>
      <c r="E934" s="120" t="s">
        <v>3392</v>
      </c>
      <c r="F934" s="131">
        <v>35</v>
      </c>
      <c r="G934" s="120">
        <v>0</v>
      </c>
      <c r="H934" s="131">
        <v>2</v>
      </c>
      <c r="I934" s="120">
        <v>0</v>
      </c>
      <c r="J934" s="133" t="s">
        <v>853</v>
      </c>
      <c r="K934" s="133">
        <v>0</v>
      </c>
      <c r="L934" s="117">
        <v>70</v>
      </c>
      <c r="M934" s="133">
        <f t="shared" si="30"/>
        <v>35</v>
      </c>
      <c r="N934" s="157"/>
      <c r="O934" s="158"/>
      <c r="P934" s="158"/>
      <c r="Q934" s="158"/>
      <c r="R934" s="158"/>
      <c r="S934" s="158"/>
      <c r="T934" s="158"/>
      <c r="U934" s="158"/>
      <c r="V934" s="158"/>
      <c r="W934" s="158"/>
      <c r="X934" s="158"/>
      <c r="Y934" s="158"/>
      <c r="Z934" s="158"/>
      <c r="AA934" s="158"/>
    </row>
    <row r="935" spans="1:27" ht="15.75" customHeight="1" x14ac:dyDescent="0.55000000000000004">
      <c r="A935" s="166">
        <v>147</v>
      </c>
      <c r="B935" s="166" t="s">
        <v>1828</v>
      </c>
      <c r="C935" s="166" t="s">
        <v>1649</v>
      </c>
      <c r="D935" s="167">
        <v>42533</v>
      </c>
      <c r="E935" s="120" t="s">
        <v>3393</v>
      </c>
      <c r="F935" s="131">
        <v>18</v>
      </c>
      <c r="G935" s="120">
        <v>1</v>
      </c>
      <c r="H935" s="131">
        <v>1</v>
      </c>
      <c r="I935" s="120">
        <v>0</v>
      </c>
      <c r="J935" s="133" t="s">
        <v>853</v>
      </c>
      <c r="K935" s="133">
        <v>0</v>
      </c>
      <c r="L935" s="117">
        <v>75.099999999999994</v>
      </c>
      <c r="M935" s="133">
        <f t="shared" si="30"/>
        <v>57.099999999999994</v>
      </c>
      <c r="N935" s="157"/>
      <c r="O935" s="158"/>
      <c r="P935" s="158"/>
      <c r="Q935" s="158"/>
      <c r="R935" s="158"/>
      <c r="S935" s="158"/>
      <c r="T935" s="158"/>
      <c r="U935" s="158"/>
      <c r="V935" s="158"/>
      <c r="W935" s="158"/>
      <c r="X935" s="158"/>
      <c r="Y935" s="158"/>
      <c r="Z935" s="158"/>
      <c r="AA935" s="158"/>
    </row>
    <row r="936" spans="1:27" ht="15.75" customHeight="1" x14ac:dyDescent="0.55000000000000004">
      <c r="A936" s="166">
        <v>147</v>
      </c>
      <c r="B936" s="166" t="s">
        <v>1828</v>
      </c>
      <c r="C936" s="166" t="s">
        <v>1649</v>
      </c>
      <c r="D936" s="167">
        <v>42533</v>
      </c>
      <c r="E936" s="120" t="s">
        <v>3394</v>
      </c>
      <c r="F936" s="131">
        <v>37</v>
      </c>
      <c r="G936" s="120">
        <v>1</v>
      </c>
      <c r="H936" s="131">
        <v>1</v>
      </c>
      <c r="I936" s="120">
        <v>0</v>
      </c>
      <c r="J936" s="133" t="s">
        <v>853</v>
      </c>
      <c r="K936" s="133">
        <v>0</v>
      </c>
      <c r="L936" s="117">
        <v>72.5</v>
      </c>
      <c r="M936" s="133">
        <f t="shared" si="30"/>
        <v>35.5</v>
      </c>
      <c r="N936" s="157"/>
      <c r="O936" s="158"/>
      <c r="P936" s="158"/>
      <c r="Q936" s="158"/>
      <c r="R936" s="158"/>
      <c r="S936" s="158"/>
      <c r="T936" s="158"/>
      <c r="U936" s="158"/>
      <c r="V936" s="158"/>
      <c r="W936" s="158"/>
      <c r="X936" s="158"/>
      <c r="Y936" s="158"/>
      <c r="Z936" s="158"/>
      <c r="AA936" s="158"/>
    </row>
    <row r="937" spans="1:27" ht="15.75" customHeight="1" x14ac:dyDescent="0.55000000000000004">
      <c r="A937" s="166">
        <v>147</v>
      </c>
      <c r="B937" s="166" t="s">
        <v>1828</v>
      </c>
      <c r="C937" s="166" t="s">
        <v>1649</v>
      </c>
      <c r="D937" s="167">
        <v>42533</v>
      </c>
      <c r="E937" s="120" t="s">
        <v>3395</v>
      </c>
      <c r="F937" s="131">
        <v>27</v>
      </c>
      <c r="G937" s="120">
        <v>0</v>
      </c>
      <c r="H937" s="131">
        <v>2</v>
      </c>
      <c r="I937" s="120">
        <v>0</v>
      </c>
      <c r="J937" s="133" t="s">
        <v>853</v>
      </c>
      <c r="K937" s="133">
        <v>0</v>
      </c>
      <c r="L937" s="117">
        <v>71.8</v>
      </c>
      <c r="M937" s="133">
        <f t="shared" si="30"/>
        <v>44.8</v>
      </c>
      <c r="N937" s="157"/>
      <c r="O937" s="158"/>
      <c r="P937" s="158"/>
      <c r="Q937" s="158"/>
      <c r="R937" s="158"/>
      <c r="S937" s="158"/>
      <c r="T937" s="158"/>
      <c r="U937" s="158"/>
      <c r="V937" s="158"/>
      <c r="W937" s="158"/>
      <c r="X937" s="158"/>
      <c r="Y937" s="158"/>
      <c r="Z937" s="158"/>
      <c r="AA937" s="158"/>
    </row>
    <row r="938" spans="1:27" ht="15.75" customHeight="1" x14ac:dyDescent="0.55000000000000004">
      <c r="A938" s="166">
        <v>147</v>
      </c>
      <c r="B938" s="166" t="s">
        <v>1828</v>
      </c>
      <c r="C938" s="166" t="s">
        <v>1649</v>
      </c>
      <c r="D938" s="167">
        <v>42533</v>
      </c>
      <c r="E938" s="120" t="s">
        <v>3396</v>
      </c>
      <c r="F938" s="131">
        <v>23</v>
      </c>
      <c r="G938" s="120">
        <v>0</v>
      </c>
      <c r="H938" s="120">
        <v>2</v>
      </c>
      <c r="I938" s="120">
        <v>0</v>
      </c>
      <c r="J938" s="133" t="s">
        <v>853</v>
      </c>
      <c r="K938" s="133">
        <v>0</v>
      </c>
      <c r="L938" s="117">
        <v>72.5</v>
      </c>
      <c r="M938" s="133">
        <f t="shared" si="30"/>
        <v>49.5</v>
      </c>
      <c r="N938" s="157"/>
      <c r="O938" s="158"/>
      <c r="P938" s="158"/>
      <c r="Q938" s="158"/>
      <c r="R938" s="158"/>
      <c r="S938" s="158"/>
      <c r="T938" s="158"/>
      <c r="U938" s="158"/>
      <c r="V938" s="158"/>
      <c r="W938" s="158"/>
      <c r="X938" s="158"/>
      <c r="Y938" s="158"/>
      <c r="Z938" s="158"/>
      <c r="AA938" s="158"/>
    </row>
    <row r="939" spans="1:27" ht="15.75" customHeight="1" x14ac:dyDescent="0.55000000000000004">
      <c r="A939" s="166">
        <v>147</v>
      </c>
      <c r="B939" s="166" t="s">
        <v>1828</v>
      </c>
      <c r="C939" s="166" t="s">
        <v>1649</v>
      </c>
      <c r="D939" s="167">
        <v>42533</v>
      </c>
      <c r="E939" s="120" t="s">
        <v>3397</v>
      </c>
      <c r="F939" s="131">
        <v>25</v>
      </c>
      <c r="G939" s="120">
        <v>0</v>
      </c>
      <c r="H939" s="131">
        <v>2</v>
      </c>
      <c r="I939" s="120">
        <v>0</v>
      </c>
      <c r="J939" s="133" t="s">
        <v>853</v>
      </c>
      <c r="K939" s="133">
        <v>0</v>
      </c>
      <c r="L939" s="117">
        <v>71.8</v>
      </c>
      <c r="M939" s="133">
        <f t="shared" si="30"/>
        <v>46.8</v>
      </c>
      <c r="N939" s="157"/>
      <c r="O939" s="158"/>
      <c r="P939" s="158"/>
      <c r="Q939" s="158"/>
      <c r="R939" s="158"/>
      <c r="S939" s="158"/>
      <c r="T939" s="158"/>
      <c r="U939" s="158"/>
      <c r="V939" s="158"/>
      <c r="W939" s="158"/>
      <c r="X939" s="158"/>
      <c r="Y939" s="158"/>
      <c r="Z939" s="158"/>
      <c r="AA939" s="158"/>
    </row>
    <row r="940" spans="1:27" ht="15.75" customHeight="1" x14ac:dyDescent="0.55000000000000004">
      <c r="A940" s="166">
        <v>147</v>
      </c>
      <c r="B940" s="166" t="s">
        <v>1828</v>
      </c>
      <c r="C940" s="166" t="s">
        <v>1649</v>
      </c>
      <c r="D940" s="167">
        <v>42533</v>
      </c>
      <c r="E940" s="120" t="s">
        <v>3398</v>
      </c>
      <c r="F940" s="131">
        <v>36</v>
      </c>
      <c r="G940" s="120">
        <v>0</v>
      </c>
      <c r="H940" s="120">
        <v>2</v>
      </c>
      <c r="I940" s="120">
        <v>0</v>
      </c>
      <c r="J940" s="133" t="s">
        <v>853</v>
      </c>
      <c r="K940" s="133">
        <v>0</v>
      </c>
      <c r="L940" s="117">
        <v>70</v>
      </c>
      <c r="M940" s="133">
        <f t="shared" si="30"/>
        <v>34</v>
      </c>
      <c r="N940" s="157"/>
      <c r="O940" s="158"/>
      <c r="P940" s="158"/>
      <c r="Q940" s="158"/>
      <c r="R940" s="158"/>
      <c r="S940" s="158"/>
      <c r="T940" s="158"/>
      <c r="U940" s="158"/>
      <c r="V940" s="158"/>
      <c r="W940" s="158"/>
      <c r="X940" s="158"/>
      <c r="Y940" s="158"/>
      <c r="Z940" s="158"/>
      <c r="AA940" s="158"/>
    </row>
    <row r="941" spans="1:27" ht="15.75" customHeight="1" x14ac:dyDescent="0.55000000000000004">
      <c r="A941" s="166">
        <v>147</v>
      </c>
      <c r="B941" s="166" t="s">
        <v>1828</v>
      </c>
      <c r="C941" s="166" t="s">
        <v>1649</v>
      </c>
      <c r="D941" s="167">
        <v>42533</v>
      </c>
      <c r="E941" s="120" t="s">
        <v>3399</v>
      </c>
      <c r="F941" s="131">
        <v>32</v>
      </c>
      <c r="G941" s="120">
        <v>0</v>
      </c>
      <c r="H941" s="131">
        <v>2</v>
      </c>
      <c r="I941" s="120">
        <v>0</v>
      </c>
      <c r="J941" s="133" t="s">
        <v>853</v>
      </c>
      <c r="K941" s="133">
        <v>0</v>
      </c>
      <c r="L941" s="117">
        <v>70</v>
      </c>
      <c r="M941" s="133">
        <f t="shared" si="30"/>
        <v>38</v>
      </c>
      <c r="N941" s="157"/>
      <c r="O941" s="158"/>
      <c r="P941" s="158"/>
      <c r="Q941" s="158"/>
      <c r="R941" s="158"/>
      <c r="S941" s="158"/>
      <c r="T941" s="158"/>
      <c r="U941" s="158"/>
      <c r="V941" s="158"/>
      <c r="W941" s="158"/>
      <c r="X941" s="158"/>
      <c r="Y941" s="158"/>
      <c r="Z941" s="158"/>
      <c r="AA941" s="158"/>
    </row>
    <row r="942" spans="1:27" ht="15.75" customHeight="1" x14ac:dyDescent="0.55000000000000004">
      <c r="A942" s="166">
        <v>147</v>
      </c>
      <c r="B942" s="166" t="s">
        <v>1828</v>
      </c>
      <c r="C942" s="166" t="s">
        <v>1649</v>
      </c>
      <c r="D942" s="167">
        <v>42533</v>
      </c>
      <c r="E942" s="120" t="s">
        <v>3400</v>
      </c>
      <c r="F942" s="131">
        <v>25</v>
      </c>
      <c r="G942" s="120">
        <v>0</v>
      </c>
      <c r="H942" s="131">
        <v>2</v>
      </c>
      <c r="I942" s="120">
        <v>0</v>
      </c>
      <c r="J942" s="133" t="s">
        <v>853</v>
      </c>
      <c r="K942" s="133">
        <v>0</v>
      </c>
      <c r="L942" s="117">
        <v>71.8</v>
      </c>
      <c r="M942" s="133">
        <f t="shared" si="30"/>
        <v>46.8</v>
      </c>
      <c r="N942" s="157"/>
      <c r="O942" s="158"/>
      <c r="P942" s="158"/>
      <c r="Q942" s="158"/>
      <c r="R942" s="158"/>
      <c r="S942" s="158"/>
      <c r="T942" s="158"/>
      <c r="U942" s="158"/>
      <c r="V942" s="158"/>
      <c r="W942" s="158"/>
      <c r="X942" s="158"/>
      <c r="Y942" s="158"/>
      <c r="Z942" s="158"/>
      <c r="AA942" s="158"/>
    </row>
    <row r="943" spans="1:27" ht="15.75" customHeight="1" x14ac:dyDescent="0.55000000000000004">
      <c r="A943" s="166">
        <v>147</v>
      </c>
      <c r="B943" s="166" t="s">
        <v>1828</v>
      </c>
      <c r="C943" s="166" t="s">
        <v>1649</v>
      </c>
      <c r="D943" s="167">
        <v>42533</v>
      </c>
      <c r="E943" s="120" t="s">
        <v>3401</v>
      </c>
      <c r="F943" s="131">
        <v>37</v>
      </c>
      <c r="G943" s="120">
        <v>0</v>
      </c>
      <c r="H943" s="131">
        <v>2</v>
      </c>
      <c r="I943" s="120">
        <v>0</v>
      </c>
      <c r="J943" s="133" t="s">
        <v>853</v>
      </c>
      <c r="K943" s="133">
        <v>0</v>
      </c>
      <c r="L943" s="117">
        <v>70</v>
      </c>
      <c r="M943" s="133">
        <f t="shared" si="30"/>
        <v>33</v>
      </c>
      <c r="N943" s="157"/>
      <c r="O943" s="158"/>
      <c r="P943" s="158"/>
      <c r="Q943" s="158"/>
      <c r="R943" s="158"/>
      <c r="S943" s="158"/>
      <c r="T943" s="158"/>
      <c r="U943" s="158"/>
      <c r="V943" s="158"/>
      <c r="W943" s="158"/>
      <c r="X943" s="158"/>
      <c r="Y943" s="158"/>
      <c r="Z943" s="158"/>
      <c r="AA943" s="158"/>
    </row>
    <row r="944" spans="1:27" ht="15.75" customHeight="1" x14ac:dyDescent="0.55000000000000004">
      <c r="A944" s="166">
        <v>147</v>
      </c>
      <c r="B944" s="166" t="s">
        <v>1828</v>
      </c>
      <c r="C944" s="166" t="s">
        <v>1649</v>
      </c>
      <c r="D944" s="167">
        <v>42533</v>
      </c>
      <c r="E944" s="120" t="s">
        <v>3402</v>
      </c>
      <c r="F944" s="131">
        <v>24</v>
      </c>
      <c r="G944" s="120">
        <v>0</v>
      </c>
      <c r="H944" s="131">
        <v>2</v>
      </c>
      <c r="I944" s="120">
        <v>0</v>
      </c>
      <c r="J944" s="133" t="s">
        <v>853</v>
      </c>
      <c r="K944" s="133">
        <v>0</v>
      </c>
      <c r="L944" s="117">
        <v>71.8</v>
      </c>
      <c r="M944" s="133">
        <f t="shared" si="30"/>
        <v>47.8</v>
      </c>
      <c r="N944" s="157"/>
      <c r="O944" s="158"/>
      <c r="P944" s="158"/>
      <c r="Q944" s="158"/>
      <c r="R944" s="158"/>
      <c r="S944" s="158"/>
      <c r="T944" s="158"/>
      <c r="U944" s="158"/>
      <c r="V944" s="158"/>
      <c r="W944" s="158"/>
      <c r="X944" s="158"/>
      <c r="Y944" s="158"/>
      <c r="Z944" s="158"/>
      <c r="AA944" s="158"/>
    </row>
    <row r="945" spans="1:27" ht="15.75" customHeight="1" x14ac:dyDescent="0.55000000000000004">
      <c r="A945" s="166">
        <v>147</v>
      </c>
      <c r="B945" s="166" t="s">
        <v>1828</v>
      </c>
      <c r="C945" s="166" t="s">
        <v>1649</v>
      </c>
      <c r="D945" s="167">
        <v>42533</v>
      </c>
      <c r="E945" s="120" t="s">
        <v>3403</v>
      </c>
      <c r="F945" s="131">
        <v>24</v>
      </c>
      <c r="G945" s="120">
        <v>0</v>
      </c>
      <c r="H945" s="131">
        <v>2</v>
      </c>
      <c r="I945" s="120">
        <v>0</v>
      </c>
      <c r="J945" s="133" t="s">
        <v>853</v>
      </c>
      <c r="K945" s="133">
        <v>0</v>
      </c>
      <c r="L945" s="117">
        <v>71.8</v>
      </c>
      <c r="M945" s="133">
        <f t="shared" si="30"/>
        <v>47.8</v>
      </c>
      <c r="N945" s="157"/>
      <c r="O945" s="158"/>
      <c r="P945" s="158"/>
      <c r="Q945" s="158"/>
      <c r="R945" s="158"/>
      <c r="S945" s="158"/>
      <c r="T945" s="158"/>
      <c r="U945" s="158"/>
      <c r="V945" s="158"/>
      <c r="W945" s="158"/>
      <c r="X945" s="158"/>
      <c r="Y945" s="158"/>
      <c r="Z945" s="158"/>
      <c r="AA945" s="158"/>
    </row>
    <row r="946" spans="1:27" ht="15.75" customHeight="1" x14ac:dyDescent="0.55000000000000004">
      <c r="A946" s="166">
        <v>147</v>
      </c>
      <c r="B946" s="166" t="s">
        <v>1828</v>
      </c>
      <c r="C946" s="166" t="s">
        <v>1649</v>
      </c>
      <c r="D946" s="167">
        <v>42533</v>
      </c>
      <c r="E946" s="120" t="s">
        <v>3404</v>
      </c>
      <c r="F946" s="131">
        <v>35</v>
      </c>
      <c r="G946" s="120">
        <v>0</v>
      </c>
      <c r="H946" s="131">
        <v>2</v>
      </c>
      <c r="I946" s="120">
        <v>0</v>
      </c>
      <c r="J946" s="133" t="s">
        <v>853</v>
      </c>
      <c r="K946" s="133">
        <v>0</v>
      </c>
      <c r="L946" s="117">
        <v>70</v>
      </c>
      <c r="M946" s="133">
        <f t="shared" si="30"/>
        <v>35</v>
      </c>
      <c r="N946" s="157"/>
      <c r="O946" s="158"/>
      <c r="P946" s="158"/>
      <c r="Q946" s="158"/>
      <c r="R946" s="158"/>
      <c r="S946" s="158"/>
      <c r="T946" s="158"/>
      <c r="U946" s="158"/>
      <c r="V946" s="158"/>
      <c r="W946" s="158"/>
      <c r="X946" s="158"/>
      <c r="Y946" s="158"/>
      <c r="Z946" s="158"/>
      <c r="AA946" s="158"/>
    </row>
    <row r="947" spans="1:27" ht="15.75" customHeight="1" x14ac:dyDescent="0.55000000000000004">
      <c r="A947" s="166">
        <v>147</v>
      </c>
      <c r="B947" s="166" t="s">
        <v>1828</v>
      </c>
      <c r="C947" s="166" t="s">
        <v>1649</v>
      </c>
      <c r="D947" s="167">
        <v>42533</v>
      </c>
      <c r="E947" s="120" t="s">
        <v>3405</v>
      </c>
      <c r="F947" s="131">
        <v>25</v>
      </c>
      <c r="G947" s="120">
        <v>0</v>
      </c>
      <c r="H947" s="120">
        <v>2</v>
      </c>
      <c r="I947" s="120">
        <v>0</v>
      </c>
      <c r="J947" s="133" t="s">
        <v>853</v>
      </c>
      <c r="K947" s="133">
        <v>0</v>
      </c>
      <c r="L947" s="117">
        <v>71.8</v>
      </c>
      <c r="M947" s="133">
        <f t="shared" si="30"/>
        <v>46.8</v>
      </c>
      <c r="N947" s="157"/>
      <c r="O947" s="158"/>
      <c r="P947" s="158"/>
      <c r="Q947" s="158"/>
      <c r="R947" s="158"/>
      <c r="S947" s="158"/>
      <c r="T947" s="158"/>
      <c r="U947" s="158"/>
      <c r="V947" s="158"/>
      <c r="W947" s="158"/>
      <c r="X947" s="158"/>
      <c r="Y947" s="158"/>
      <c r="Z947" s="158"/>
      <c r="AA947" s="158"/>
    </row>
    <row r="948" spans="1:27" ht="15.75" customHeight="1" x14ac:dyDescent="0.55000000000000004">
      <c r="A948" s="166">
        <v>147</v>
      </c>
      <c r="B948" s="166" t="s">
        <v>1828</v>
      </c>
      <c r="C948" s="166" t="s">
        <v>1649</v>
      </c>
      <c r="D948" s="167">
        <v>42533</v>
      </c>
      <c r="E948" s="120" t="s">
        <v>3406</v>
      </c>
      <c r="F948" s="131">
        <v>34</v>
      </c>
      <c r="G948" s="120">
        <v>0</v>
      </c>
      <c r="H948" s="120">
        <v>0</v>
      </c>
      <c r="I948" s="120">
        <v>0</v>
      </c>
      <c r="J948" s="133" t="s">
        <v>853</v>
      </c>
      <c r="K948" s="133">
        <v>0</v>
      </c>
      <c r="L948" s="117">
        <v>70.7</v>
      </c>
      <c r="M948" s="133">
        <f t="shared" si="30"/>
        <v>36.700000000000003</v>
      </c>
      <c r="N948" s="157"/>
      <c r="O948" s="158"/>
      <c r="P948" s="158"/>
      <c r="Q948" s="158"/>
      <c r="R948" s="158"/>
      <c r="S948" s="158"/>
      <c r="T948" s="158"/>
      <c r="U948" s="158"/>
      <c r="V948" s="158"/>
      <c r="W948" s="158"/>
      <c r="X948" s="158"/>
      <c r="Y948" s="158"/>
      <c r="Z948" s="158"/>
      <c r="AA948" s="158"/>
    </row>
    <row r="949" spans="1:27" ht="15.75" customHeight="1" x14ac:dyDescent="0.55000000000000004">
      <c r="A949" s="166">
        <v>147</v>
      </c>
      <c r="B949" s="166" t="s">
        <v>1828</v>
      </c>
      <c r="C949" s="166" t="s">
        <v>1649</v>
      </c>
      <c r="D949" s="167">
        <v>42533</v>
      </c>
      <c r="E949" s="120" t="s">
        <v>3407</v>
      </c>
      <c r="F949" s="131">
        <v>33</v>
      </c>
      <c r="G949" s="120">
        <v>0</v>
      </c>
      <c r="H949" s="131">
        <v>1</v>
      </c>
      <c r="I949" s="120">
        <v>0</v>
      </c>
      <c r="J949" s="133" t="s">
        <v>853</v>
      </c>
      <c r="K949" s="133">
        <v>0</v>
      </c>
      <c r="L949" s="117">
        <v>63.8</v>
      </c>
      <c r="M949" s="133">
        <f t="shared" si="30"/>
        <v>30.799999999999997</v>
      </c>
      <c r="N949" s="157"/>
      <c r="O949" s="158"/>
      <c r="P949" s="158"/>
      <c r="Q949" s="158"/>
      <c r="R949" s="158"/>
      <c r="S949" s="158"/>
      <c r="T949" s="158"/>
      <c r="U949" s="158"/>
      <c r="V949" s="158"/>
      <c r="W949" s="158"/>
      <c r="X949" s="158"/>
      <c r="Y949" s="158"/>
      <c r="Z949" s="158"/>
      <c r="AA949" s="158"/>
    </row>
    <row r="950" spans="1:27" ht="15.75" customHeight="1" x14ac:dyDescent="0.55000000000000004">
      <c r="A950" s="166">
        <v>147</v>
      </c>
      <c r="B950" s="166" t="s">
        <v>1828</v>
      </c>
      <c r="C950" s="166" t="s">
        <v>1649</v>
      </c>
      <c r="D950" s="167">
        <v>42533</v>
      </c>
      <c r="E950" s="120" t="s">
        <v>3408</v>
      </c>
      <c r="F950" s="131">
        <v>25</v>
      </c>
      <c r="G950" s="120">
        <v>0</v>
      </c>
      <c r="H950" s="131">
        <v>2</v>
      </c>
      <c r="I950" s="120">
        <v>0</v>
      </c>
      <c r="J950" s="133" t="s">
        <v>853</v>
      </c>
      <c r="K950" s="133">
        <v>0</v>
      </c>
      <c r="L950" s="117">
        <v>71.8</v>
      </c>
      <c r="M950" s="133">
        <f t="shared" si="30"/>
        <v>46.8</v>
      </c>
      <c r="N950" s="157"/>
      <c r="O950" s="158"/>
      <c r="P950" s="158"/>
      <c r="Q950" s="158"/>
      <c r="R950" s="158"/>
      <c r="S950" s="158"/>
      <c r="T950" s="158"/>
      <c r="U950" s="158"/>
      <c r="V950" s="158"/>
      <c r="W950" s="158"/>
      <c r="X950" s="158"/>
      <c r="Y950" s="158"/>
      <c r="Z950" s="158"/>
      <c r="AA950" s="158"/>
    </row>
    <row r="951" spans="1:27" ht="15.75" customHeight="1" x14ac:dyDescent="0.55000000000000004">
      <c r="A951" s="166">
        <v>147</v>
      </c>
      <c r="B951" s="166" t="s">
        <v>1828</v>
      </c>
      <c r="C951" s="166" t="s">
        <v>1649</v>
      </c>
      <c r="D951" s="167">
        <v>42533</v>
      </c>
      <c r="E951" s="120" t="s">
        <v>3409</v>
      </c>
      <c r="F951" s="131">
        <v>22</v>
      </c>
      <c r="G951" s="120">
        <v>0</v>
      </c>
      <c r="H951" s="120">
        <v>2</v>
      </c>
      <c r="I951" s="120">
        <v>0</v>
      </c>
      <c r="J951" s="133" t="s">
        <v>853</v>
      </c>
      <c r="K951" s="133">
        <v>0</v>
      </c>
      <c r="L951" s="117">
        <v>72.5</v>
      </c>
      <c r="M951" s="133">
        <f t="shared" si="30"/>
        <v>50.5</v>
      </c>
      <c r="N951" s="157"/>
      <c r="O951" s="158"/>
      <c r="P951" s="158"/>
      <c r="Q951" s="158"/>
      <c r="R951" s="158"/>
      <c r="S951" s="158"/>
      <c r="T951" s="158"/>
      <c r="U951" s="158"/>
      <c r="V951" s="158"/>
      <c r="W951" s="158"/>
      <c r="X951" s="158"/>
      <c r="Y951" s="158"/>
      <c r="Z951" s="158"/>
      <c r="AA951" s="158"/>
    </row>
    <row r="952" spans="1:27" ht="15.75" customHeight="1" x14ac:dyDescent="0.55000000000000004">
      <c r="A952" s="166">
        <v>147</v>
      </c>
      <c r="B952" s="166" t="s">
        <v>1828</v>
      </c>
      <c r="C952" s="166" t="s">
        <v>1649</v>
      </c>
      <c r="D952" s="167">
        <v>42533</v>
      </c>
      <c r="E952" s="120" t="s">
        <v>3410</v>
      </c>
      <c r="F952" s="131">
        <v>37</v>
      </c>
      <c r="G952" s="120">
        <v>0</v>
      </c>
      <c r="H952" s="131">
        <v>2</v>
      </c>
      <c r="I952" s="120">
        <v>0</v>
      </c>
      <c r="J952" s="133" t="s">
        <v>853</v>
      </c>
      <c r="K952" s="133">
        <v>0</v>
      </c>
      <c r="L952" s="117">
        <v>70</v>
      </c>
      <c r="M952" s="133">
        <f t="shared" si="30"/>
        <v>33</v>
      </c>
      <c r="N952" s="157"/>
      <c r="O952" s="158"/>
      <c r="P952" s="158"/>
      <c r="Q952" s="158"/>
      <c r="R952" s="158"/>
      <c r="S952" s="158"/>
      <c r="T952" s="158"/>
      <c r="U952" s="158"/>
      <c r="V952" s="158"/>
      <c r="W952" s="158"/>
      <c r="X952" s="158"/>
      <c r="Y952" s="158"/>
      <c r="Z952" s="158"/>
      <c r="AA952" s="158"/>
    </row>
    <row r="953" spans="1:27" ht="15.75" customHeight="1" x14ac:dyDescent="0.55000000000000004">
      <c r="A953" s="166">
        <v>147</v>
      </c>
      <c r="B953" s="166" t="s">
        <v>1828</v>
      </c>
      <c r="C953" s="166" t="s">
        <v>1649</v>
      </c>
      <c r="D953" s="167">
        <v>42533</v>
      </c>
      <c r="E953" s="120" t="s">
        <v>3411</v>
      </c>
      <c r="F953" s="131">
        <v>31</v>
      </c>
      <c r="G953" s="120">
        <v>0</v>
      </c>
      <c r="H953" s="131">
        <v>2</v>
      </c>
      <c r="I953" s="120">
        <v>0</v>
      </c>
      <c r="J953" s="133" t="s">
        <v>853</v>
      </c>
      <c r="K953" s="133">
        <v>0</v>
      </c>
      <c r="L953" s="117">
        <v>71.8</v>
      </c>
      <c r="M953" s="133">
        <f t="shared" si="30"/>
        <v>40.799999999999997</v>
      </c>
      <c r="N953" s="157"/>
      <c r="O953" s="158"/>
      <c r="P953" s="158"/>
      <c r="Q953" s="158"/>
      <c r="R953" s="158"/>
      <c r="S953" s="158"/>
      <c r="T953" s="158"/>
      <c r="U953" s="158"/>
      <c r="V953" s="158"/>
      <c r="W953" s="158"/>
      <c r="X953" s="158"/>
      <c r="Y953" s="158"/>
      <c r="Z953" s="158"/>
      <c r="AA953" s="158"/>
    </row>
    <row r="954" spans="1:27" ht="15.75" customHeight="1" x14ac:dyDescent="0.55000000000000004">
      <c r="A954" s="177">
        <v>148</v>
      </c>
      <c r="B954" s="177" t="s">
        <v>1319</v>
      </c>
      <c r="C954" s="177" t="s">
        <v>1833</v>
      </c>
      <c r="D954" s="178">
        <v>42558</v>
      </c>
      <c r="E954" s="120" t="s">
        <v>3412</v>
      </c>
      <c r="F954" s="131">
        <v>48</v>
      </c>
      <c r="G954" s="120">
        <v>0</v>
      </c>
      <c r="H954" s="131">
        <v>0</v>
      </c>
      <c r="I954" s="120">
        <v>0</v>
      </c>
      <c r="J954" s="133" t="s">
        <v>853</v>
      </c>
      <c r="K954" s="133">
        <v>0</v>
      </c>
      <c r="L954" s="117">
        <v>68</v>
      </c>
      <c r="M954" s="133">
        <f t="shared" si="30"/>
        <v>20</v>
      </c>
      <c r="N954" s="157"/>
      <c r="O954" s="158"/>
      <c r="P954" s="158"/>
      <c r="Q954" s="158"/>
      <c r="R954" s="158"/>
      <c r="S954" s="158"/>
      <c r="T954" s="158"/>
      <c r="U954" s="158"/>
      <c r="V954" s="158"/>
      <c r="W954" s="158"/>
      <c r="X954" s="158"/>
      <c r="Y954" s="158"/>
      <c r="Z954" s="158"/>
      <c r="AA954" s="158"/>
    </row>
    <row r="955" spans="1:27" ht="15.75" customHeight="1" x14ac:dyDescent="0.55000000000000004">
      <c r="A955" s="177">
        <v>148</v>
      </c>
      <c r="B955" s="177" t="s">
        <v>1319</v>
      </c>
      <c r="C955" s="177" t="s">
        <v>1833</v>
      </c>
      <c r="D955" s="178">
        <v>42558</v>
      </c>
      <c r="E955" s="120" t="s">
        <v>3413</v>
      </c>
      <c r="F955" s="131">
        <v>40</v>
      </c>
      <c r="G955" s="120">
        <v>0</v>
      </c>
      <c r="H955" s="131">
        <v>0</v>
      </c>
      <c r="I955" s="120">
        <v>0</v>
      </c>
      <c r="J955" s="133" t="s">
        <v>853</v>
      </c>
      <c r="K955" s="133">
        <v>0</v>
      </c>
      <c r="L955" s="117">
        <v>69.5</v>
      </c>
      <c r="M955" s="133">
        <f t="shared" si="30"/>
        <v>29.5</v>
      </c>
      <c r="N955" s="157"/>
      <c r="O955" s="158"/>
      <c r="P955" s="158"/>
      <c r="Q955" s="158"/>
      <c r="R955" s="158"/>
      <c r="S955" s="158"/>
      <c r="T955" s="158"/>
      <c r="U955" s="158"/>
      <c r="V955" s="158"/>
      <c r="W955" s="158"/>
      <c r="X955" s="158"/>
      <c r="Y955" s="158"/>
      <c r="Z955" s="158"/>
      <c r="AA955" s="158"/>
    </row>
    <row r="956" spans="1:27" ht="15.75" customHeight="1" x14ac:dyDescent="0.55000000000000004">
      <c r="A956" s="177">
        <v>148</v>
      </c>
      <c r="B956" s="177" t="s">
        <v>1319</v>
      </c>
      <c r="C956" s="177" t="s">
        <v>1833</v>
      </c>
      <c r="D956" s="178">
        <v>42558</v>
      </c>
      <c r="E956" s="120" t="s">
        <v>3414</v>
      </c>
      <c r="F956" s="131">
        <v>55</v>
      </c>
      <c r="G956" s="120">
        <v>0</v>
      </c>
      <c r="H956" s="131">
        <v>0</v>
      </c>
      <c r="I956" s="120">
        <v>0</v>
      </c>
      <c r="J956" s="133" t="s">
        <v>853</v>
      </c>
      <c r="K956" s="133">
        <v>0</v>
      </c>
      <c r="L956" s="117">
        <v>67.400000000000006</v>
      </c>
      <c r="M956" s="133">
        <f t="shared" si="30"/>
        <v>12.400000000000006</v>
      </c>
      <c r="N956" s="157"/>
      <c r="O956" s="158"/>
      <c r="P956" s="158"/>
      <c r="Q956" s="158"/>
      <c r="R956" s="158"/>
      <c r="S956" s="158"/>
      <c r="T956" s="158"/>
      <c r="U956" s="158"/>
      <c r="V956" s="158"/>
      <c r="W956" s="158"/>
      <c r="X956" s="158"/>
      <c r="Y956" s="158"/>
      <c r="Z956" s="158"/>
      <c r="AA956" s="158"/>
    </row>
    <row r="957" spans="1:27" ht="15.75" customHeight="1" x14ac:dyDescent="0.55000000000000004">
      <c r="A957" s="177">
        <v>148</v>
      </c>
      <c r="B957" s="177" t="s">
        <v>1319</v>
      </c>
      <c r="C957" s="177" t="s">
        <v>1833</v>
      </c>
      <c r="D957" s="178">
        <v>42558</v>
      </c>
      <c r="E957" s="120" t="s">
        <v>3415</v>
      </c>
      <c r="F957" s="131">
        <v>43</v>
      </c>
      <c r="G957" s="120">
        <v>0</v>
      </c>
      <c r="H957" s="131">
        <v>0</v>
      </c>
      <c r="I957" s="120">
        <v>0</v>
      </c>
      <c r="J957" s="133" t="s">
        <v>853</v>
      </c>
      <c r="K957" s="133">
        <v>0</v>
      </c>
      <c r="L957" s="117">
        <v>69.5</v>
      </c>
      <c r="M957" s="133">
        <f t="shared" si="30"/>
        <v>26.5</v>
      </c>
      <c r="N957" s="157"/>
      <c r="O957" s="158"/>
      <c r="P957" s="158"/>
      <c r="Q957" s="158"/>
      <c r="R957" s="158"/>
      <c r="S957" s="158"/>
      <c r="T957" s="158"/>
      <c r="U957" s="158"/>
      <c r="V957" s="158"/>
      <c r="W957" s="158"/>
      <c r="X957" s="158"/>
      <c r="Y957" s="158"/>
      <c r="Z957" s="158"/>
      <c r="AA957" s="158"/>
    </row>
    <row r="958" spans="1:27" ht="15.75" customHeight="1" x14ac:dyDescent="0.55000000000000004">
      <c r="A958" s="177">
        <v>148</v>
      </c>
      <c r="B958" s="177" t="s">
        <v>1319</v>
      </c>
      <c r="C958" s="177" t="s">
        <v>1833</v>
      </c>
      <c r="D958" s="178">
        <v>42558</v>
      </c>
      <c r="E958" s="120" t="s">
        <v>3416</v>
      </c>
      <c r="F958" s="131">
        <v>32</v>
      </c>
      <c r="G958" s="120">
        <v>0</v>
      </c>
      <c r="H958" s="131">
        <v>0</v>
      </c>
      <c r="I958" s="120">
        <v>0</v>
      </c>
      <c r="J958" s="133" t="s">
        <v>853</v>
      </c>
      <c r="K958" s="133">
        <v>0</v>
      </c>
      <c r="L958" s="117">
        <v>70.7</v>
      </c>
      <c r="M958" s="133">
        <f t="shared" si="30"/>
        <v>38.700000000000003</v>
      </c>
      <c r="N958" s="157"/>
      <c r="O958" s="158"/>
      <c r="P958" s="158"/>
      <c r="Q958" s="158"/>
      <c r="R958" s="158"/>
      <c r="S958" s="158"/>
      <c r="T958" s="158"/>
      <c r="U958" s="158"/>
      <c r="V958" s="158"/>
      <c r="W958" s="158"/>
      <c r="X958" s="158"/>
      <c r="Y958" s="158"/>
      <c r="Z958" s="158"/>
      <c r="AA958" s="158"/>
    </row>
    <row r="959" spans="1:27" ht="15.75" customHeight="1" x14ac:dyDescent="0.55000000000000004">
      <c r="A959" s="169">
        <v>149</v>
      </c>
      <c r="B959" s="169" t="s">
        <v>1841</v>
      </c>
      <c r="C959" s="169" t="s">
        <v>1842</v>
      </c>
      <c r="D959" s="170">
        <v>42636</v>
      </c>
      <c r="E959" s="120" t="s">
        <v>3417</v>
      </c>
      <c r="F959" s="131">
        <v>95</v>
      </c>
      <c r="G959" s="120">
        <v>1</v>
      </c>
      <c r="H959" s="131">
        <v>0</v>
      </c>
      <c r="I959" s="120">
        <v>0</v>
      </c>
      <c r="J959" s="133" t="s">
        <v>853</v>
      </c>
      <c r="K959" s="133">
        <v>0</v>
      </c>
      <c r="L959" s="183">
        <v>87</v>
      </c>
      <c r="M959" s="133">
        <v>0</v>
      </c>
      <c r="N959" s="157"/>
      <c r="O959" s="158"/>
      <c r="P959" s="158"/>
      <c r="Q959" s="158"/>
      <c r="R959" s="158"/>
      <c r="S959" s="158"/>
      <c r="T959" s="158"/>
      <c r="U959" s="158"/>
      <c r="V959" s="158"/>
      <c r="W959" s="158"/>
      <c r="X959" s="158"/>
      <c r="Y959" s="158"/>
      <c r="Z959" s="158"/>
      <c r="AA959" s="158"/>
    </row>
    <row r="960" spans="1:27" ht="15.75" customHeight="1" x14ac:dyDescent="0.55000000000000004">
      <c r="A960" s="169">
        <v>149</v>
      </c>
      <c r="B960" s="169" t="s">
        <v>1841</v>
      </c>
      <c r="C960" s="169" t="s">
        <v>1842</v>
      </c>
      <c r="D960" s="170">
        <v>42636</v>
      </c>
      <c r="E960" s="120" t="s">
        <v>3418</v>
      </c>
      <c r="F960" s="131">
        <v>61</v>
      </c>
      <c r="G960" s="120">
        <v>0</v>
      </c>
      <c r="H960" s="131">
        <v>0</v>
      </c>
      <c r="I960" s="120">
        <v>0</v>
      </c>
      <c r="J960" s="133" t="s">
        <v>853</v>
      </c>
      <c r="K960" s="133">
        <v>0</v>
      </c>
      <c r="L960" s="117">
        <v>67.400000000000006</v>
      </c>
      <c r="M960" s="133">
        <f t="shared" ref="M960:M1120" si="31">L960-F960</f>
        <v>6.4000000000000057</v>
      </c>
      <c r="N960" s="157"/>
      <c r="O960" s="158"/>
      <c r="P960" s="158"/>
      <c r="Q960" s="158"/>
      <c r="R960" s="158"/>
      <c r="S960" s="158"/>
      <c r="T960" s="158"/>
      <c r="U960" s="158"/>
      <c r="V960" s="158"/>
      <c r="W960" s="158"/>
      <c r="X960" s="158"/>
      <c r="Y960" s="158"/>
      <c r="Z960" s="158"/>
      <c r="AA960" s="158"/>
    </row>
    <row r="961" spans="1:27" ht="15.75" customHeight="1" x14ac:dyDescent="0.55000000000000004">
      <c r="A961" s="169">
        <v>149</v>
      </c>
      <c r="B961" s="169" t="s">
        <v>1841</v>
      </c>
      <c r="C961" s="169" t="s">
        <v>1842</v>
      </c>
      <c r="D961" s="170">
        <v>42636</v>
      </c>
      <c r="E961" s="120" t="s">
        <v>3419</v>
      </c>
      <c r="F961" s="131">
        <v>64</v>
      </c>
      <c r="G961" s="120">
        <v>1</v>
      </c>
      <c r="H961" s="131">
        <v>0</v>
      </c>
      <c r="I961" s="120">
        <v>0</v>
      </c>
      <c r="J961" s="133" t="s">
        <v>853</v>
      </c>
      <c r="K961" s="133">
        <v>0</v>
      </c>
      <c r="L961" s="117">
        <v>72.2</v>
      </c>
      <c r="M961" s="133">
        <f t="shared" si="31"/>
        <v>8.2000000000000028</v>
      </c>
      <c r="N961" s="157"/>
      <c r="O961" s="158"/>
      <c r="P961" s="158"/>
      <c r="Q961" s="158"/>
      <c r="R961" s="158"/>
      <c r="S961" s="158"/>
      <c r="T961" s="158"/>
      <c r="U961" s="158"/>
      <c r="V961" s="158"/>
      <c r="W961" s="158"/>
      <c r="X961" s="158"/>
      <c r="Y961" s="158"/>
      <c r="Z961" s="158"/>
      <c r="AA961" s="158"/>
    </row>
    <row r="962" spans="1:27" ht="15.75" customHeight="1" x14ac:dyDescent="0.55000000000000004">
      <c r="A962" s="169">
        <v>149</v>
      </c>
      <c r="B962" s="169" t="s">
        <v>1841</v>
      </c>
      <c r="C962" s="169" t="s">
        <v>1842</v>
      </c>
      <c r="D962" s="170">
        <v>42636</v>
      </c>
      <c r="E962" s="120" t="s">
        <v>3420</v>
      </c>
      <c r="F962" s="131">
        <v>16</v>
      </c>
      <c r="G962" s="120">
        <v>1</v>
      </c>
      <c r="H962" s="131">
        <v>2</v>
      </c>
      <c r="I962" s="120">
        <v>0</v>
      </c>
      <c r="J962" s="133" t="s">
        <v>853</v>
      </c>
      <c r="K962" s="133">
        <v>0</v>
      </c>
      <c r="L962" s="117">
        <v>79.3</v>
      </c>
      <c r="M962" s="133">
        <f t="shared" si="31"/>
        <v>63.3</v>
      </c>
      <c r="N962" s="157"/>
      <c r="O962" s="158"/>
      <c r="P962" s="158"/>
      <c r="Q962" s="158"/>
      <c r="R962" s="158"/>
      <c r="S962" s="158"/>
      <c r="T962" s="158"/>
      <c r="U962" s="158"/>
      <c r="V962" s="158"/>
      <c r="W962" s="158"/>
      <c r="X962" s="158"/>
      <c r="Y962" s="158"/>
      <c r="Z962" s="158"/>
      <c r="AA962" s="158"/>
    </row>
    <row r="963" spans="1:27" ht="15.75" customHeight="1" x14ac:dyDescent="0.55000000000000004">
      <c r="A963" s="169">
        <v>149</v>
      </c>
      <c r="B963" s="169" t="s">
        <v>1841</v>
      </c>
      <c r="C963" s="169" t="s">
        <v>1842</v>
      </c>
      <c r="D963" s="170">
        <v>42636</v>
      </c>
      <c r="E963" s="120" t="s">
        <v>3421</v>
      </c>
      <c r="F963" s="131">
        <v>52</v>
      </c>
      <c r="G963" s="120">
        <v>1</v>
      </c>
      <c r="H963" s="131">
        <v>0</v>
      </c>
      <c r="I963" s="120">
        <v>0</v>
      </c>
      <c r="J963" s="133" t="s">
        <v>853</v>
      </c>
      <c r="K963" s="133">
        <v>0</v>
      </c>
      <c r="L963" s="117">
        <v>74.099999999999994</v>
      </c>
      <c r="M963" s="133">
        <f t="shared" si="31"/>
        <v>22.099999999999994</v>
      </c>
      <c r="N963" s="157"/>
      <c r="O963" s="158"/>
      <c r="P963" s="158"/>
      <c r="Q963" s="158"/>
      <c r="R963" s="158"/>
      <c r="S963" s="158"/>
      <c r="T963" s="158"/>
      <c r="U963" s="158"/>
      <c r="V963" s="158"/>
      <c r="W963" s="158"/>
      <c r="X963" s="158"/>
      <c r="Y963" s="158"/>
      <c r="Z963" s="158"/>
      <c r="AA963" s="158"/>
    </row>
    <row r="964" spans="1:27" ht="15.75" customHeight="1" x14ac:dyDescent="0.55000000000000004">
      <c r="A964" s="175">
        <v>150</v>
      </c>
      <c r="B964" s="175" t="s">
        <v>1850</v>
      </c>
      <c r="C964" s="175" t="s">
        <v>1851</v>
      </c>
      <c r="D964" s="176">
        <v>42741</v>
      </c>
      <c r="E964" s="120" t="s">
        <v>3422</v>
      </c>
      <c r="F964" s="131">
        <v>69</v>
      </c>
      <c r="G964" s="120">
        <v>1</v>
      </c>
      <c r="H964" s="131">
        <v>0</v>
      </c>
      <c r="I964" s="120">
        <v>0</v>
      </c>
      <c r="J964" s="133" t="s">
        <v>853</v>
      </c>
      <c r="K964" s="133">
        <v>0</v>
      </c>
      <c r="L964" s="183">
        <v>85.5</v>
      </c>
      <c r="M964" s="133">
        <f t="shared" si="31"/>
        <v>16.5</v>
      </c>
      <c r="N964" s="157"/>
      <c r="O964" s="158"/>
      <c r="P964" s="158"/>
      <c r="Q964" s="158"/>
      <c r="R964" s="158"/>
      <c r="S964" s="158"/>
      <c r="T964" s="158"/>
      <c r="U964" s="158"/>
      <c r="V964" s="158"/>
      <c r="W964" s="158"/>
      <c r="X964" s="158"/>
      <c r="Y964" s="158"/>
      <c r="Z964" s="158"/>
      <c r="AA964" s="158"/>
    </row>
    <row r="965" spans="1:27" ht="15.75" customHeight="1" x14ac:dyDescent="0.55000000000000004">
      <c r="A965" s="175">
        <v>150</v>
      </c>
      <c r="B965" s="175" t="s">
        <v>1850</v>
      </c>
      <c r="C965" s="175" t="s">
        <v>1851</v>
      </c>
      <c r="D965" s="176">
        <v>42741</v>
      </c>
      <c r="E965" s="120" t="s">
        <v>3423</v>
      </c>
      <c r="F965" s="131">
        <v>62</v>
      </c>
      <c r="G965" s="120">
        <v>0</v>
      </c>
      <c r="H965" s="131">
        <v>0</v>
      </c>
      <c r="I965" s="120">
        <v>0</v>
      </c>
      <c r="J965" s="133" t="s">
        <v>853</v>
      </c>
      <c r="K965" s="133">
        <v>0</v>
      </c>
      <c r="L965" s="117">
        <v>67.400000000000006</v>
      </c>
      <c r="M965" s="133">
        <f t="shared" si="31"/>
        <v>5.4000000000000057</v>
      </c>
      <c r="N965" s="157"/>
      <c r="O965" s="158"/>
      <c r="P965" s="158"/>
      <c r="Q965" s="158"/>
      <c r="R965" s="158"/>
      <c r="S965" s="158"/>
      <c r="T965" s="158"/>
      <c r="U965" s="158"/>
      <c r="V965" s="158"/>
      <c r="W965" s="158"/>
      <c r="X965" s="158"/>
      <c r="Y965" s="158"/>
      <c r="Z965" s="158"/>
      <c r="AA965" s="158"/>
    </row>
    <row r="966" spans="1:27" ht="15.75" customHeight="1" x14ac:dyDescent="0.55000000000000004">
      <c r="A966" s="175">
        <v>150</v>
      </c>
      <c r="B966" s="175" t="s">
        <v>1850</v>
      </c>
      <c r="C966" s="175" t="s">
        <v>1851</v>
      </c>
      <c r="D966" s="176">
        <v>42741</v>
      </c>
      <c r="E966" s="120" t="s">
        <v>3424</v>
      </c>
      <c r="F966" s="131">
        <v>56</v>
      </c>
      <c r="G966" s="120">
        <v>0</v>
      </c>
      <c r="H966" s="131">
        <v>0</v>
      </c>
      <c r="I966" s="120">
        <v>0</v>
      </c>
      <c r="J966" s="133" t="s">
        <v>853</v>
      </c>
      <c r="K966" s="133">
        <v>0</v>
      </c>
      <c r="L966" s="117">
        <v>67.400000000000006</v>
      </c>
      <c r="M966" s="133">
        <f t="shared" si="31"/>
        <v>11.400000000000006</v>
      </c>
      <c r="N966" s="157"/>
      <c r="O966" s="158"/>
      <c r="P966" s="158"/>
      <c r="Q966" s="158"/>
      <c r="R966" s="158"/>
      <c r="S966" s="158"/>
      <c r="T966" s="158"/>
      <c r="U966" s="158"/>
      <c r="V966" s="158"/>
      <c r="W966" s="158"/>
      <c r="X966" s="158"/>
      <c r="Y966" s="158"/>
      <c r="Z966" s="158"/>
      <c r="AA966" s="158"/>
    </row>
    <row r="967" spans="1:27" ht="15.75" customHeight="1" x14ac:dyDescent="0.55000000000000004">
      <c r="A967" s="175">
        <v>150</v>
      </c>
      <c r="B967" s="175" t="s">
        <v>1850</v>
      </c>
      <c r="C967" s="175" t="s">
        <v>1851</v>
      </c>
      <c r="D967" s="176">
        <v>42741</v>
      </c>
      <c r="E967" s="120" t="s">
        <v>3425</v>
      </c>
      <c r="F967" s="131">
        <v>70</v>
      </c>
      <c r="G967" s="120">
        <v>1</v>
      </c>
      <c r="H967" s="131">
        <v>0</v>
      </c>
      <c r="I967" s="120">
        <v>0</v>
      </c>
      <c r="J967" s="133" t="s">
        <v>853</v>
      </c>
      <c r="K967" s="133">
        <v>0</v>
      </c>
      <c r="L967" s="183">
        <v>85.4</v>
      </c>
      <c r="M967" s="133">
        <f t="shared" si="31"/>
        <v>15.400000000000006</v>
      </c>
      <c r="N967" s="157"/>
      <c r="O967" s="158"/>
      <c r="P967" s="158"/>
      <c r="Q967" s="158"/>
      <c r="R967" s="158"/>
      <c r="S967" s="158"/>
      <c r="T967" s="158"/>
      <c r="U967" s="158"/>
      <c r="V967" s="158"/>
      <c r="W967" s="158"/>
      <c r="X967" s="158"/>
      <c r="Y967" s="158"/>
      <c r="Z967" s="158"/>
      <c r="AA967" s="158"/>
    </row>
    <row r="968" spans="1:27" ht="15.75" customHeight="1" x14ac:dyDescent="0.55000000000000004">
      <c r="A968" s="175">
        <v>150</v>
      </c>
      <c r="B968" s="175" t="s">
        <v>1850</v>
      </c>
      <c r="C968" s="175" t="s">
        <v>1851</v>
      </c>
      <c r="D968" s="176">
        <v>42741</v>
      </c>
      <c r="E968" s="120" t="s">
        <v>3426</v>
      </c>
      <c r="F968" s="131">
        <v>84</v>
      </c>
      <c r="G968" s="120">
        <v>1</v>
      </c>
      <c r="H968" s="131">
        <v>0</v>
      </c>
      <c r="I968" s="120">
        <v>0</v>
      </c>
      <c r="J968" s="133" t="s">
        <v>853</v>
      </c>
      <c r="K968" s="133">
        <v>0</v>
      </c>
      <c r="L968" s="183">
        <v>87.6</v>
      </c>
      <c r="M968" s="133">
        <f t="shared" si="31"/>
        <v>3.5999999999999943</v>
      </c>
      <c r="N968" s="157"/>
      <c r="O968" s="158"/>
      <c r="P968" s="158"/>
      <c r="Q968" s="158"/>
      <c r="R968" s="158"/>
      <c r="S968" s="158"/>
      <c r="T968" s="158"/>
      <c r="U968" s="158"/>
      <c r="V968" s="158"/>
      <c r="W968" s="158"/>
      <c r="X968" s="158"/>
      <c r="Y968" s="158"/>
      <c r="Z968" s="158"/>
      <c r="AA968" s="158"/>
    </row>
    <row r="969" spans="1:27" ht="15.75" customHeight="1" x14ac:dyDescent="0.55000000000000004">
      <c r="A969" s="159">
        <v>151</v>
      </c>
      <c r="B969" s="159" t="s">
        <v>1855</v>
      </c>
      <c r="C969" s="159" t="s">
        <v>1856</v>
      </c>
      <c r="D969" s="160">
        <v>42772</v>
      </c>
      <c r="E969" s="120" t="s">
        <v>3427</v>
      </c>
      <c r="F969" s="131">
        <v>22</v>
      </c>
      <c r="G969" s="120">
        <v>0</v>
      </c>
      <c r="H969" s="131">
        <v>1</v>
      </c>
      <c r="I969" s="131">
        <v>2</v>
      </c>
      <c r="J969" s="133" t="s">
        <v>3428</v>
      </c>
      <c r="K969" s="133">
        <v>5</v>
      </c>
      <c r="L969" s="117">
        <v>65.2</v>
      </c>
      <c r="M969" s="133">
        <f t="shared" si="31"/>
        <v>43.2</v>
      </c>
      <c r="N969" s="157"/>
      <c r="O969" s="158"/>
      <c r="P969" s="158"/>
      <c r="Q969" s="158"/>
      <c r="R969" s="158"/>
      <c r="S969" s="158"/>
      <c r="T969" s="158"/>
      <c r="U969" s="158"/>
      <c r="V969" s="158"/>
      <c r="W969" s="158"/>
      <c r="X969" s="158"/>
      <c r="Y969" s="158"/>
      <c r="Z969" s="158"/>
      <c r="AA969" s="158"/>
    </row>
    <row r="970" spans="1:27" ht="15.75" customHeight="1" x14ac:dyDescent="0.55000000000000004">
      <c r="A970" s="159">
        <v>151</v>
      </c>
      <c r="B970" s="159" t="s">
        <v>1855</v>
      </c>
      <c r="C970" s="159" t="s">
        <v>1856</v>
      </c>
      <c r="D970" s="160">
        <v>42772</v>
      </c>
      <c r="E970" s="120" t="s">
        <v>3429</v>
      </c>
      <c r="F970" s="131">
        <v>36</v>
      </c>
      <c r="G970" s="120">
        <v>0</v>
      </c>
      <c r="H970" s="131">
        <v>1</v>
      </c>
      <c r="I970" s="131">
        <v>2</v>
      </c>
      <c r="J970" s="133" t="s">
        <v>3428</v>
      </c>
      <c r="K970" s="133">
        <v>5</v>
      </c>
      <c r="L970" s="117">
        <v>63.8</v>
      </c>
      <c r="M970" s="133">
        <f t="shared" si="31"/>
        <v>27.799999999999997</v>
      </c>
      <c r="N970" s="157"/>
      <c r="O970" s="158"/>
      <c r="P970" s="158"/>
      <c r="Q970" s="158"/>
      <c r="R970" s="158"/>
      <c r="S970" s="158"/>
      <c r="T970" s="158"/>
      <c r="U970" s="158"/>
      <c r="V970" s="158"/>
      <c r="W970" s="158"/>
      <c r="X970" s="158"/>
      <c r="Y970" s="158"/>
      <c r="Z970" s="158"/>
      <c r="AA970" s="158"/>
    </row>
    <row r="971" spans="1:27" ht="15.75" customHeight="1" x14ac:dyDescent="0.55000000000000004">
      <c r="A971" s="159">
        <v>151</v>
      </c>
      <c r="B971" s="159" t="s">
        <v>1855</v>
      </c>
      <c r="C971" s="159" t="s">
        <v>1856</v>
      </c>
      <c r="D971" s="160">
        <v>42772</v>
      </c>
      <c r="E971" s="120" t="s">
        <v>3430</v>
      </c>
      <c r="F971" s="131">
        <v>30</v>
      </c>
      <c r="G971" s="120">
        <v>0</v>
      </c>
      <c r="H971" s="131">
        <v>1</v>
      </c>
      <c r="I971" s="131">
        <v>2</v>
      </c>
      <c r="J971" s="133" t="s">
        <v>3428</v>
      </c>
      <c r="K971" s="133">
        <v>5</v>
      </c>
      <c r="L971" s="117">
        <v>64.5</v>
      </c>
      <c r="M971" s="133">
        <f t="shared" si="31"/>
        <v>34.5</v>
      </c>
      <c r="N971" s="157"/>
      <c r="O971" s="158"/>
      <c r="P971" s="158"/>
      <c r="Q971" s="158"/>
      <c r="R971" s="158"/>
      <c r="S971" s="158"/>
      <c r="T971" s="158"/>
      <c r="U971" s="158"/>
      <c r="V971" s="158"/>
      <c r="W971" s="158"/>
      <c r="X971" s="158"/>
      <c r="Y971" s="158"/>
      <c r="Z971" s="158"/>
      <c r="AA971" s="158"/>
    </row>
    <row r="972" spans="1:27" ht="15.75" customHeight="1" x14ac:dyDescent="0.55000000000000004">
      <c r="A972" s="159">
        <v>151</v>
      </c>
      <c r="B972" s="159" t="s">
        <v>1855</v>
      </c>
      <c r="C972" s="159" t="s">
        <v>1856</v>
      </c>
      <c r="D972" s="160">
        <v>42772</v>
      </c>
      <c r="E972" s="120" t="s">
        <v>3431</v>
      </c>
      <c r="F972" s="131">
        <v>35</v>
      </c>
      <c r="G972" s="120">
        <v>0</v>
      </c>
      <c r="H972" s="131">
        <v>1</v>
      </c>
      <c r="I972" s="131">
        <v>2</v>
      </c>
      <c r="J972" s="133" t="s">
        <v>3428</v>
      </c>
      <c r="K972" s="133">
        <v>5</v>
      </c>
      <c r="L972" s="117">
        <v>63.8</v>
      </c>
      <c r="M972" s="133">
        <f t="shared" si="31"/>
        <v>28.799999999999997</v>
      </c>
      <c r="N972" s="157"/>
      <c r="O972" s="158"/>
      <c r="P972" s="158"/>
      <c r="Q972" s="158"/>
      <c r="R972" s="158"/>
      <c r="S972" s="158"/>
      <c r="T972" s="158"/>
      <c r="U972" s="158"/>
      <c r="V972" s="158"/>
      <c r="W972" s="158"/>
      <c r="X972" s="158"/>
      <c r="Y972" s="158"/>
      <c r="Z972" s="158"/>
      <c r="AA972" s="158"/>
    </row>
    <row r="973" spans="1:27" ht="15.75" customHeight="1" x14ac:dyDescent="0.55000000000000004">
      <c r="A973" s="162">
        <v>152</v>
      </c>
      <c r="B973" s="162" t="s">
        <v>1467</v>
      </c>
      <c r="C973" s="162" t="s">
        <v>1860</v>
      </c>
      <c r="D973" s="163">
        <v>42816</v>
      </c>
      <c r="E973" s="120" t="s">
        <v>3432</v>
      </c>
      <c r="F973" s="131">
        <v>62</v>
      </c>
      <c r="G973" s="120">
        <v>1</v>
      </c>
      <c r="H973" s="120">
        <v>0</v>
      </c>
      <c r="I973" s="120">
        <v>1</v>
      </c>
      <c r="J973" s="133" t="s">
        <v>3433</v>
      </c>
      <c r="K973" s="133">
        <v>5</v>
      </c>
      <c r="L973" s="117">
        <v>74.099999999999994</v>
      </c>
      <c r="M973" s="133">
        <f t="shared" si="31"/>
        <v>12.099999999999994</v>
      </c>
      <c r="N973" s="157"/>
      <c r="O973" s="158"/>
      <c r="P973" s="158"/>
      <c r="Q973" s="158"/>
      <c r="R973" s="158"/>
      <c r="S973" s="158"/>
      <c r="T973" s="158"/>
      <c r="U973" s="158"/>
      <c r="V973" s="158"/>
      <c r="W973" s="158"/>
      <c r="X973" s="158"/>
      <c r="Y973" s="158"/>
      <c r="Z973" s="158"/>
      <c r="AA973" s="158"/>
    </row>
    <row r="974" spans="1:27" ht="15.75" customHeight="1" x14ac:dyDescent="0.55000000000000004">
      <c r="A974" s="162">
        <v>152</v>
      </c>
      <c r="B974" s="162" t="s">
        <v>1467</v>
      </c>
      <c r="C974" s="162" t="s">
        <v>1860</v>
      </c>
      <c r="D974" s="163">
        <v>42816</v>
      </c>
      <c r="E974" s="120" t="s">
        <v>3434</v>
      </c>
      <c r="F974" s="131">
        <v>67</v>
      </c>
      <c r="G974" s="120">
        <v>1</v>
      </c>
      <c r="H974" s="131">
        <v>0</v>
      </c>
      <c r="I974" s="120">
        <v>1</v>
      </c>
      <c r="J974" s="133" t="s">
        <v>3435</v>
      </c>
      <c r="K974" s="133">
        <v>5</v>
      </c>
      <c r="L974" s="183">
        <v>85.5</v>
      </c>
      <c r="M974" s="133">
        <f t="shared" si="31"/>
        <v>18.5</v>
      </c>
      <c r="N974" s="157"/>
      <c r="O974" s="158"/>
      <c r="P974" s="158"/>
      <c r="Q974" s="158"/>
      <c r="R974" s="158"/>
      <c r="S974" s="158"/>
      <c r="T974" s="158"/>
      <c r="U974" s="158"/>
      <c r="V974" s="158"/>
      <c r="W974" s="158"/>
      <c r="X974" s="158"/>
      <c r="Y974" s="158"/>
      <c r="Z974" s="158"/>
      <c r="AA974" s="158"/>
    </row>
    <row r="975" spans="1:27" ht="15.75" customHeight="1" x14ac:dyDescent="0.55000000000000004">
      <c r="A975" s="162">
        <v>152</v>
      </c>
      <c r="B975" s="162" t="s">
        <v>1467</v>
      </c>
      <c r="C975" s="162" t="s">
        <v>1860</v>
      </c>
      <c r="D975" s="163">
        <v>42816</v>
      </c>
      <c r="E975" s="120" t="s">
        <v>3436</v>
      </c>
      <c r="F975" s="131">
        <v>43</v>
      </c>
      <c r="G975" s="120">
        <v>1</v>
      </c>
      <c r="H975" s="120">
        <v>0</v>
      </c>
      <c r="I975" s="120">
        <v>1</v>
      </c>
      <c r="J975" s="133" t="s">
        <v>3437</v>
      </c>
      <c r="K975" s="133">
        <v>5</v>
      </c>
      <c r="L975" s="117">
        <v>77.3</v>
      </c>
      <c r="M975" s="133">
        <f t="shared" si="31"/>
        <v>34.299999999999997</v>
      </c>
      <c r="N975" s="157"/>
      <c r="O975" s="158"/>
      <c r="P975" s="158"/>
      <c r="Q975" s="158"/>
      <c r="R975" s="158"/>
      <c r="S975" s="158"/>
      <c r="T975" s="158"/>
      <c r="U975" s="158"/>
      <c r="V975" s="158"/>
      <c r="W975" s="158"/>
      <c r="X975" s="158"/>
      <c r="Y975" s="158"/>
      <c r="Z975" s="158"/>
      <c r="AA975" s="158"/>
    </row>
    <row r="976" spans="1:27" ht="15.75" customHeight="1" x14ac:dyDescent="0.55000000000000004">
      <c r="A976" s="162">
        <v>152</v>
      </c>
      <c r="B976" s="162" t="s">
        <v>1467</v>
      </c>
      <c r="C976" s="162" t="s">
        <v>1860</v>
      </c>
      <c r="D976" s="163">
        <v>42816</v>
      </c>
      <c r="E976" s="120" t="s">
        <v>3438</v>
      </c>
      <c r="F976" s="131">
        <v>40</v>
      </c>
      <c r="G976" s="120">
        <v>0</v>
      </c>
      <c r="H976" s="120">
        <v>0</v>
      </c>
      <c r="I976" s="120">
        <v>0</v>
      </c>
      <c r="J976" s="133" t="s">
        <v>853</v>
      </c>
      <c r="K976" s="133">
        <v>0</v>
      </c>
      <c r="L976" s="117">
        <v>69.5</v>
      </c>
      <c r="M976" s="133">
        <f t="shared" si="31"/>
        <v>29.5</v>
      </c>
      <c r="N976" s="157"/>
      <c r="O976" s="158"/>
      <c r="P976" s="158"/>
      <c r="Q976" s="158"/>
      <c r="R976" s="158"/>
      <c r="S976" s="158"/>
      <c r="T976" s="158"/>
      <c r="U976" s="158"/>
      <c r="V976" s="158"/>
      <c r="W976" s="158"/>
      <c r="X976" s="158"/>
      <c r="Y976" s="158"/>
      <c r="Z976" s="158"/>
      <c r="AA976" s="158"/>
    </row>
    <row r="977" spans="1:27" ht="15.75" customHeight="1" x14ac:dyDescent="0.55000000000000004">
      <c r="A977" s="171">
        <v>153</v>
      </c>
      <c r="B977" s="171" t="s">
        <v>1865</v>
      </c>
      <c r="C977" s="171" t="s">
        <v>1014</v>
      </c>
      <c r="D977" s="172">
        <v>42891</v>
      </c>
      <c r="E977" s="120" t="s">
        <v>3439</v>
      </c>
      <c r="F977" s="131">
        <v>53</v>
      </c>
      <c r="G977" s="120">
        <v>0</v>
      </c>
      <c r="H977" s="131">
        <v>0</v>
      </c>
      <c r="I977" s="120">
        <v>1</v>
      </c>
      <c r="J977" s="133" t="s">
        <v>2595</v>
      </c>
      <c r="K977" s="133">
        <v>3</v>
      </c>
      <c r="L977" s="117">
        <v>67.400000000000006</v>
      </c>
      <c r="M977" s="133">
        <f t="shared" si="31"/>
        <v>14.400000000000006</v>
      </c>
      <c r="N977" s="157"/>
      <c r="O977" s="158"/>
      <c r="P977" s="158"/>
      <c r="Q977" s="158"/>
      <c r="R977" s="158"/>
      <c r="S977" s="158"/>
      <c r="T977" s="158"/>
      <c r="U977" s="158"/>
      <c r="V977" s="158"/>
      <c r="W977" s="158"/>
      <c r="X977" s="158"/>
      <c r="Y977" s="158"/>
      <c r="Z977" s="158"/>
      <c r="AA977" s="158"/>
    </row>
    <row r="978" spans="1:27" ht="15.75" customHeight="1" x14ac:dyDescent="0.55000000000000004">
      <c r="A978" s="171">
        <v>153</v>
      </c>
      <c r="B978" s="171" t="s">
        <v>1865</v>
      </c>
      <c r="C978" s="171" t="s">
        <v>1014</v>
      </c>
      <c r="D978" s="172">
        <v>42891</v>
      </c>
      <c r="E978" s="120" t="s">
        <v>3440</v>
      </c>
      <c r="F978" s="131">
        <v>46</v>
      </c>
      <c r="G978" s="120">
        <v>0</v>
      </c>
      <c r="H978" s="131">
        <v>0</v>
      </c>
      <c r="I978" s="120">
        <v>1</v>
      </c>
      <c r="J978" s="133" t="s">
        <v>2595</v>
      </c>
      <c r="K978" s="133">
        <v>3</v>
      </c>
      <c r="L978" s="117">
        <v>68</v>
      </c>
      <c r="M978" s="133">
        <f t="shared" si="31"/>
        <v>22</v>
      </c>
      <c r="N978" s="157"/>
      <c r="O978" s="158"/>
      <c r="P978" s="158"/>
      <c r="Q978" s="158"/>
      <c r="R978" s="158"/>
      <c r="S978" s="158"/>
      <c r="T978" s="158"/>
      <c r="U978" s="158"/>
      <c r="V978" s="158"/>
      <c r="W978" s="158"/>
      <c r="X978" s="158"/>
      <c r="Y978" s="158"/>
      <c r="Z978" s="158"/>
      <c r="AA978" s="158"/>
    </row>
    <row r="979" spans="1:27" ht="15.75" customHeight="1" x14ac:dyDescent="0.55000000000000004">
      <c r="A979" s="171">
        <v>153</v>
      </c>
      <c r="B979" s="171" t="s">
        <v>1865</v>
      </c>
      <c r="C979" s="171" t="s">
        <v>1014</v>
      </c>
      <c r="D979" s="172">
        <v>42891</v>
      </c>
      <c r="E979" s="120" t="s">
        <v>3441</v>
      </c>
      <c r="F979" s="131">
        <v>44</v>
      </c>
      <c r="G979" s="120">
        <v>1</v>
      </c>
      <c r="H979" s="131">
        <v>2</v>
      </c>
      <c r="I979" s="120">
        <v>1</v>
      </c>
      <c r="J979" s="133" t="s">
        <v>2595</v>
      </c>
      <c r="K979" s="133">
        <v>3</v>
      </c>
      <c r="L979" s="117">
        <v>76.599999999999994</v>
      </c>
      <c r="M979" s="133">
        <f t="shared" si="31"/>
        <v>32.599999999999994</v>
      </c>
      <c r="N979" s="157"/>
      <c r="O979" s="158"/>
      <c r="P979" s="158"/>
      <c r="Q979" s="158"/>
      <c r="R979" s="158"/>
      <c r="S979" s="158"/>
      <c r="T979" s="158"/>
      <c r="U979" s="158"/>
      <c r="V979" s="158"/>
      <c r="W979" s="158"/>
      <c r="X979" s="158"/>
      <c r="Y979" s="158"/>
      <c r="Z979" s="158"/>
      <c r="AA979" s="158"/>
    </row>
    <row r="980" spans="1:27" ht="15.75" customHeight="1" x14ac:dyDescent="0.55000000000000004">
      <c r="A980" s="171">
        <v>153</v>
      </c>
      <c r="B980" s="171" t="s">
        <v>1865</v>
      </c>
      <c r="C980" s="171" t="s">
        <v>1014</v>
      </c>
      <c r="D980" s="172">
        <v>42891</v>
      </c>
      <c r="E980" s="120" t="s">
        <v>3442</v>
      </c>
      <c r="F980" s="131">
        <v>57</v>
      </c>
      <c r="G980" s="120">
        <v>0</v>
      </c>
      <c r="H980" s="131">
        <v>0</v>
      </c>
      <c r="I980" s="120">
        <v>1</v>
      </c>
      <c r="J980" s="133" t="s">
        <v>2595</v>
      </c>
      <c r="K980" s="133">
        <v>3</v>
      </c>
      <c r="L980" s="117">
        <v>67.400000000000006</v>
      </c>
      <c r="M980" s="133">
        <f t="shared" si="31"/>
        <v>10.400000000000006</v>
      </c>
      <c r="N980" s="157"/>
      <c r="O980" s="158"/>
      <c r="P980" s="158"/>
      <c r="Q980" s="158"/>
      <c r="R980" s="158"/>
      <c r="S980" s="158"/>
      <c r="T980" s="158"/>
      <c r="U980" s="158"/>
      <c r="V980" s="158"/>
      <c r="W980" s="158"/>
      <c r="X980" s="158"/>
      <c r="Y980" s="158"/>
      <c r="Z980" s="158"/>
      <c r="AA980" s="158"/>
    </row>
    <row r="981" spans="1:27" ht="15.75" customHeight="1" x14ac:dyDescent="0.55000000000000004">
      <c r="A981" s="171">
        <v>153</v>
      </c>
      <c r="B981" s="171" t="s">
        <v>1865</v>
      </c>
      <c r="C981" s="171" t="s">
        <v>1014</v>
      </c>
      <c r="D981" s="172">
        <v>42891</v>
      </c>
      <c r="E981" s="120" t="s">
        <v>3443</v>
      </c>
      <c r="F981" s="131">
        <v>69</v>
      </c>
      <c r="G981" s="120">
        <v>0</v>
      </c>
      <c r="H981" s="131">
        <v>0</v>
      </c>
      <c r="I981" s="131">
        <v>1</v>
      </c>
      <c r="J981" s="133" t="s">
        <v>2641</v>
      </c>
      <c r="K981" s="133">
        <v>3</v>
      </c>
      <c r="L981" s="183">
        <v>83</v>
      </c>
      <c r="M981" s="133">
        <f t="shared" si="31"/>
        <v>14</v>
      </c>
      <c r="N981" s="157"/>
      <c r="O981" s="158"/>
      <c r="P981" s="158"/>
      <c r="Q981" s="158"/>
      <c r="R981" s="158"/>
      <c r="S981" s="158"/>
      <c r="T981" s="158"/>
      <c r="U981" s="158"/>
      <c r="V981" s="158"/>
      <c r="W981" s="158"/>
      <c r="X981" s="158"/>
      <c r="Y981" s="158"/>
      <c r="Z981" s="158"/>
      <c r="AA981" s="158"/>
    </row>
    <row r="982" spans="1:27" ht="15.75" customHeight="1" x14ac:dyDescent="0.55000000000000004">
      <c r="A982" s="164">
        <v>154</v>
      </c>
      <c r="B982" s="164" t="s">
        <v>1869</v>
      </c>
      <c r="C982" s="164" t="s">
        <v>1870</v>
      </c>
      <c r="D982" s="165">
        <v>43009</v>
      </c>
      <c r="E982" s="120" t="s">
        <v>3444</v>
      </c>
      <c r="F982" s="131">
        <v>35</v>
      </c>
      <c r="G982" s="120">
        <v>1</v>
      </c>
      <c r="H982" s="131">
        <v>0</v>
      </c>
      <c r="I982" s="120">
        <v>0</v>
      </c>
      <c r="J982" s="133" t="s">
        <v>853</v>
      </c>
      <c r="K982" s="133">
        <v>0</v>
      </c>
      <c r="L982" s="117">
        <v>78.099999999999994</v>
      </c>
      <c r="M982" s="133">
        <f t="shared" si="31"/>
        <v>43.099999999999994</v>
      </c>
      <c r="N982" s="157"/>
      <c r="O982" s="158"/>
      <c r="P982" s="158"/>
      <c r="Q982" s="158"/>
      <c r="R982" s="158"/>
      <c r="S982" s="158"/>
      <c r="T982" s="158"/>
      <c r="U982" s="158"/>
      <c r="V982" s="158"/>
      <c r="W982" s="158"/>
      <c r="X982" s="158"/>
      <c r="Y982" s="158"/>
      <c r="Z982" s="158"/>
      <c r="AA982" s="158"/>
    </row>
    <row r="983" spans="1:27" ht="15.75" customHeight="1" x14ac:dyDescent="0.55000000000000004">
      <c r="A983" s="164">
        <v>154</v>
      </c>
      <c r="B983" s="164" t="s">
        <v>1869</v>
      </c>
      <c r="C983" s="164" t="s">
        <v>1870</v>
      </c>
      <c r="D983" s="165">
        <v>43009</v>
      </c>
      <c r="E983" s="120" t="s">
        <v>3445</v>
      </c>
      <c r="F983" s="131">
        <v>35</v>
      </c>
      <c r="G983" s="120">
        <v>1</v>
      </c>
      <c r="H983" s="131">
        <v>0</v>
      </c>
      <c r="I983" s="120">
        <v>0</v>
      </c>
      <c r="J983" s="133" t="s">
        <v>853</v>
      </c>
      <c r="K983" s="133">
        <v>0</v>
      </c>
      <c r="L983" s="117">
        <v>78.099999999999994</v>
      </c>
      <c r="M983" s="133">
        <f t="shared" si="31"/>
        <v>43.099999999999994</v>
      </c>
      <c r="N983" s="157"/>
      <c r="O983" s="158"/>
      <c r="P983" s="158"/>
      <c r="Q983" s="158"/>
      <c r="R983" s="158"/>
      <c r="S983" s="158"/>
      <c r="T983" s="158"/>
      <c r="U983" s="158"/>
      <c r="V983" s="158"/>
      <c r="W983" s="158"/>
      <c r="X983" s="158"/>
      <c r="Y983" s="158"/>
      <c r="Z983" s="158"/>
      <c r="AA983" s="158"/>
    </row>
    <row r="984" spans="1:27" ht="15.75" customHeight="1" x14ac:dyDescent="0.55000000000000004">
      <c r="A984" s="164">
        <v>154</v>
      </c>
      <c r="B984" s="164" t="s">
        <v>1869</v>
      </c>
      <c r="C984" s="164" t="s">
        <v>1870</v>
      </c>
      <c r="D984" s="165">
        <v>43009</v>
      </c>
      <c r="E984" s="120" t="s">
        <v>3446</v>
      </c>
      <c r="F984" s="131">
        <v>49</v>
      </c>
      <c r="G984" s="120">
        <v>1</v>
      </c>
      <c r="H984" s="131">
        <v>0</v>
      </c>
      <c r="I984" s="120">
        <v>0</v>
      </c>
      <c r="J984" s="133" t="s">
        <v>853</v>
      </c>
      <c r="K984" s="133">
        <v>0</v>
      </c>
      <c r="L984" s="117">
        <v>75.599999999999994</v>
      </c>
      <c r="M984" s="133">
        <f t="shared" si="31"/>
        <v>26.599999999999994</v>
      </c>
      <c r="N984" s="157"/>
      <c r="O984" s="158"/>
      <c r="P984" s="158"/>
      <c r="Q984" s="158"/>
      <c r="R984" s="158"/>
      <c r="S984" s="158"/>
      <c r="T984" s="158"/>
      <c r="U984" s="158"/>
      <c r="V984" s="158"/>
      <c r="W984" s="158"/>
      <c r="X984" s="158"/>
      <c r="Y984" s="158"/>
      <c r="Z984" s="158"/>
      <c r="AA984" s="158"/>
    </row>
    <row r="985" spans="1:27" ht="15.75" customHeight="1" x14ac:dyDescent="0.55000000000000004">
      <c r="A985" s="164">
        <v>154</v>
      </c>
      <c r="B985" s="164" t="s">
        <v>1869</v>
      </c>
      <c r="C985" s="164" t="s">
        <v>1870</v>
      </c>
      <c r="D985" s="165">
        <v>43009</v>
      </c>
      <c r="E985" s="120" t="s">
        <v>3447</v>
      </c>
      <c r="F985" s="131">
        <v>34</v>
      </c>
      <c r="G985" s="120">
        <v>1</v>
      </c>
      <c r="H985" s="131">
        <v>0</v>
      </c>
      <c r="I985" s="120">
        <v>0</v>
      </c>
      <c r="J985" s="133" t="s">
        <v>853</v>
      </c>
      <c r="K985" s="133">
        <v>0</v>
      </c>
      <c r="L985" s="117">
        <v>78.099999999999994</v>
      </c>
      <c r="M985" s="133">
        <f t="shared" si="31"/>
        <v>44.099999999999994</v>
      </c>
      <c r="N985" s="157"/>
      <c r="O985" s="158"/>
      <c r="P985" s="158"/>
      <c r="Q985" s="158"/>
      <c r="R985" s="158"/>
      <c r="S985" s="158"/>
      <c r="T985" s="158"/>
      <c r="U985" s="158"/>
      <c r="V985" s="158"/>
      <c r="W985" s="158"/>
      <c r="X985" s="158"/>
      <c r="Y985" s="158"/>
      <c r="Z985" s="158"/>
      <c r="AA985" s="158"/>
    </row>
    <row r="986" spans="1:27" ht="15.75" customHeight="1" x14ac:dyDescent="0.55000000000000004">
      <c r="A986" s="164">
        <v>154</v>
      </c>
      <c r="B986" s="164" t="s">
        <v>1869</v>
      </c>
      <c r="C986" s="164" t="s">
        <v>1870</v>
      </c>
      <c r="D986" s="165">
        <v>43009</v>
      </c>
      <c r="E986" s="120" t="s">
        <v>3448</v>
      </c>
      <c r="F986" s="131">
        <v>54</v>
      </c>
      <c r="G986" s="120">
        <v>0</v>
      </c>
      <c r="H986" s="131">
        <v>0</v>
      </c>
      <c r="I986" s="120">
        <v>0</v>
      </c>
      <c r="J986" s="133" t="s">
        <v>853</v>
      </c>
      <c r="K986" s="133">
        <v>0</v>
      </c>
      <c r="L986" s="117">
        <v>67.400000000000006</v>
      </c>
      <c r="M986" s="133">
        <f t="shared" si="31"/>
        <v>13.400000000000006</v>
      </c>
      <c r="N986" s="157"/>
      <c r="O986" s="158"/>
      <c r="P986" s="158"/>
      <c r="Q986" s="158"/>
      <c r="R986" s="158"/>
      <c r="S986" s="158"/>
      <c r="T986" s="158"/>
      <c r="U986" s="158"/>
      <c r="V986" s="158"/>
      <c r="W986" s="158"/>
      <c r="X986" s="158"/>
      <c r="Y986" s="158"/>
      <c r="Z986" s="158"/>
      <c r="AA986" s="158"/>
    </row>
    <row r="987" spans="1:27" ht="15.75" customHeight="1" x14ac:dyDescent="0.55000000000000004">
      <c r="A987" s="164">
        <v>154</v>
      </c>
      <c r="B987" s="164" t="s">
        <v>1869</v>
      </c>
      <c r="C987" s="164" t="s">
        <v>1870</v>
      </c>
      <c r="D987" s="165">
        <v>43009</v>
      </c>
      <c r="E987" s="120" t="s">
        <v>3449</v>
      </c>
      <c r="F987" s="131">
        <v>44</v>
      </c>
      <c r="G987" s="120">
        <v>0</v>
      </c>
      <c r="H987" s="131">
        <v>0</v>
      </c>
      <c r="I987" s="120">
        <v>0</v>
      </c>
      <c r="J987" s="133" t="s">
        <v>853</v>
      </c>
      <c r="K987" s="133">
        <v>0</v>
      </c>
      <c r="L987" s="117">
        <v>69.5</v>
      </c>
      <c r="M987" s="133">
        <f t="shared" si="31"/>
        <v>25.5</v>
      </c>
      <c r="N987" s="157"/>
      <c r="O987" s="158"/>
      <c r="P987" s="158"/>
      <c r="Q987" s="158"/>
      <c r="R987" s="158"/>
      <c r="S987" s="158"/>
      <c r="T987" s="158"/>
      <c r="U987" s="158"/>
      <c r="V987" s="158"/>
      <c r="W987" s="158"/>
      <c r="X987" s="158"/>
      <c r="Y987" s="158"/>
      <c r="Z987" s="158"/>
      <c r="AA987" s="158"/>
    </row>
    <row r="988" spans="1:27" ht="15.75" customHeight="1" x14ac:dyDescent="0.55000000000000004">
      <c r="A988" s="164">
        <v>154</v>
      </c>
      <c r="B988" s="164" t="s">
        <v>1869</v>
      </c>
      <c r="C988" s="164" t="s">
        <v>1870</v>
      </c>
      <c r="D988" s="165">
        <v>43009</v>
      </c>
      <c r="E988" s="120" t="s">
        <v>3450</v>
      </c>
      <c r="F988" s="131">
        <v>40</v>
      </c>
      <c r="G988" s="120">
        <v>1</v>
      </c>
      <c r="H988" s="131">
        <v>0</v>
      </c>
      <c r="I988" s="120">
        <v>0</v>
      </c>
      <c r="J988" s="133" t="s">
        <v>853</v>
      </c>
      <c r="K988" s="133">
        <v>0</v>
      </c>
      <c r="L988" s="117">
        <v>77.3</v>
      </c>
      <c r="M988" s="133">
        <f t="shared" si="31"/>
        <v>37.299999999999997</v>
      </c>
      <c r="N988" s="157"/>
      <c r="O988" s="158"/>
      <c r="P988" s="158"/>
      <c r="Q988" s="158"/>
      <c r="R988" s="158"/>
      <c r="S988" s="158"/>
      <c r="T988" s="158"/>
      <c r="U988" s="158"/>
      <c r="V988" s="158"/>
      <c r="W988" s="158"/>
      <c r="X988" s="158"/>
      <c r="Y988" s="158"/>
      <c r="Z988" s="158"/>
      <c r="AA988" s="158"/>
    </row>
    <row r="989" spans="1:27" ht="15.75" customHeight="1" x14ac:dyDescent="0.55000000000000004">
      <c r="A989" s="164">
        <v>154</v>
      </c>
      <c r="B989" s="164" t="s">
        <v>1869</v>
      </c>
      <c r="C989" s="164" t="s">
        <v>1870</v>
      </c>
      <c r="D989" s="165">
        <v>43009</v>
      </c>
      <c r="E989" s="120" t="s">
        <v>3451</v>
      </c>
      <c r="F989" s="131">
        <v>50</v>
      </c>
      <c r="G989" s="120">
        <v>1</v>
      </c>
      <c r="H989" s="131">
        <v>0</v>
      </c>
      <c r="I989" s="120">
        <v>0</v>
      </c>
      <c r="J989" s="133" t="s">
        <v>853</v>
      </c>
      <c r="K989" s="133">
        <v>0</v>
      </c>
      <c r="L989" s="117">
        <v>75.599999999999994</v>
      </c>
      <c r="M989" s="133">
        <f t="shared" si="31"/>
        <v>25.599999999999994</v>
      </c>
      <c r="N989" s="157"/>
      <c r="O989" s="158"/>
      <c r="P989" s="158"/>
      <c r="Q989" s="158"/>
      <c r="R989" s="158"/>
      <c r="S989" s="158"/>
      <c r="T989" s="158"/>
      <c r="U989" s="158"/>
      <c r="V989" s="158"/>
      <c r="W989" s="158"/>
      <c r="X989" s="158"/>
      <c r="Y989" s="158"/>
      <c r="Z989" s="158"/>
      <c r="AA989" s="158"/>
    </row>
    <row r="990" spans="1:27" ht="15.75" customHeight="1" x14ac:dyDescent="0.55000000000000004">
      <c r="A990" s="164">
        <v>154</v>
      </c>
      <c r="B990" s="164" t="s">
        <v>1869</v>
      </c>
      <c r="C990" s="164" t="s">
        <v>1870</v>
      </c>
      <c r="D990" s="165">
        <v>43009</v>
      </c>
      <c r="E990" s="120" t="s">
        <v>3452</v>
      </c>
      <c r="F990" s="131">
        <v>34</v>
      </c>
      <c r="G990" s="120">
        <v>1</v>
      </c>
      <c r="H990" s="131">
        <v>0</v>
      </c>
      <c r="I990" s="120">
        <v>0</v>
      </c>
      <c r="J990" s="133" t="s">
        <v>853</v>
      </c>
      <c r="K990" s="133">
        <v>0</v>
      </c>
      <c r="L990" s="117">
        <v>78.099999999999994</v>
      </c>
      <c r="M990" s="133">
        <f t="shared" si="31"/>
        <v>44.099999999999994</v>
      </c>
      <c r="N990" s="157"/>
      <c r="O990" s="158"/>
      <c r="P990" s="158"/>
      <c r="Q990" s="158"/>
      <c r="R990" s="158"/>
      <c r="S990" s="158"/>
      <c r="T990" s="158"/>
      <c r="U990" s="158"/>
      <c r="V990" s="158"/>
      <c r="W990" s="158"/>
      <c r="X990" s="158"/>
      <c r="Y990" s="158"/>
      <c r="Z990" s="158"/>
      <c r="AA990" s="158"/>
    </row>
    <row r="991" spans="1:27" ht="15.75" customHeight="1" x14ac:dyDescent="0.55000000000000004">
      <c r="A991" s="164">
        <v>154</v>
      </c>
      <c r="B991" s="164" t="s">
        <v>1869</v>
      </c>
      <c r="C991" s="164" t="s">
        <v>1870</v>
      </c>
      <c r="D991" s="165">
        <v>43009</v>
      </c>
      <c r="E991" s="120" t="s">
        <v>3453</v>
      </c>
      <c r="F991" s="131">
        <v>28</v>
      </c>
      <c r="G991" s="120">
        <v>1</v>
      </c>
      <c r="H991" s="131">
        <v>2</v>
      </c>
      <c r="I991" s="120">
        <v>0</v>
      </c>
      <c r="J991" s="133" t="s">
        <v>853</v>
      </c>
      <c r="K991" s="133">
        <v>0</v>
      </c>
      <c r="L991" s="117">
        <v>78.8</v>
      </c>
      <c r="M991" s="133">
        <f t="shared" si="31"/>
        <v>50.8</v>
      </c>
      <c r="N991" s="157"/>
      <c r="O991" s="158"/>
      <c r="P991" s="158"/>
      <c r="Q991" s="158"/>
      <c r="R991" s="158"/>
      <c r="S991" s="158"/>
      <c r="T991" s="158"/>
      <c r="U991" s="158"/>
      <c r="V991" s="158"/>
      <c r="W991" s="158"/>
      <c r="X991" s="158"/>
      <c r="Y991" s="158"/>
      <c r="Z991" s="158"/>
      <c r="AA991" s="158"/>
    </row>
    <row r="992" spans="1:27" ht="15.75" customHeight="1" x14ac:dyDescent="0.55000000000000004">
      <c r="A992" s="164">
        <v>154</v>
      </c>
      <c r="B992" s="164" t="s">
        <v>1869</v>
      </c>
      <c r="C992" s="164" t="s">
        <v>1870</v>
      </c>
      <c r="D992" s="165">
        <v>43009</v>
      </c>
      <c r="E992" s="120" t="s">
        <v>3454</v>
      </c>
      <c r="F992" s="131">
        <v>58</v>
      </c>
      <c r="G992" s="120">
        <v>1</v>
      </c>
      <c r="H992" s="131">
        <v>2</v>
      </c>
      <c r="I992" s="120">
        <v>0</v>
      </c>
      <c r="J992" s="133" t="s">
        <v>853</v>
      </c>
      <c r="K992" s="133">
        <v>0</v>
      </c>
      <c r="L992" s="117">
        <v>73.099999999999994</v>
      </c>
      <c r="M992" s="133">
        <f t="shared" si="31"/>
        <v>15.099999999999994</v>
      </c>
      <c r="N992" s="157"/>
      <c r="O992" s="158"/>
      <c r="P992" s="158"/>
      <c r="Q992" s="158"/>
      <c r="R992" s="158"/>
      <c r="S992" s="158"/>
      <c r="T992" s="158"/>
      <c r="U992" s="158"/>
      <c r="V992" s="158"/>
      <c r="W992" s="158"/>
      <c r="X992" s="158"/>
      <c r="Y992" s="158"/>
      <c r="Z992" s="158"/>
      <c r="AA992" s="158"/>
    </row>
    <row r="993" spans="1:27" ht="15.75" customHeight="1" x14ac:dyDescent="0.55000000000000004">
      <c r="A993" s="164">
        <v>154</v>
      </c>
      <c r="B993" s="164" t="s">
        <v>1869</v>
      </c>
      <c r="C993" s="164" t="s">
        <v>1870</v>
      </c>
      <c r="D993" s="165">
        <v>43009</v>
      </c>
      <c r="E993" s="120" t="s">
        <v>3455</v>
      </c>
      <c r="F993" s="131">
        <v>29</v>
      </c>
      <c r="G993" s="120">
        <v>0</v>
      </c>
      <c r="H993" s="131">
        <v>0</v>
      </c>
      <c r="I993" s="120">
        <v>0</v>
      </c>
      <c r="J993" s="133" t="s">
        <v>853</v>
      </c>
      <c r="K993" s="133">
        <v>0</v>
      </c>
      <c r="L993" s="117">
        <v>72.7</v>
      </c>
      <c r="M993" s="133">
        <f t="shared" si="31"/>
        <v>43.7</v>
      </c>
      <c r="N993" s="157"/>
      <c r="O993" s="158"/>
      <c r="P993" s="158"/>
      <c r="Q993" s="158"/>
      <c r="R993" s="158"/>
      <c r="S993" s="158"/>
      <c r="T993" s="158"/>
      <c r="U993" s="158"/>
      <c r="V993" s="158"/>
      <c r="W993" s="158"/>
      <c r="X993" s="158"/>
      <c r="Y993" s="158"/>
      <c r="Z993" s="158"/>
      <c r="AA993" s="158"/>
    </row>
    <row r="994" spans="1:27" ht="15.75" customHeight="1" x14ac:dyDescent="0.55000000000000004">
      <c r="A994" s="164">
        <v>154</v>
      </c>
      <c r="B994" s="164" t="s">
        <v>1869</v>
      </c>
      <c r="C994" s="164" t="s">
        <v>1870</v>
      </c>
      <c r="D994" s="165">
        <v>43009</v>
      </c>
      <c r="E994" s="120" t="s">
        <v>3456</v>
      </c>
      <c r="F994" s="131">
        <v>54</v>
      </c>
      <c r="G994" s="120">
        <v>0</v>
      </c>
      <c r="H994" s="131">
        <v>0</v>
      </c>
      <c r="I994" s="120">
        <v>0</v>
      </c>
      <c r="J994" s="133" t="s">
        <v>853</v>
      </c>
      <c r="K994" s="133">
        <v>0</v>
      </c>
      <c r="L994" s="117">
        <v>67.400000000000006</v>
      </c>
      <c r="M994" s="133">
        <f t="shared" si="31"/>
        <v>13.400000000000006</v>
      </c>
      <c r="N994" s="157"/>
      <c r="O994" s="158"/>
      <c r="P994" s="158"/>
      <c r="Q994" s="158"/>
      <c r="R994" s="158"/>
      <c r="S994" s="158"/>
      <c r="T994" s="158"/>
      <c r="U994" s="158"/>
      <c r="V994" s="158"/>
      <c r="W994" s="158"/>
      <c r="X994" s="158"/>
      <c r="Y994" s="158"/>
      <c r="Z994" s="158"/>
      <c r="AA994" s="158"/>
    </row>
    <row r="995" spans="1:27" ht="15.75" customHeight="1" x14ac:dyDescent="0.55000000000000004">
      <c r="A995" s="164">
        <v>154</v>
      </c>
      <c r="B995" s="164" t="s">
        <v>1869</v>
      </c>
      <c r="C995" s="164" t="s">
        <v>1870</v>
      </c>
      <c r="D995" s="165">
        <v>43009</v>
      </c>
      <c r="E995" s="120" t="s">
        <v>3457</v>
      </c>
      <c r="F995" s="131">
        <v>22</v>
      </c>
      <c r="G995" s="120">
        <v>1</v>
      </c>
      <c r="H995" s="131">
        <v>2</v>
      </c>
      <c r="I995" s="120">
        <v>0</v>
      </c>
      <c r="J995" s="133" t="s">
        <v>853</v>
      </c>
      <c r="K995" s="133">
        <v>0</v>
      </c>
      <c r="L995" s="117">
        <v>78.900000000000006</v>
      </c>
      <c r="M995" s="133">
        <f t="shared" si="31"/>
        <v>56.900000000000006</v>
      </c>
      <c r="N995" s="157"/>
      <c r="O995" s="158"/>
      <c r="P995" s="158"/>
      <c r="Q995" s="158"/>
      <c r="R995" s="158"/>
      <c r="S995" s="158"/>
      <c r="T995" s="158"/>
      <c r="U995" s="158"/>
      <c r="V995" s="158"/>
      <c r="W995" s="158"/>
      <c r="X995" s="158"/>
      <c r="Y995" s="158"/>
      <c r="Z995" s="158"/>
      <c r="AA995" s="158"/>
    </row>
    <row r="996" spans="1:27" ht="15.75" customHeight="1" x14ac:dyDescent="0.55000000000000004">
      <c r="A996" s="164">
        <v>154</v>
      </c>
      <c r="B996" s="164" t="s">
        <v>1869</v>
      </c>
      <c r="C996" s="164" t="s">
        <v>1870</v>
      </c>
      <c r="D996" s="165">
        <v>43009</v>
      </c>
      <c r="E996" s="120" t="s">
        <v>3458</v>
      </c>
      <c r="F996" s="131">
        <v>50</v>
      </c>
      <c r="G996" s="120">
        <v>1</v>
      </c>
      <c r="H996" s="131">
        <v>0</v>
      </c>
      <c r="I996" s="120">
        <v>0</v>
      </c>
      <c r="J996" s="133" t="s">
        <v>853</v>
      </c>
      <c r="K996" s="133">
        <v>0</v>
      </c>
      <c r="L996" s="117">
        <v>75.599999999999994</v>
      </c>
      <c r="M996" s="133">
        <f t="shared" si="31"/>
        <v>25.599999999999994</v>
      </c>
      <c r="N996" s="157"/>
      <c r="O996" s="158"/>
      <c r="P996" s="158"/>
      <c r="Q996" s="158"/>
      <c r="R996" s="158"/>
      <c r="S996" s="158"/>
      <c r="T996" s="158"/>
      <c r="U996" s="158"/>
      <c r="V996" s="158"/>
      <c r="W996" s="158"/>
      <c r="X996" s="158"/>
      <c r="Y996" s="158"/>
      <c r="Z996" s="158"/>
      <c r="AA996" s="158"/>
    </row>
    <row r="997" spans="1:27" ht="15.75" customHeight="1" x14ac:dyDescent="0.55000000000000004">
      <c r="A997" s="164">
        <v>154</v>
      </c>
      <c r="B997" s="164" t="s">
        <v>1869</v>
      </c>
      <c r="C997" s="164" t="s">
        <v>1870</v>
      </c>
      <c r="D997" s="165">
        <v>43009</v>
      </c>
      <c r="E997" s="120" t="s">
        <v>3459</v>
      </c>
      <c r="F997" s="131">
        <v>39</v>
      </c>
      <c r="G997" s="120">
        <v>0</v>
      </c>
      <c r="H997" s="131">
        <v>0</v>
      </c>
      <c r="I997" s="120">
        <v>0</v>
      </c>
      <c r="J997" s="133" t="s">
        <v>853</v>
      </c>
      <c r="K997" s="133">
        <v>0</v>
      </c>
      <c r="L997" s="117">
        <v>70.7</v>
      </c>
      <c r="M997" s="133">
        <f t="shared" si="31"/>
        <v>31.700000000000003</v>
      </c>
      <c r="N997" s="157"/>
      <c r="O997" s="158"/>
      <c r="P997" s="158"/>
      <c r="Q997" s="158"/>
      <c r="R997" s="158"/>
      <c r="S997" s="158"/>
      <c r="T997" s="158"/>
      <c r="U997" s="158"/>
      <c r="V997" s="158"/>
      <c r="W997" s="158"/>
      <c r="X997" s="158"/>
      <c r="Y997" s="158"/>
      <c r="Z997" s="158"/>
      <c r="AA997" s="158"/>
    </row>
    <row r="998" spans="1:27" ht="15.75" customHeight="1" x14ac:dyDescent="0.55000000000000004">
      <c r="A998" s="164">
        <v>154</v>
      </c>
      <c r="B998" s="164" t="s">
        <v>1869</v>
      </c>
      <c r="C998" s="164" t="s">
        <v>1870</v>
      </c>
      <c r="D998" s="165">
        <v>43009</v>
      </c>
      <c r="E998" s="120" t="s">
        <v>3460</v>
      </c>
      <c r="F998" s="131">
        <v>31</v>
      </c>
      <c r="G998" s="120">
        <v>1</v>
      </c>
      <c r="H998" s="131">
        <v>0</v>
      </c>
      <c r="I998" s="120">
        <v>0</v>
      </c>
      <c r="J998" s="133" t="s">
        <v>853</v>
      </c>
      <c r="K998" s="133">
        <v>0</v>
      </c>
      <c r="L998" s="117">
        <v>79.400000000000006</v>
      </c>
      <c r="M998" s="133">
        <f t="shared" si="31"/>
        <v>48.400000000000006</v>
      </c>
      <c r="N998" s="157"/>
      <c r="O998" s="158"/>
      <c r="P998" s="158"/>
      <c r="Q998" s="158"/>
      <c r="R998" s="158"/>
      <c r="S998" s="158"/>
      <c r="T998" s="158"/>
      <c r="U998" s="158"/>
      <c r="V998" s="158"/>
      <c r="W998" s="158"/>
      <c r="X998" s="158"/>
      <c r="Y998" s="158"/>
      <c r="Z998" s="158"/>
      <c r="AA998" s="158"/>
    </row>
    <row r="999" spans="1:27" ht="15.75" customHeight="1" x14ac:dyDescent="0.55000000000000004">
      <c r="A999" s="164">
        <v>154</v>
      </c>
      <c r="B999" s="164" t="s">
        <v>1869</v>
      </c>
      <c r="C999" s="164" t="s">
        <v>1870</v>
      </c>
      <c r="D999" s="165">
        <v>43009</v>
      </c>
      <c r="E999" s="120" t="s">
        <v>3461</v>
      </c>
      <c r="F999" s="131">
        <v>52</v>
      </c>
      <c r="G999" s="120">
        <v>1</v>
      </c>
      <c r="H999" s="131">
        <v>0</v>
      </c>
      <c r="I999" s="120">
        <v>0</v>
      </c>
      <c r="J999" s="133" t="s">
        <v>853</v>
      </c>
      <c r="K999" s="133">
        <v>0</v>
      </c>
      <c r="L999" s="117">
        <v>75.599999999999994</v>
      </c>
      <c r="M999" s="133">
        <f t="shared" si="31"/>
        <v>23.599999999999994</v>
      </c>
      <c r="N999" s="157"/>
      <c r="O999" s="158"/>
      <c r="P999" s="158"/>
      <c r="Q999" s="158"/>
      <c r="R999" s="158"/>
      <c r="S999" s="158"/>
      <c r="T999" s="158"/>
      <c r="U999" s="158"/>
      <c r="V999" s="158"/>
      <c r="W999" s="158"/>
      <c r="X999" s="158"/>
      <c r="Y999" s="158"/>
      <c r="Z999" s="158"/>
      <c r="AA999" s="158"/>
    </row>
    <row r="1000" spans="1:27" ht="15.75" customHeight="1" x14ac:dyDescent="0.55000000000000004">
      <c r="A1000" s="164">
        <v>154</v>
      </c>
      <c r="B1000" s="164" t="s">
        <v>1869</v>
      </c>
      <c r="C1000" s="164" t="s">
        <v>1870</v>
      </c>
      <c r="D1000" s="165">
        <v>43009</v>
      </c>
      <c r="E1000" s="120" t="s">
        <v>3462</v>
      </c>
      <c r="F1000" s="131">
        <v>20</v>
      </c>
      <c r="G1000" s="120">
        <v>1</v>
      </c>
      <c r="H1000" s="131">
        <v>2</v>
      </c>
      <c r="I1000" s="120">
        <v>0</v>
      </c>
      <c r="J1000" s="133" t="s">
        <v>853</v>
      </c>
      <c r="K1000" s="133">
        <v>0</v>
      </c>
      <c r="L1000" s="117">
        <v>78.900000000000006</v>
      </c>
      <c r="M1000" s="133">
        <f t="shared" si="31"/>
        <v>58.900000000000006</v>
      </c>
      <c r="N1000" s="157"/>
      <c r="O1000" s="158"/>
      <c r="P1000" s="158"/>
      <c r="Q1000" s="158"/>
      <c r="R1000" s="158"/>
      <c r="S1000" s="158"/>
      <c r="T1000" s="158"/>
      <c r="U1000" s="158"/>
      <c r="V1000" s="158"/>
      <c r="W1000" s="158"/>
      <c r="X1000" s="158"/>
      <c r="Y1000" s="158"/>
      <c r="Z1000" s="158"/>
      <c r="AA1000" s="158"/>
    </row>
    <row r="1001" spans="1:27" ht="15.75" customHeight="1" x14ac:dyDescent="0.55000000000000004">
      <c r="A1001" s="164">
        <v>154</v>
      </c>
      <c r="B1001" s="164" t="s">
        <v>1869</v>
      </c>
      <c r="C1001" s="164" t="s">
        <v>1870</v>
      </c>
      <c r="D1001" s="165">
        <v>43009</v>
      </c>
      <c r="E1001" s="120" t="s">
        <v>3463</v>
      </c>
      <c r="F1001" s="131">
        <v>34</v>
      </c>
      <c r="G1001" s="120">
        <v>0</v>
      </c>
      <c r="H1001" s="131">
        <v>1</v>
      </c>
      <c r="I1001" s="120">
        <v>0</v>
      </c>
      <c r="J1001" s="133" t="s">
        <v>853</v>
      </c>
      <c r="K1001" s="133">
        <v>0</v>
      </c>
      <c r="L1001" s="117">
        <v>63.8</v>
      </c>
      <c r="M1001" s="133">
        <f t="shared" si="31"/>
        <v>29.799999999999997</v>
      </c>
      <c r="N1001" s="157"/>
      <c r="O1001" s="158"/>
      <c r="P1001" s="158"/>
      <c r="Q1001" s="158"/>
      <c r="R1001" s="158"/>
      <c r="S1001" s="158"/>
      <c r="T1001" s="158"/>
      <c r="U1001" s="158"/>
      <c r="V1001" s="158"/>
      <c r="W1001" s="158"/>
      <c r="X1001" s="158"/>
      <c r="Y1001" s="158"/>
      <c r="Z1001" s="158"/>
      <c r="AA1001" s="158"/>
    </row>
    <row r="1002" spans="1:27" ht="15.75" customHeight="1" x14ac:dyDescent="0.55000000000000004">
      <c r="A1002" s="164">
        <v>154</v>
      </c>
      <c r="B1002" s="164" t="s">
        <v>1869</v>
      </c>
      <c r="C1002" s="164" t="s">
        <v>1870</v>
      </c>
      <c r="D1002" s="165">
        <v>43009</v>
      </c>
      <c r="E1002" s="120" t="s">
        <v>3464</v>
      </c>
      <c r="F1002" s="131">
        <v>44</v>
      </c>
      <c r="G1002" s="120">
        <v>0</v>
      </c>
      <c r="H1002" s="131">
        <v>0</v>
      </c>
      <c r="I1002" s="120">
        <v>0</v>
      </c>
      <c r="J1002" s="133" t="s">
        <v>853</v>
      </c>
      <c r="K1002" s="133">
        <v>0</v>
      </c>
      <c r="L1002" s="117">
        <v>69.5</v>
      </c>
      <c r="M1002" s="133">
        <f t="shared" si="31"/>
        <v>25.5</v>
      </c>
      <c r="N1002" s="157"/>
      <c r="O1002" s="158"/>
      <c r="P1002" s="158"/>
      <c r="Q1002" s="158"/>
      <c r="R1002" s="158"/>
      <c r="S1002" s="158"/>
      <c r="T1002" s="158"/>
      <c r="U1002" s="158"/>
      <c r="V1002" s="158"/>
      <c r="W1002" s="158"/>
      <c r="X1002" s="158"/>
      <c r="Y1002" s="158"/>
      <c r="Z1002" s="158"/>
      <c r="AA1002" s="158"/>
    </row>
    <row r="1003" spans="1:27" ht="15.75" customHeight="1" x14ac:dyDescent="0.55000000000000004">
      <c r="A1003" s="164">
        <v>154</v>
      </c>
      <c r="B1003" s="164" t="s">
        <v>1869</v>
      </c>
      <c r="C1003" s="164" t="s">
        <v>1870</v>
      </c>
      <c r="D1003" s="165">
        <v>43009</v>
      </c>
      <c r="E1003" s="120" t="s">
        <v>3465</v>
      </c>
      <c r="F1003" s="131">
        <v>42</v>
      </c>
      <c r="G1003" s="120">
        <v>1</v>
      </c>
      <c r="H1003" s="131">
        <v>0</v>
      </c>
      <c r="I1003" s="120">
        <v>0</v>
      </c>
      <c r="J1003" s="133" t="s">
        <v>853</v>
      </c>
      <c r="K1003" s="133">
        <v>0</v>
      </c>
      <c r="L1003" s="117">
        <v>77.3</v>
      </c>
      <c r="M1003" s="133">
        <f t="shared" si="31"/>
        <v>35.299999999999997</v>
      </c>
      <c r="N1003" s="157"/>
      <c r="O1003" s="158"/>
      <c r="P1003" s="158"/>
      <c r="Q1003" s="158"/>
      <c r="R1003" s="158"/>
      <c r="S1003" s="158"/>
      <c r="T1003" s="158"/>
      <c r="U1003" s="158"/>
      <c r="V1003" s="158"/>
      <c r="W1003" s="158"/>
      <c r="X1003" s="158"/>
      <c r="Y1003" s="158"/>
      <c r="Z1003" s="158"/>
      <c r="AA1003" s="158"/>
    </row>
    <row r="1004" spans="1:27" ht="15.75" customHeight="1" x14ac:dyDescent="0.55000000000000004">
      <c r="A1004" s="164">
        <v>154</v>
      </c>
      <c r="B1004" s="164" t="s">
        <v>1869</v>
      </c>
      <c r="C1004" s="164" t="s">
        <v>1870</v>
      </c>
      <c r="D1004" s="165">
        <v>43009</v>
      </c>
      <c r="E1004" s="120" t="s">
        <v>3466</v>
      </c>
      <c r="F1004" s="131">
        <v>38</v>
      </c>
      <c r="G1004" s="120">
        <v>1</v>
      </c>
      <c r="H1004" s="131">
        <v>3</v>
      </c>
      <c r="I1004" s="120">
        <v>0</v>
      </c>
      <c r="J1004" s="133" t="s">
        <v>853</v>
      </c>
      <c r="K1004" s="133">
        <v>0</v>
      </c>
      <c r="L1004" s="117">
        <v>77.400000000000006</v>
      </c>
      <c r="M1004" s="133">
        <f t="shared" si="31"/>
        <v>39.400000000000006</v>
      </c>
      <c r="N1004" s="157"/>
      <c r="O1004" s="158"/>
      <c r="P1004" s="158"/>
      <c r="Q1004" s="158"/>
      <c r="R1004" s="158"/>
      <c r="S1004" s="158"/>
      <c r="T1004" s="158"/>
      <c r="U1004" s="158"/>
      <c r="V1004" s="158"/>
      <c r="W1004" s="158"/>
      <c r="X1004" s="158"/>
      <c r="Y1004" s="158"/>
      <c r="Z1004" s="158"/>
      <c r="AA1004" s="158"/>
    </row>
    <row r="1005" spans="1:27" ht="15.75" customHeight="1" x14ac:dyDescent="0.55000000000000004">
      <c r="A1005" s="164">
        <v>154</v>
      </c>
      <c r="B1005" s="164" t="s">
        <v>1869</v>
      </c>
      <c r="C1005" s="164" t="s">
        <v>1870</v>
      </c>
      <c r="D1005" s="165">
        <v>43009</v>
      </c>
      <c r="E1005" s="120" t="s">
        <v>3467</v>
      </c>
      <c r="F1005" s="131">
        <v>34</v>
      </c>
      <c r="G1005" s="120">
        <v>1</v>
      </c>
      <c r="H1005" s="131">
        <v>0</v>
      </c>
      <c r="I1005" s="120">
        <v>0</v>
      </c>
      <c r="J1005" s="133" t="s">
        <v>853</v>
      </c>
      <c r="K1005" s="133">
        <v>0</v>
      </c>
      <c r="L1005" s="117">
        <v>78.099999999999994</v>
      </c>
      <c r="M1005" s="133">
        <f t="shared" si="31"/>
        <v>44.099999999999994</v>
      </c>
      <c r="N1005" s="157"/>
      <c r="O1005" s="158"/>
      <c r="P1005" s="158"/>
      <c r="Q1005" s="158"/>
      <c r="R1005" s="158"/>
      <c r="S1005" s="158"/>
      <c r="T1005" s="158"/>
      <c r="U1005" s="158"/>
      <c r="V1005" s="158"/>
      <c r="W1005" s="158"/>
      <c r="X1005" s="158"/>
      <c r="Y1005" s="158"/>
      <c r="Z1005" s="158"/>
      <c r="AA1005" s="158"/>
    </row>
    <row r="1006" spans="1:27" ht="15.75" customHeight="1" x14ac:dyDescent="0.55000000000000004">
      <c r="A1006" s="164">
        <v>154</v>
      </c>
      <c r="B1006" s="164" t="s">
        <v>1869</v>
      </c>
      <c r="C1006" s="164" t="s">
        <v>1870</v>
      </c>
      <c r="D1006" s="165">
        <v>43009</v>
      </c>
      <c r="E1006" s="120" t="s">
        <v>3468</v>
      </c>
      <c r="F1006" s="131">
        <v>33</v>
      </c>
      <c r="G1006" s="120">
        <v>1</v>
      </c>
      <c r="H1006" s="131">
        <v>0</v>
      </c>
      <c r="I1006" s="120">
        <v>0</v>
      </c>
      <c r="J1006" s="133" t="s">
        <v>853</v>
      </c>
      <c r="K1006" s="133">
        <v>0</v>
      </c>
      <c r="L1006" s="117">
        <v>78.099999999999994</v>
      </c>
      <c r="M1006" s="133">
        <f t="shared" si="31"/>
        <v>45.099999999999994</v>
      </c>
      <c r="N1006" s="157"/>
      <c r="O1006" s="158"/>
      <c r="P1006" s="158"/>
      <c r="Q1006" s="158"/>
      <c r="R1006" s="158"/>
      <c r="S1006" s="158"/>
      <c r="T1006" s="158"/>
      <c r="U1006" s="158"/>
      <c r="V1006" s="158"/>
      <c r="W1006" s="158"/>
      <c r="X1006" s="158"/>
      <c r="Y1006" s="158"/>
      <c r="Z1006" s="158"/>
      <c r="AA1006" s="158"/>
    </row>
    <row r="1007" spans="1:27" ht="15.75" customHeight="1" x14ac:dyDescent="0.55000000000000004">
      <c r="A1007" s="164">
        <v>154</v>
      </c>
      <c r="B1007" s="164" t="s">
        <v>1869</v>
      </c>
      <c r="C1007" s="164" t="s">
        <v>1870</v>
      </c>
      <c r="D1007" s="165">
        <v>43009</v>
      </c>
      <c r="E1007" s="120" t="s">
        <v>3469</v>
      </c>
      <c r="F1007" s="131">
        <v>42</v>
      </c>
      <c r="G1007" s="120">
        <v>1</v>
      </c>
      <c r="H1007" s="131">
        <v>0</v>
      </c>
      <c r="I1007" s="120">
        <v>0</v>
      </c>
      <c r="J1007" s="133" t="s">
        <v>853</v>
      </c>
      <c r="K1007" s="133">
        <v>0</v>
      </c>
      <c r="L1007" s="117">
        <v>77.3</v>
      </c>
      <c r="M1007" s="133">
        <f t="shared" si="31"/>
        <v>35.299999999999997</v>
      </c>
      <c r="N1007" s="157"/>
      <c r="O1007" s="158"/>
      <c r="P1007" s="158"/>
      <c r="Q1007" s="158"/>
      <c r="R1007" s="158"/>
      <c r="S1007" s="158"/>
      <c r="T1007" s="158"/>
      <c r="U1007" s="158"/>
      <c r="V1007" s="158"/>
      <c r="W1007" s="158"/>
      <c r="X1007" s="158"/>
      <c r="Y1007" s="158"/>
      <c r="Z1007" s="158"/>
      <c r="AA1007" s="158"/>
    </row>
    <row r="1008" spans="1:27" ht="15.75" customHeight="1" x14ac:dyDescent="0.55000000000000004">
      <c r="A1008" s="164">
        <v>154</v>
      </c>
      <c r="B1008" s="164" t="s">
        <v>1869</v>
      </c>
      <c r="C1008" s="164" t="s">
        <v>1870</v>
      </c>
      <c r="D1008" s="165">
        <v>43009</v>
      </c>
      <c r="E1008" s="120" t="s">
        <v>3470</v>
      </c>
      <c r="F1008" s="131">
        <v>55</v>
      </c>
      <c r="G1008" s="120">
        <v>0</v>
      </c>
      <c r="H1008" s="131">
        <v>0</v>
      </c>
      <c r="I1008" s="120">
        <v>0</v>
      </c>
      <c r="J1008" s="133" t="s">
        <v>853</v>
      </c>
      <c r="K1008" s="133">
        <v>0</v>
      </c>
      <c r="L1008" s="117">
        <v>67.400000000000006</v>
      </c>
      <c r="M1008" s="133">
        <f t="shared" si="31"/>
        <v>12.400000000000006</v>
      </c>
      <c r="N1008" s="157"/>
      <c r="O1008" s="158"/>
      <c r="P1008" s="158"/>
      <c r="Q1008" s="158"/>
      <c r="R1008" s="158"/>
      <c r="S1008" s="158"/>
      <c r="T1008" s="158"/>
      <c r="U1008" s="158"/>
      <c r="V1008" s="158"/>
      <c r="W1008" s="158"/>
      <c r="X1008" s="158"/>
      <c r="Y1008" s="158"/>
      <c r="Z1008" s="158"/>
      <c r="AA1008" s="158"/>
    </row>
    <row r="1009" spans="1:27" ht="15.75" customHeight="1" x14ac:dyDescent="0.55000000000000004">
      <c r="A1009" s="164">
        <v>154</v>
      </c>
      <c r="B1009" s="164" t="s">
        <v>1869</v>
      </c>
      <c r="C1009" s="164" t="s">
        <v>1870</v>
      </c>
      <c r="D1009" s="165">
        <v>43009</v>
      </c>
      <c r="E1009" s="120" t="s">
        <v>3471</v>
      </c>
      <c r="F1009" s="131">
        <v>23</v>
      </c>
      <c r="G1009" s="120">
        <v>0</v>
      </c>
      <c r="H1009" s="131">
        <v>0</v>
      </c>
      <c r="I1009" s="120">
        <v>0</v>
      </c>
      <c r="J1009" s="133" t="s">
        <v>853</v>
      </c>
      <c r="K1009" s="133">
        <v>0</v>
      </c>
      <c r="L1009" s="117">
        <v>73.400000000000006</v>
      </c>
      <c r="M1009" s="133">
        <f t="shared" si="31"/>
        <v>50.400000000000006</v>
      </c>
      <c r="N1009" s="157"/>
      <c r="O1009" s="158"/>
      <c r="P1009" s="158"/>
      <c r="Q1009" s="158"/>
      <c r="R1009" s="158"/>
      <c r="S1009" s="158"/>
      <c r="T1009" s="158"/>
      <c r="U1009" s="158"/>
      <c r="V1009" s="158"/>
      <c r="W1009" s="158"/>
      <c r="X1009" s="158"/>
      <c r="Y1009" s="158"/>
      <c r="Z1009" s="158"/>
      <c r="AA1009" s="158"/>
    </row>
    <row r="1010" spans="1:27" ht="15.75" customHeight="1" x14ac:dyDescent="0.55000000000000004">
      <c r="A1010" s="164">
        <v>154</v>
      </c>
      <c r="B1010" s="164" t="s">
        <v>1869</v>
      </c>
      <c r="C1010" s="164" t="s">
        <v>1870</v>
      </c>
      <c r="D1010" s="165">
        <v>43009</v>
      </c>
      <c r="E1010" s="120" t="s">
        <v>3472</v>
      </c>
      <c r="F1010" s="131">
        <v>28</v>
      </c>
      <c r="G1010" s="120">
        <v>1</v>
      </c>
      <c r="H1010" s="131">
        <v>0</v>
      </c>
      <c r="I1010" s="120">
        <v>0</v>
      </c>
      <c r="J1010" s="133" t="s">
        <v>853</v>
      </c>
      <c r="K1010" s="133">
        <v>0</v>
      </c>
      <c r="L1010" s="117">
        <v>79.400000000000006</v>
      </c>
      <c r="M1010" s="133">
        <f t="shared" si="31"/>
        <v>51.400000000000006</v>
      </c>
      <c r="N1010" s="157"/>
      <c r="O1010" s="158"/>
      <c r="P1010" s="158"/>
      <c r="Q1010" s="158"/>
      <c r="R1010" s="158"/>
      <c r="S1010" s="158"/>
      <c r="T1010" s="158"/>
      <c r="U1010" s="158"/>
      <c r="V1010" s="158"/>
      <c r="W1010" s="158"/>
      <c r="X1010" s="158"/>
      <c r="Y1010" s="158"/>
      <c r="Z1010" s="158"/>
      <c r="AA1010" s="158"/>
    </row>
    <row r="1011" spans="1:27" ht="15.75" customHeight="1" x14ac:dyDescent="0.55000000000000004">
      <c r="A1011" s="164">
        <v>154</v>
      </c>
      <c r="B1011" s="164" t="s">
        <v>1869</v>
      </c>
      <c r="C1011" s="164" t="s">
        <v>1870</v>
      </c>
      <c r="D1011" s="165">
        <v>43009</v>
      </c>
      <c r="E1011" s="120" t="s">
        <v>3473</v>
      </c>
      <c r="F1011" s="131">
        <v>28</v>
      </c>
      <c r="G1011" s="120">
        <v>1</v>
      </c>
      <c r="H1011" s="131">
        <v>0</v>
      </c>
      <c r="I1011" s="120">
        <v>0</v>
      </c>
      <c r="J1011" s="133" t="s">
        <v>853</v>
      </c>
      <c r="K1011" s="133">
        <v>0</v>
      </c>
      <c r="L1011" s="117">
        <v>79.400000000000006</v>
      </c>
      <c r="M1011" s="133">
        <f t="shared" si="31"/>
        <v>51.400000000000006</v>
      </c>
      <c r="N1011" s="157"/>
      <c r="O1011" s="158"/>
      <c r="P1011" s="158"/>
      <c r="Q1011" s="158"/>
      <c r="R1011" s="158"/>
      <c r="S1011" s="158"/>
      <c r="T1011" s="158"/>
      <c r="U1011" s="158"/>
      <c r="V1011" s="158"/>
      <c r="W1011" s="158"/>
      <c r="X1011" s="158"/>
      <c r="Y1011" s="158"/>
      <c r="Z1011" s="158"/>
      <c r="AA1011" s="158"/>
    </row>
    <row r="1012" spans="1:27" ht="15.75" customHeight="1" x14ac:dyDescent="0.55000000000000004">
      <c r="A1012" s="164">
        <v>154</v>
      </c>
      <c r="B1012" s="164" t="s">
        <v>1869</v>
      </c>
      <c r="C1012" s="164" t="s">
        <v>1870</v>
      </c>
      <c r="D1012" s="165">
        <v>43009</v>
      </c>
      <c r="E1012" s="120" t="s">
        <v>3474</v>
      </c>
      <c r="F1012" s="131">
        <v>29</v>
      </c>
      <c r="G1012" s="120">
        <v>0</v>
      </c>
      <c r="H1012" s="131">
        <v>0</v>
      </c>
      <c r="I1012" s="120">
        <v>0</v>
      </c>
      <c r="J1012" s="133" t="s">
        <v>853</v>
      </c>
      <c r="K1012" s="133">
        <v>0</v>
      </c>
      <c r="L1012" s="117">
        <v>79.400000000000006</v>
      </c>
      <c r="M1012" s="133">
        <f t="shared" si="31"/>
        <v>50.400000000000006</v>
      </c>
      <c r="N1012" s="157"/>
      <c r="O1012" s="158"/>
      <c r="P1012" s="158"/>
      <c r="Q1012" s="158"/>
      <c r="R1012" s="158"/>
      <c r="S1012" s="158"/>
      <c r="T1012" s="158"/>
      <c r="U1012" s="158"/>
      <c r="V1012" s="158"/>
      <c r="W1012" s="158"/>
      <c r="X1012" s="158"/>
      <c r="Y1012" s="158"/>
      <c r="Z1012" s="158"/>
      <c r="AA1012" s="158"/>
    </row>
    <row r="1013" spans="1:27" ht="15.75" customHeight="1" x14ac:dyDescent="0.55000000000000004">
      <c r="A1013" s="164">
        <v>154</v>
      </c>
      <c r="B1013" s="164" t="s">
        <v>1869</v>
      </c>
      <c r="C1013" s="164" t="s">
        <v>1870</v>
      </c>
      <c r="D1013" s="165">
        <v>43009</v>
      </c>
      <c r="E1013" s="120" t="s">
        <v>3475</v>
      </c>
      <c r="F1013" s="131">
        <v>67</v>
      </c>
      <c r="G1013" s="120">
        <v>1</v>
      </c>
      <c r="H1013" s="131">
        <v>0</v>
      </c>
      <c r="I1013" s="120">
        <v>0</v>
      </c>
      <c r="J1013" s="133" t="s">
        <v>853</v>
      </c>
      <c r="K1013" s="133">
        <v>0</v>
      </c>
      <c r="L1013" s="183">
        <v>85.5</v>
      </c>
      <c r="M1013" s="133">
        <f t="shared" si="31"/>
        <v>18.5</v>
      </c>
      <c r="N1013" s="157"/>
      <c r="O1013" s="158"/>
      <c r="P1013" s="158"/>
      <c r="Q1013" s="158"/>
      <c r="R1013" s="158"/>
      <c r="S1013" s="158"/>
      <c r="T1013" s="158"/>
      <c r="U1013" s="158"/>
      <c r="V1013" s="158"/>
      <c r="W1013" s="158"/>
      <c r="X1013" s="158"/>
      <c r="Y1013" s="158"/>
      <c r="Z1013" s="158"/>
      <c r="AA1013" s="158"/>
    </row>
    <row r="1014" spans="1:27" ht="15.75" customHeight="1" x14ac:dyDescent="0.55000000000000004">
      <c r="A1014" s="164">
        <v>154</v>
      </c>
      <c r="B1014" s="164" t="s">
        <v>1869</v>
      </c>
      <c r="C1014" s="164" t="s">
        <v>1870</v>
      </c>
      <c r="D1014" s="165">
        <v>43009</v>
      </c>
      <c r="E1014" s="120" t="s">
        <v>3476</v>
      </c>
      <c r="F1014" s="131">
        <v>24</v>
      </c>
      <c r="G1014" s="120">
        <v>0</v>
      </c>
      <c r="H1014" s="131">
        <v>0</v>
      </c>
      <c r="I1014" s="120">
        <v>0</v>
      </c>
      <c r="J1014" s="133" t="s">
        <v>853</v>
      </c>
      <c r="K1014" s="133">
        <v>0</v>
      </c>
      <c r="L1014" s="117">
        <v>73.400000000000006</v>
      </c>
      <c r="M1014" s="133">
        <f t="shared" si="31"/>
        <v>49.400000000000006</v>
      </c>
      <c r="N1014" s="157"/>
      <c r="O1014" s="158"/>
      <c r="P1014" s="158"/>
      <c r="Q1014" s="158"/>
      <c r="R1014" s="158"/>
      <c r="S1014" s="158"/>
      <c r="T1014" s="158"/>
      <c r="U1014" s="158"/>
      <c r="V1014" s="158"/>
      <c r="W1014" s="158"/>
      <c r="X1014" s="158"/>
      <c r="Y1014" s="158"/>
      <c r="Z1014" s="158"/>
      <c r="AA1014" s="158"/>
    </row>
    <row r="1015" spans="1:27" ht="15.75" customHeight="1" x14ac:dyDescent="0.55000000000000004">
      <c r="A1015" s="164">
        <v>154</v>
      </c>
      <c r="B1015" s="164" t="s">
        <v>1869</v>
      </c>
      <c r="C1015" s="164" t="s">
        <v>1870</v>
      </c>
      <c r="D1015" s="165">
        <v>43009</v>
      </c>
      <c r="E1015" s="120" t="s">
        <v>3477</v>
      </c>
      <c r="F1015" s="131">
        <v>35</v>
      </c>
      <c r="G1015" s="120">
        <v>0</v>
      </c>
      <c r="H1015" s="131">
        <v>0</v>
      </c>
      <c r="I1015" s="120">
        <v>0</v>
      </c>
      <c r="J1015" s="133" t="s">
        <v>853</v>
      </c>
      <c r="K1015" s="133">
        <v>0</v>
      </c>
      <c r="L1015" s="117">
        <v>70.7</v>
      </c>
      <c r="M1015" s="133">
        <f t="shared" si="31"/>
        <v>35.700000000000003</v>
      </c>
      <c r="N1015" s="157"/>
      <c r="O1015" s="158"/>
      <c r="P1015" s="158"/>
      <c r="Q1015" s="158"/>
      <c r="R1015" s="158"/>
      <c r="S1015" s="158"/>
      <c r="T1015" s="158"/>
      <c r="U1015" s="158"/>
      <c r="V1015" s="158"/>
      <c r="W1015" s="158"/>
      <c r="X1015" s="158"/>
      <c r="Y1015" s="158"/>
      <c r="Z1015" s="158"/>
      <c r="AA1015" s="158"/>
    </row>
    <row r="1016" spans="1:27" ht="15.75" customHeight="1" x14ac:dyDescent="0.55000000000000004">
      <c r="A1016" s="164">
        <v>154</v>
      </c>
      <c r="B1016" s="164" t="s">
        <v>1869</v>
      </c>
      <c r="C1016" s="164" t="s">
        <v>1870</v>
      </c>
      <c r="D1016" s="165">
        <v>43009</v>
      </c>
      <c r="E1016" s="120" t="s">
        <v>3478</v>
      </c>
      <c r="F1016" s="131">
        <v>33</v>
      </c>
      <c r="G1016" s="120">
        <v>1</v>
      </c>
      <c r="H1016" s="131">
        <v>0</v>
      </c>
      <c r="I1016" s="120">
        <v>0</v>
      </c>
      <c r="J1016" s="133" t="s">
        <v>853</v>
      </c>
      <c r="K1016" s="133">
        <v>0</v>
      </c>
      <c r="L1016" s="117">
        <v>78.099999999999994</v>
      </c>
      <c r="M1016" s="133">
        <f t="shared" si="31"/>
        <v>45.099999999999994</v>
      </c>
      <c r="N1016" s="157"/>
      <c r="O1016" s="158"/>
      <c r="P1016" s="158"/>
      <c r="Q1016" s="158"/>
      <c r="R1016" s="158"/>
      <c r="S1016" s="158"/>
      <c r="T1016" s="158"/>
      <c r="U1016" s="158"/>
      <c r="V1016" s="158"/>
      <c r="W1016" s="158"/>
      <c r="X1016" s="158"/>
      <c r="Y1016" s="158"/>
      <c r="Z1016" s="158"/>
      <c r="AA1016" s="158"/>
    </row>
    <row r="1017" spans="1:27" ht="15.75" customHeight="1" x14ac:dyDescent="0.55000000000000004">
      <c r="A1017" s="164">
        <v>154</v>
      </c>
      <c r="B1017" s="164" t="s">
        <v>1869</v>
      </c>
      <c r="C1017" s="164" t="s">
        <v>1870</v>
      </c>
      <c r="D1017" s="165">
        <v>43009</v>
      </c>
      <c r="E1017" s="120" t="s">
        <v>3479</v>
      </c>
      <c r="F1017" s="131">
        <v>35</v>
      </c>
      <c r="G1017" s="120">
        <v>1</v>
      </c>
      <c r="H1017" s="131">
        <v>0</v>
      </c>
      <c r="I1017" s="120">
        <v>0</v>
      </c>
      <c r="J1017" s="133" t="s">
        <v>853</v>
      </c>
      <c r="K1017" s="133">
        <v>0</v>
      </c>
      <c r="L1017" s="117">
        <v>78.099999999999994</v>
      </c>
      <c r="M1017" s="133">
        <f t="shared" si="31"/>
        <v>43.099999999999994</v>
      </c>
      <c r="N1017" s="157"/>
      <c r="O1017" s="158"/>
      <c r="P1017" s="158"/>
      <c r="Q1017" s="158"/>
      <c r="R1017" s="158"/>
      <c r="S1017" s="158"/>
      <c r="T1017" s="158"/>
      <c r="U1017" s="158"/>
      <c r="V1017" s="158"/>
      <c r="W1017" s="158"/>
      <c r="X1017" s="158"/>
      <c r="Y1017" s="158"/>
      <c r="Z1017" s="158"/>
      <c r="AA1017" s="158"/>
    </row>
    <row r="1018" spans="1:27" ht="15.75" customHeight="1" x14ac:dyDescent="0.55000000000000004">
      <c r="A1018" s="164">
        <v>154</v>
      </c>
      <c r="B1018" s="164" t="s">
        <v>1869</v>
      </c>
      <c r="C1018" s="164" t="s">
        <v>1870</v>
      </c>
      <c r="D1018" s="165">
        <v>43009</v>
      </c>
      <c r="E1018" s="120" t="s">
        <v>3480</v>
      </c>
      <c r="F1018" s="131">
        <v>31</v>
      </c>
      <c r="G1018" s="120">
        <v>1</v>
      </c>
      <c r="H1018" s="131">
        <v>0</v>
      </c>
      <c r="I1018" s="120">
        <v>0</v>
      </c>
      <c r="J1018" s="133" t="s">
        <v>853</v>
      </c>
      <c r="K1018" s="133">
        <v>0</v>
      </c>
      <c r="L1018" s="117">
        <v>79.400000000000006</v>
      </c>
      <c r="M1018" s="133">
        <f t="shared" si="31"/>
        <v>48.400000000000006</v>
      </c>
      <c r="N1018" s="157"/>
      <c r="O1018" s="158"/>
      <c r="P1018" s="158"/>
      <c r="Q1018" s="158"/>
      <c r="R1018" s="158"/>
      <c r="S1018" s="158"/>
      <c r="T1018" s="158"/>
      <c r="U1018" s="158"/>
      <c r="V1018" s="158"/>
      <c r="W1018" s="158"/>
      <c r="X1018" s="158"/>
      <c r="Y1018" s="158"/>
      <c r="Z1018" s="158"/>
      <c r="AA1018" s="158"/>
    </row>
    <row r="1019" spans="1:27" ht="15.75" customHeight="1" x14ac:dyDescent="0.55000000000000004">
      <c r="A1019" s="164">
        <v>154</v>
      </c>
      <c r="B1019" s="164" t="s">
        <v>1869</v>
      </c>
      <c r="C1019" s="164" t="s">
        <v>1870</v>
      </c>
      <c r="D1019" s="165">
        <v>43009</v>
      </c>
      <c r="E1019" s="120" t="s">
        <v>3481</v>
      </c>
      <c r="F1019" s="131">
        <v>46</v>
      </c>
      <c r="G1019" s="120">
        <v>1</v>
      </c>
      <c r="H1019" s="131">
        <v>0</v>
      </c>
      <c r="I1019" s="120">
        <v>0</v>
      </c>
      <c r="J1019" s="133" t="s">
        <v>853</v>
      </c>
      <c r="K1019" s="133">
        <v>0</v>
      </c>
      <c r="L1019" s="117">
        <v>75.599999999999994</v>
      </c>
      <c r="M1019" s="133">
        <f t="shared" si="31"/>
        <v>29.599999999999994</v>
      </c>
      <c r="N1019" s="157"/>
      <c r="O1019" s="158"/>
      <c r="P1019" s="158"/>
      <c r="Q1019" s="158"/>
      <c r="R1019" s="158"/>
      <c r="S1019" s="158"/>
      <c r="T1019" s="158"/>
      <c r="U1019" s="158"/>
      <c r="V1019" s="158"/>
      <c r="W1019" s="158"/>
      <c r="X1019" s="158"/>
      <c r="Y1019" s="158"/>
      <c r="Z1019" s="158"/>
      <c r="AA1019" s="158"/>
    </row>
    <row r="1020" spans="1:27" ht="15.75" customHeight="1" x14ac:dyDescent="0.55000000000000004">
      <c r="A1020" s="164">
        <v>154</v>
      </c>
      <c r="B1020" s="164" t="s">
        <v>1869</v>
      </c>
      <c r="C1020" s="164" t="s">
        <v>1870</v>
      </c>
      <c r="D1020" s="165">
        <v>43009</v>
      </c>
      <c r="E1020" s="120" t="s">
        <v>3482</v>
      </c>
      <c r="F1020" s="131">
        <v>56</v>
      </c>
      <c r="G1020" s="120">
        <v>0</v>
      </c>
      <c r="H1020" s="131">
        <v>0</v>
      </c>
      <c r="I1020" s="120">
        <v>0</v>
      </c>
      <c r="J1020" s="133" t="s">
        <v>853</v>
      </c>
      <c r="K1020" s="133">
        <v>0</v>
      </c>
      <c r="L1020" s="117">
        <v>67.400000000000006</v>
      </c>
      <c r="M1020" s="133">
        <f t="shared" si="31"/>
        <v>11.400000000000006</v>
      </c>
      <c r="N1020" s="157"/>
      <c r="O1020" s="158"/>
      <c r="P1020" s="158"/>
      <c r="Q1020" s="158"/>
      <c r="R1020" s="158"/>
      <c r="S1020" s="158"/>
      <c r="T1020" s="158"/>
      <c r="U1020" s="158"/>
      <c r="V1020" s="158"/>
      <c r="W1020" s="158"/>
      <c r="X1020" s="158"/>
      <c r="Y1020" s="158"/>
      <c r="Z1020" s="158"/>
      <c r="AA1020" s="158"/>
    </row>
    <row r="1021" spans="1:27" ht="15.75" customHeight="1" x14ac:dyDescent="0.55000000000000004">
      <c r="A1021" s="164">
        <v>154</v>
      </c>
      <c r="B1021" s="164" t="s">
        <v>1869</v>
      </c>
      <c r="C1021" s="164" t="s">
        <v>1870</v>
      </c>
      <c r="D1021" s="165">
        <v>43009</v>
      </c>
      <c r="E1021" s="120" t="s">
        <v>3483</v>
      </c>
      <c r="F1021" s="131">
        <v>26</v>
      </c>
      <c r="G1021" s="120">
        <v>1</v>
      </c>
      <c r="H1021" s="131">
        <v>2</v>
      </c>
      <c r="I1021" s="120">
        <v>0</v>
      </c>
      <c r="J1021" s="133" t="s">
        <v>853</v>
      </c>
      <c r="K1021" s="133">
        <v>0</v>
      </c>
      <c r="L1021" s="117">
        <v>78.8</v>
      </c>
      <c r="M1021" s="133">
        <f t="shared" si="31"/>
        <v>52.8</v>
      </c>
      <c r="N1021" s="157"/>
      <c r="O1021" s="158"/>
      <c r="P1021" s="158"/>
      <c r="Q1021" s="158"/>
      <c r="R1021" s="158"/>
      <c r="S1021" s="158"/>
      <c r="T1021" s="158"/>
      <c r="U1021" s="158"/>
      <c r="V1021" s="158"/>
      <c r="W1021" s="158"/>
      <c r="X1021" s="158"/>
      <c r="Y1021" s="158"/>
      <c r="Z1021" s="158"/>
      <c r="AA1021" s="158"/>
    </row>
    <row r="1022" spans="1:27" ht="15.75" customHeight="1" x14ac:dyDescent="0.55000000000000004">
      <c r="A1022" s="164">
        <v>154</v>
      </c>
      <c r="B1022" s="164" t="s">
        <v>1869</v>
      </c>
      <c r="C1022" s="164" t="s">
        <v>1870</v>
      </c>
      <c r="D1022" s="165">
        <v>43009</v>
      </c>
      <c r="E1022" s="120" t="s">
        <v>3484</v>
      </c>
      <c r="F1022" s="131">
        <v>21</v>
      </c>
      <c r="G1022" s="120">
        <v>1</v>
      </c>
      <c r="H1022" s="131">
        <v>0</v>
      </c>
      <c r="I1022" s="120">
        <v>0</v>
      </c>
      <c r="J1022" s="133" t="s">
        <v>853</v>
      </c>
      <c r="K1022" s="133">
        <v>0</v>
      </c>
      <c r="L1022" s="117">
        <v>79.599999999999994</v>
      </c>
      <c r="M1022" s="133">
        <f t="shared" si="31"/>
        <v>58.599999999999994</v>
      </c>
      <c r="N1022" s="157"/>
      <c r="O1022" s="158"/>
      <c r="P1022" s="158"/>
      <c r="Q1022" s="158"/>
      <c r="R1022" s="158"/>
      <c r="S1022" s="158"/>
      <c r="T1022" s="158"/>
      <c r="U1022" s="158"/>
      <c r="V1022" s="158"/>
      <c r="W1022" s="158"/>
      <c r="X1022" s="158"/>
      <c r="Y1022" s="158"/>
      <c r="Z1022" s="158"/>
      <c r="AA1022" s="158"/>
    </row>
    <row r="1023" spans="1:27" ht="15.75" customHeight="1" x14ac:dyDescent="0.55000000000000004">
      <c r="A1023" s="164">
        <v>154</v>
      </c>
      <c r="B1023" s="164" t="s">
        <v>1869</v>
      </c>
      <c r="C1023" s="164" t="s">
        <v>1870</v>
      </c>
      <c r="D1023" s="165">
        <v>43009</v>
      </c>
      <c r="E1023" s="120" t="s">
        <v>3485</v>
      </c>
      <c r="F1023" s="131">
        <v>20</v>
      </c>
      <c r="G1023" s="120">
        <v>0</v>
      </c>
      <c r="H1023" s="131">
        <v>0</v>
      </c>
      <c r="I1023" s="120">
        <v>0</v>
      </c>
      <c r="J1023" s="133" t="s">
        <v>853</v>
      </c>
      <c r="K1023" s="133">
        <v>0</v>
      </c>
      <c r="L1023" s="117">
        <v>73.400000000000006</v>
      </c>
      <c r="M1023" s="133">
        <f t="shared" si="31"/>
        <v>53.400000000000006</v>
      </c>
      <c r="N1023" s="157"/>
      <c r="O1023" s="158"/>
      <c r="P1023" s="158"/>
      <c r="Q1023" s="158"/>
      <c r="R1023" s="158"/>
      <c r="S1023" s="158"/>
      <c r="T1023" s="158"/>
      <c r="U1023" s="158"/>
      <c r="V1023" s="158"/>
      <c r="W1023" s="158"/>
      <c r="X1023" s="158"/>
      <c r="Y1023" s="158"/>
      <c r="Z1023" s="158"/>
      <c r="AA1023" s="158"/>
    </row>
    <row r="1024" spans="1:27" ht="15.75" customHeight="1" x14ac:dyDescent="0.55000000000000004">
      <c r="A1024" s="164">
        <v>154</v>
      </c>
      <c r="B1024" s="164" t="s">
        <v>1869</v>
      </c>
      <c r="C1024" s="164" t="s">
        <v>1870</v>
      </c>
      <c r="D1024" s="165">
        <v>43009</v>
      </c>
      <c r="E1024" s="120" t="s">
        <v>3486</v>
      </c>
      <c r="F1024" s="131">
        <v>28</v>
      </c>
      <c r="G1024" s="120">
        <v>0</v>
      </c>
      <c r="H1024" s="131">
        <v>0</v>
      </c>
      <c r="I1024" s="120">
        <v>0</v>
      </c>
      <c r="J1024" s="133" t="s">
        <v>853</v>
      </c>
      <c r="K1024" s="133">
        <v>0</v>
      </c>
      <c r="L1024" s="117">
        <v>72.7</v>
      </c>
      <c r="M1024" s="133">
        <f t="shared" si="31"/>
        <v>44.7</v>
      </c>
      <c r="N1024" s="157"/>
      <c r="O1024" s="158"/>
      <c r="P1024" s="158"/>
      <c r="Q1024" s="158"/>
      <c r="R1024" s="158"/>
      <c r="S1024" s="158"/>
      <c r="T1024" s="158"/>
      <c r="U1024" s="158"/>
      <c r="V1024" s="158"/>
      <c r="W1024" s="158"/>
      <c r="X1024" s="158"/>
      <c r="Y1024" s="158"/>
      <c r="Z1024" s="158"/>
      <c r="AA1024" s="158"/>
    </row>
    <row r="1025" spans="1:27" ht="15.75" customHeight="1" x14ac:dyDescent="0.55000000000000004">
      <c r="A1025" s="164">
        <v>154</v>
      </c>
      <c r="B1025" s="164" t="s">
        <v>1869</v>
      </c>
      <c r="C1025" s="164" t="s">
        <v>1870</v>
      </c>
      <c r="D1025" s="165">
        <v>43009</v>
      </c>
      <c r="E1025" s="120" t="s">
        <v>3487</v>
      </c>
      <c r="F1025" s="131">
        <v>40</v>
      </c>
      <c r="G1025" s="120">
        <v>1</v>
      </c>
      <c r="H1025" s="131">
        <v>2</v>
      </c>
      <c r="I1025" s="120">
        <v>0</v>
      </c>
      <c r="J1025" s="133" t="s">
        <v>853</v>
      </c>
      <c r="K1025" s="133">
        <v>0</v>
      </c>
      <c r="L1025" s="117">
        <v>77.400000000000006</v>
      </c>
      <c r="M1025" s="133">
        <f t="shared" si="31"/>
        <v>37.400000000000006</v>
      </c>
      <c r="N1025" s="157"/>
      <c r="O1025" s="158"/>
      <c r="P1025" s="158"/>
      <c r="Q1025" s="158"/>
      <c r="R1025" s="158"/>
      <c r="S1025" s="158"/>
      <c r="T1025" s="158"/>
      <c r="U1025" s="158"/>
      <c r="V1025" s="158"/>
      <c r="W1025" s="158"/>
      <c r="X1025" s="158"/>
      <c r="Y1025" s="158"/>
      <c r="Z1025" s="158"/>
      <c r="AA1025" s="158"/>
    </row>
    <row r="1026" spans="1:27" ht="15.75" customHeight="1" x14ac:dyDescent="0.55000000000000004">
      <c r="A1026" s="164">
        <v>154</v>
      </c>
      <c r="B1026" s="164" t="s">
        <v>1869</v>
      </c>
      <c r="C1026" s="164" t="s">
        <v>1870</v>
      </c>
      <c r="D1026" s="165">
        <v>43009</v>
      </c>
      <c r="E1026" s="120" t="s">
        <v>3488</v>
      </c>
      <c r="F1026" s="131">
        <v>34</v>
      </c>
      <c r="G1026" s="120">
        <v>1</v>
      </c>
      <c r="H1026" s="131">
        <v>0</v>
      </c>
      <c r="I1026" s="120">
        <v>0</v>
      </c>
      <c r="J1026" s="133" t="s">
        <v>853</v>
      </c>
      <c r="K1026" s="133">
        <v>0</v>
      </c>
      <c r="L1026" s="117">
        <v>78.099999999999994</v>
      </c>
      <c r="M1026" s="133">
        <f t="shared" si="31"/>
        <v>44.099999999999994</v>
      </c>
      <c r="N1026" s="157"/>
      <c r="O1026" s="158"/>
      <c r="P1026" s="158"/>
      <c r="Q1026" s="158"/>
      <c r="R1026" s="158"/>
      <c r="S1026" s="158"/>
      <c r="T1026" s="158"/>
      <c r="U1026" s="158"/>
      <c r="V1026" s="158"/>
      <c r="W1026" s="158"/>
      <c r="X1026" s="158"/>
      <c r="Y1026" s="158"/>
      <c r="Z1026" s="158"/>
      <c r="AA1026" s="158"/>
    </row>
    <row r="1027" spans="1:27" ht="15.75" customHeight="1" x14ac:dyDescent="0.55000000000000004">
      <c r="A1027" s="164">
        <v>154</v>
      </c>
      <c r="B1027" s="164" t="s">
        <v>1869</v>
      </c>
      <c r="C1027" s="164" t="s">
        <v>1870</v>
      </c>
      <c r="D1027" s="165">
        <v>43009</v>
      </c>
      <c r="E1027" s="120" t="s">
        <v>3489</v>
      </c>
      <c r="F1027" s="131">
        <v>48</v>
      </c>
      <c r="G1027" s="120">
        <v>1</v>
      </c>
      <c r="H1027" s="131">
        <v>2</v>
      </c>
      <c r="I1027" s="120">
        <v>0</v>
      </c>
      <c r="J1027" s="133" t="s">
        <v>853</v>
      </c>
      <c r="K1027" s="133">
        <v>0</v>
      </c>
      <c r="L1027" s="117">
        <v>74.7</v>
      </c>
      <c r="M1027" s="133">
        <f t="shared" si="31"/>
        <v>26.700000000000003</v>
      </c>
      <c r="N1027" s="157"/>
      <c r="O1027" s="158"/>
      <c r="P1027" s="158"/>
      <c r="Q1027" s="158"/>
      <c r="R1027" s="158"/>
      <c r="S1027" s="158"/>
      <c r="T1027" s="158"/>
      <c r="U1027" s="158"/>
      <c r="V1027" s="158"/>
      <c r="W1027" s="158"/>
      <c r="X1027" s="158"/>
      <c r="Y1027" s="158"/>
      <c r="Z1027" s="158"/>
      <c r="AA1027" s="158"/>
    </row>
    <row r="1028" spans="1:27" ht="15.75" customHeight="1" x14ac:dyDescent="0.55000000000000004">
      <c r="A1028" s="164">
        <v>154</v>
      </c>
      <c r="B1028" s="164" t="s">
        <v>1869</v>
      </c>
      <c r="C1028" s="164" t="s">
        <v>1870</v>
      </c>
      <c r="D1028" s="165">
        <v>43009</v>
      </c>
      <c r="E1028" s="120" t="s">
        <v>3490</v>
      </c>
      <c r="F1028" s="131">
        <v>28</v>
      </c>
      <c r="G1028" s="120">
        <v>0</v>
      </c>
      <c r="H1028" s="131">
        <v>0</v>
      </c>
      <c r="I1028" s="120">
        <v>0</v>
      </c>
      <c r="J1028" s="133" t="s">
        <v>853</v>
      </c>
      <c r="K1028" s="133">
        <v>0</v>
      </c>
      <c r="L1028" s="117">
        <v>72.7</v>
      </c>
      <c r="M1028" s="133">
        <f t="shared" si="31"/>
        <v>44.7</v>
      </c>
      <c r="N1028" s="157"/>
      <c r="O1028" s="158"/>
      <c r="P1028" s="158"/>
      <c r="Q1028" s="158"/>
      <c r="R1028" s="158"/>
      <c r="S1028" s="158"/>
      <c r="T1028" s="158"/>
      <c r="U1028" s="158"/>
      <c r="V1028" s="158"/>
      <c r="W1028" s="158"/>
      <c r="X1028" s="158"/>
      <c r="Y1028" s="158"/>
      <c r="Z1028" s="158"/>
      <c r="AA1028" s="158"/>
    </row>
    <row r="1029" spans="1:27" ht="15.75" customHeight="1" x14ac:dyDescent="0.55000000000000004">
      <c r="A1029" s="164">
        <v>154</v>
      </c>
      <c r="B1029" s="164" t="s">
        <v>1869</v>
      </c>
      <c r="C1029" s="164" t="s">
        <v>1870</v>
      </c>
      <c r="D1029" s="165">
        <v>43009</v>
      </c>
      <c r="E1029" s="120" t="s">
        <v>3491</v>
      </c>
      <c r="F1029" s="131">
        <v>61</v>
      </c>
      <c r="G1029" s="120">
        <v>0</v>
      </c>
      <c r="H1029" s="131">
        <v>0</v>
      </c>
      <c r="I1029" s="120">
        <v>0</v>
      </c>
      <c r="J1029" s="133" t="s">
        <v>853</v>
      </c>
      <c r="K1029" s="133">
        <v>0</v>
      </c>
      <c r="L1029" s="117">
        <v>67.400000000000006</v>
      </c>
      <c r="M1029" s="133">
        <f t="shared" si="31"/>
        <v>6.4000000000000057</v>
      </c>
      <c r="N1029" s="157"/>
      <c r="O1029" s="158"/>
      <c r="P1029" s="158"/>
      <c r="Q1029" s="158"/>
      <c r="R1029" s="158"/>
      <c r="S1029" s="158"/>
      <c r="T1029" s="158"/>
      <c r="U1029" s="158"/>
      <c r="V1029" s="158"/>
      <c r="W1029" s="158"/>
      <c r="X1029" s="158"/>
      <c r="Y1029" s="158"/>
      <c r="Z1029" s="158"/>
      <c r="AA1029" s="158"/>
    </row>
    <row r="1030" spans="1:27" ht="15.75" customHeight="1" x14ac:dyDescent="0.55000000000000004">
      <c r="A1030" s="164">
        <v>154</v>
      </c>
      <c r="B1030" s="164" t="s">
        <v>1869</v>
      </c>
      <c r="C1030" s="164" t="s">
        <v>1870</v>
      </c>
      <c r="D1030" s="165">
        <v>43009</v>
      </c>
      <c r="E1030" s="120" t="s">
        <v>3492</v>
      </c>
      <c r="F1030" s="131">
        <v>20</v>
      </c>
      <c r="G1030" s="120">
        <v>1</v>
      </c>
      <c r="H1030" s="131">
        <v>0</v>
      </c>
      <c r="I1030" s="120">
        <v>0</v>
      </c>
      <c r="J1030" s="133" t="s">
        <v>853</v>
      </c>
      <c r="K1030" s="133">
        <v>0</v>
      </c>
      <c r="L1030" s="117">
        <v>79.599999999999994</v>
      </c>
      <c r="M1030" s="133">
        <f t="shared" si="31"/>
        <v>59.599999999999994</v>
      </c>
      <c r="N1030" s="157"/>
      <c r="O1030" s="158"/>
      <c r="P1030" s="158"/>
      <c r="Q1030" s="158"/>
      <c r="R1030" s="158"/>
      <c r="S1030" s="158"/>
      <c r="T1030" s="158"/>
      <c r="U1030" s="158"/>
      <c r="V1030" s="158"/>
      <c r="W1030" s="158"/>
      <c r="X1030" s="158"/>
      <c r="Y1030" s="158"/>
      <c r="Z1030" s="158"/>
      <c r="AA1030" s="158"/>
    </row>
    <row r="1031" spans="1:27" ht="15.75" customHeight="1" x14ac:dyDescent="0.55000000000000004">
      <c r="A1031" s="164">
        <v>154</v>
      </c>
      <c r="B1031" s="164" t="s">
        <v>1869</v>
      </c>
      <c r="C1031" s="164" t="s">
        <v>1870</v>
      </c>
      <c r="D1031" s="165">
        <v>43009</v>
      </c>
      <c r="E1031" s="120" t="s">
        <v>3493</v>
      </c>
      <c r="F1031" s="131">
        <v>50</v>
      </c>
      <c r="G1031" s="120">
        <v>1</v>
      </c>
      <c r="H1031" s="131">
        <v>3</v>
      </c>
      <c r="I1031" s="120">
        <v>0</v>
      </c>
      <c r="J1031" s="133" t="s">
        <v>853</v>
      </c>
      <c r="K1031" s="133">
        <v>0</v>
      </c>
      <c r="L1031" s="117">
        <v>74.7</v>
      </c>
      <c r="M1031" s="133">
        <f t="shared" si="31"/>
        <v>24.700000000000003</v>
      </c>
      <c r="N1031" s="157"/>
      <c r="O1031" s="158"/>
      <c r="P1031" s="158"/>
      <c r="Q1031" s="158"/>
      <c r="R1031" s="158"/>
      <c r="S1031" s="158"/>
      <c r="T1031" s="158"/>
      <c r="U1031" s="158"/>
      <c r="V1031" s="158"/>
      <c r="W1031" s="158"/>
      <c r="X1031" s="158"/>
      <c r="Y1031" s="158"/>
      <c r="Z1031" s="158"/>
      <c r="AA1031" s="158"/>
    </row>
    <row r="1032" spans="1:27" ht="15.75" customHeight="1" x14ac:dyDescent="0.55000000000000004">
      <c r="A1032" s="164">
        <v>154</v>
      </c>
      <c r="B1032" s="164" t="s">
        <v>1869</v>
      </c>
      <c r="C1032" s="164" t="s">
        <v>1870</v>
      </c>
      <c r="D1032" s="165">
        <v>43009</v>
      </c>
      <c r="E1032" s="120" t="s">
        <v>3494</v>
      </c>
      <c r="F1032" s="131">
        <v>21</v>
      </c>
      <c r="G1032" s="120">
        <v>0</v>
      </c>
      <c r="H1032" s="131">
        <v>2</v>
      </c>
      <c r="I1032" s="120">
        <v>0</v>
      </c>
      <c r="J1032" s="133" t="s">
        <v>853</v>
      </c>
      <c r="K1032" s="133">
        <v>0</v>
      </c>
      <c r="L1032" s="117">
        <v>72.5</v>
      </c>
      <c r="M1032" s="133">
        <f t="shared" si="31"/>
        <v>51.5</v>
      </c>
      <c r="N1032" s="157"/>
      <c r="O1032" s="158"/>
      <c r="P1032" s="158"/>
      <c r="Q1032" s="158"/>
      <c r="R1032" s="158"/>
      <c r="S1032" s="158"/>
      <c r="T1032" s="158"/>
      <c r="U1032" s="158"/>
      <c r="V1032" s="158"/>
      <c r="W1032" s="158"/>
      <c r="X1032" s="158"/>
      <c r="Y1032" s="158"/>
      <c r="Z1032" s="158"/>
      <c r="AA1032" s="158"/>
    </row>
    <row r="1033" spans="1:27" ht="15.75" customHeight="1" x14ac:dyDescent="0.55000000000000004">
      <c r="A1033" s="164">
        <v>154</v>
      </c>
      <c r="B1033" s="164" t="s">
        <v>1869</v>
      </c>
      <c r="C1033" s="164" t="s">
        <v>1870</v>
      </c>
      <c r="D1033" s="165">
        <v>43009</v>
      </c>
      <c r="E1033" s="120" t="s">
        <v>3495</v>
      </c>
      <c r="F1033" s="131">
        <v>53</v>
      </c>
      <c r="G1033" s="120">
        <v>1</v>
      </c>
      <c r="H1033" s="131">
        <v>0</v>
      </c>
      <c r="I1033" s="120">
        <v>0</v>
      </c>
      <c r="J1033" s="133" t="s">
        <v>853</v>
      </c>
      <c r="K1033" s="133">
        <v>0</v>
      </c>
      <c r="L1033" s="117">
        <v>74.099999999999994</v>
      </c>
      <c r="M1033" s="133">
        <f t="shared" si="31"/>
        <v>21.099999999999994</v>
      </c>
      <c r="N1033" s="157"/>
      <c r="O1033" s="158"/>
      <c r="P1033" s="158"/>
      <c r="Q1033" s="158"/>
      <c r="R1033" s="158"/>
      <c r="S1033" s="158"/>
      <c r="T1033" s="158"/>
      <c r="U1033" s="158"/>
      <c r="V1033" s="158"/>
      <c r="W1033" s="158"/>
      <c r="X1033" s="158"/>
      <c r="Y1033" s="158"/>
      <c r="Z1033" s="158"/>
      <c r="AA1033" s="158"/>
    </row>
    <row r="1034" spans="1:27" ht="15.75" customHeight="1" x14ac:dyDescent="0.55000000000000004">
      <c r="A1034" s="164">
        <v>154</v>
      </c>
      <c r="B1034" s="164" t="s">
        <v>1869</v>
      </c>
      <c r="C1034" s="164" t="s">
        <v>1870</v>
      </c>
      <c r="D1034" s="165">
        <v>43009</v>
      </c>
      <c r="E1034" s="120" t="s">
        <v>3496</v>
      </c>
      <c r="F1034" s="131">
        <v>30</v>
      </c>
      <c r="G1034" s="120">
        <v>0</v>
      </c>
      <c r="H1034" s="131">
        <v>0</v>
      </c>
      <c r="I1034" s="120">
        <v>0</v>
      </c>
      <c r="J1034" s="133" t="s">
        <v>853</v>
      </c>
      <c r="K1034" s="133">
        <v>0</v>
      </c>
      <c r="L1034" s="117">
        <v>72.7</v>
      </c>
      <c r="M1034" s="133">
        <f t="shared" si="31"/>
        <v>42.7</v>
      </c>
      <c r="N1034" s="157"/>
      <c r="O1034" s="158"/>
      <c r="P1034" s="158"/>
      <c r="Q1034" s="158"/>
      <c r="R1034" s="158"/>
      <c r="S1034" s="158"/>
      <c r="T1034" s="158"/>
      <c r="U1034" s="158"/>
      <c r="V1034" s="158"/>
      <c r="W1034" s="158"/>
      <c r="X1034" s="158"/>
      <c r="Y1034" s="158"/>
      <c r="Z1034" s="158"/>
      <c r="AA1034" s="158"/>
    </row>
    <row r="1035" spans="1:27" ht="15.75" customHeight="1" x14ac:dyDescent="0.55000000000000004">
      <c r="A1035" s="164">
        <v>154</v>
      </c>
      <c r="B1035" s="164" t="s">
        <v>1869</v>
      </c>
      <c r="C1035" s="164" t="s">
        <v>1870</v>
      </c>
      <c r="D1035" s="165">
        <v>43009</v>
      </c>
      <c r="E1035" s="120" t="s">
        <v>3497</v>
      </c>
      <c r="F1035" s="131">
        <v>56</v>
      </c>
      <c r="G1035" s="120">
        <v>0</v>
      </c>
      <c r="H1035" s="131">
        <v>0</v>
      </c>
      <c r="I1035" s="120">
        <v>0</v>
      </c>
      <c r="J1035" s="133" t="s">
        <v>853</v>
      </c>
      <c r="K1035" s="133">
        <v>0</v>
      </c>
      <c r="L1035" s="117">
        <v>67.400000000000006</v>
      </c>
      <c r="M1035" s="133">
        <f t="shared" si="31"/>
        <v>11.400000000000006</v>
      </c>
      <c r="N1035" s="157"/>
      <c r="O1035" s="158"/>
      <c r="P1035" s="158"/>
      <c r="Q1035" s="158"/>
      <c r="R1035" s="158"/>
      <c r="S1035" s="158"/>
      <c r="T1035" s="158"/>
      <c r="U1035" s="158"/>
      <c r="V1035" s="158"/>
      <c r="W1035" s="158"/>
      <c r="X1035" s="158"/>
      <c r="Y1035" s="158"/>
      <c r="Z1035" s="158"/>
      <c r="AA1035" s="158"/>
    </row>
    <row r="1036" spans="1:27" ht="15.75" customHeight="1" x14ac:dyDescent="0.55000000000000004">
      <c r="A1036" s="164">
        <v>154</v>
      </c>
      <c r="B1036" s="164" t="s">
        <v>1869</v>
      </c>
      <c r="C1036" s="164" t="s">
        <v>1870</v>
      </c>
      <c r="D1036" s="165">
        <v>43009</v>
      </c>
      <c r="E1036" s="120" t="s">
        <v>3498</v>
      </c>
      <c r="F1036" s="131">
        <v>46</v>
      </c>
      <c r="G1036" s="120">
        <v>1</v>
      </c>
      <c r="H1036" s="131">
        <v>0</v>
      </c>
      <c r="I1036" s="120">
        <v>0</v>
      </c>
      <c r="J1036" s="133" t="s">
        <v>853</v>
      </c>
      <c r="K1036" s="133">
        <v>0</v>
      </c>
      <c r="L1036" s="117">
        <v>75.599999999999994</v>
      </c>
      <c r="M1036" s="133">
        <f t="shared" si="31"/>
        <v>29.599999999999994</v>
      </c>
      <c r="N1036" s="157"/>
      <c r="O1036" s="158"/>
      <c r="P1036" s="158"/>
      <c r="Q1036" s="158"/>
      <c r="R1036" s="158"/>
      <c r="S1036" s="158"/>
      <c r="T1036" s="158"/>
      <c r="U1036" s="158"/>
      <c r="V1036" s="158"/>
      <c r="W1036" s="158"/>
      <c r="X1036" s="158"/>
      <c r="Y1036" s="158"/>
      <c r="Z1036" s="158"/>
      <c r="AA1036" s="158"/>
    </row>
    <row r="1037" spans="1:27" ht="15.75" customHeight="1" x14ac:dyDescent="0.55000000000000004">
      <c r="A1037" s="164">
        <v>154</v>
      </c>
      <c r="B1037" s="164" t="s">
        <v>1869</v>
      </c>
      <c r="C1037" s="164" t="s">
        <v>1870</v>
      </c>
      <c r="D1037" s="165">
        <v>43009</v>
      </c>
      <c r="E1037" s="120" t="s">
        <v>3499</v>
      </c>
      <c r="F1037" s="131">
        <v>32</v>
      </c>
      <c r="G1037" s="120">
        <v>1</v>
      </c>
      <c r="H1037" s="131">
        <v>3</v>
      </c>
      <c r="I1037" s="120">
        <v>0</v>
      </c>
      <c r="J1037" s="133" t="s">
        <v>853</v>
      </c>
      <c r="K1037" s="133">
        <v>0</v>
      </c>
      <c r="L1037" s="117">
        <v>78.8</v>
      </c>
      <c r="M1037" s="133">
        <f t="shared" si="31"/>
        <v>46.8</v>
      </c>
      <c r="N1037" s="157"/>
      <c r="O1037" s="158"/>
      <c r="P1037" s="158"/>
      <c r="Q1037" s="158"/>
      <c r="R1037" s="158"/>
      <c r="S1037" s="158"/>
      <c r="T1037" s="158"/>
      <c r="U1037" s="158"/>
      <c r="V1037" s="158"/>
      <c r="W1037" s="158"/>
      <c r="X1037" s="158"/>
      <c r="Y1037" s="158"/>
      <c r="Z1037" s="158"/>
      <c r="AA1037" s="158"/>
    </row>
    <row r="1038" spans="1:27" ht="15.75" customHeight="1" x14ac:dyDescent="0.55000000000000004">
      <c r="A1038" s="164">
        <v>154</v>
      </c>
      <c r="B1038" s="164" t="s">
        <v>1869</v>
      </c>
      <c r="C1038" s="164" t="s">
        <v>1870</v>
      </c>
      <c r="D1038" s="165">
        <v>43009</v>
      </c>
      <c r="E1038" s="120" t="s">
        <v>3500</v>
      </c>
      <c r="F1038" s="131">
        <v>55</v>
      </c>
      <c r="G1038" s="120">
        <v>0</v>
      </c>
      <c r="H1038" s="131">
        <v>0</v>
      </c>
      <c r="I1038" s="120">
        <v>0</v>
      </c>
      <c r="J1038" s="133" t="s">
        <v>853</v>
      </c>
      <c r="K1038" s="133">
        <v>0</v>
      </c>
      <c r="L1038" s="117">
        <v>67.400000000000006</v>
      </c>
      <c r="M1038" s="133">
        <f t="shared" si="31"/>
        <v>12.400000000000006</v>
      </c>
      <c r="N1038" s="157"/>
      <c r="O1038" s="158"/>
      <c r="P1038" s="158"/>
      <c r="Q1038" s="158"/>
      <c r="R1038" s="158"/>
      <c r="S1038" s="158"/>
      <c r="T1038" s="158"/>
      <c r="U1038" s="158"/>
      <c r="V1038" s="158"/>
      <c r="W1038" s="158"/>
      <c r="X1038" s="158"/>
      <c r="Y1038" s="158"/>
      <c r="Z1038" s="158"/>
      <c r="AA1038" s="158"/>
    </row>
    <row r="1039" spans="1:27" ht="15.75" customHeight="1" x14ac:dyDescent="0.55000000000000004">
      <c r="A1039" s="164">
        <v>154</v>
      </c>
      <c r="B1039" s="164" t="s">
        <v>1869</v>
      </c>
      <c r="C1039" s="164" t="s">
        <v>1870</v>
      </c>
      <c r="D1039" s="165">
        <v>43009</v>
      </c>
      <c r="E1039" s="120" t="s">
        <v>3501</v>
      </c>
      <c r="F1039" s="131">
        <v>42</v>
      </c>
      <c r="G1039" s="120">
        <v>0</v>
      </c>
      <c r="H1039" s="131">
        <v>0</v>
      </c>
      <c r="I1039" s="120">
        <v>0</v>
      </c>
      <c r="J1039" s="133" t="s">
        <v>853</v>
      </c>
      <c r="K1039" s="133">
        <v>0</v>
      </c>
      <c r="L1039" s="117">
        <v>69.5</v>
      </c>
      <c r="M1039" s="133">
        <f t="shared" si="31"/>
        <v>27.5</v>
      </c>
      <c r="N1039" s="157"/>
      <c r="O1039" s="158"/>
      <c r="P1039" s="158"/>
      <c r="Q1039" s="158"/>
      <c r="R1039" s="158"/>
      <c r="S1039" s="158"/>
      <c r="T1039" s="158"/>
      <c r="U1039" s="158"/>
      <c r="V1039" s="158"/>
      <c r="W1039" s="158"/>
      <c r="X1039" s="158"/>
      <c r="Y1039" s="158"/>
      <c r="Z1039" s="158"/>
      <c r="AA1039" s="158"/>
    </row>
    <row r="1040" spans="1:27" ht="15.75" customHeight="1" x14ac:dyDescent="0.55000000000000004">
      <c r="A1040" s="166">
        <v>155</v>
      </c>
      <c r="B1040" s="166" t="s">
        <v>1878</v>
      </c>
      <c r="C1040" s="166" t="s">
        <v>1879</v>
      </c>
      <c r="D1040" s="167">
        <v>43044</v>
      </c>
      <c r="E1040" s="120" t="s">
        <v>3502</v>
      </c>
      <c r="F1040" s="131">
        <v>62</v>
      </c>
      <c r="G1040" s="120">
        <v>0</v>
      </c>
      <c r="H1040" s="120">
        <v>0</v>
      </c>
      <c r="I1040" s="120">
        <v>0</v>
      </c>
      <c r="J1040" s="133" t="s">
        <v>853</v>
      </c>
      <c r="K1040" s="133">
        <v>0</v>
      </c>
      <c r="L1040" s="117">
        <v>67.400000000000006</v>
      </c>
      <c r="M1040" s="133">
        <f t="shared" si="31"/>
        <v>5.4000000000000057</v>
      </c>
      <c r="N1040" s="157"/>
      <c r="O1040" s="158"/>
      <c r="P1040" s="158"/>
      <c r="Q1040" s="158"/>
      <c r="R1040" s="158"/>
      <c r="S1040" s="158"/>
      <c r="T1040" s="158"/>
      <c r="U1040" s="158"/>
      <c r="V1040" s="158"/>
      <c r="W1040" s="158"/>
      <c r="X1040" s="158"/>
      <c r="Y1040" s="158"/>
      <c r="Z1040" s="158"/>
      <c r="AA1040" s="158"/>
    </row>
    <row r="1041" spans="1:27" ht="15.75" customHeight="1" x14ac:dyDescent="0.55000000000000004">
      <c r="A1041" s="166">
        <v>155</v>
      </c>
      <c r="B1041" s="166" t="s">
        <v>1878</v>
      </c>
      <c r="C1041" s="166" t="s">
        <v>1879</v>
      </c>
      <c r="D1041" s="167">
        <v>43044</v>
      </c>
      <c r="E1041" s="120" t="s">
        <v>3503</v>
      </c>
      <c r="F1041" s="131">
        <v>51</v>
      </c>
      <c r="G1041" s="120">
        <v>0</v>
      </c>
      <c r="H1041" s="120">
        <v>0</v>
      </c>
      <c r="I1041" s="120">
        <v>0</v>
      </c>
      <c r="J1041" s="133" t="s">
        <v>853</v>
      </c>
      <c r="K1041" s="133">
        <v>0</v>
      </c>
      <c r="L1041" s="117">
        <v>68</v>
      </c>
      <c r="M1041" s="133">
        <f t="shared" si="31"/>
        <v>17</v>
      </c>
      <c r="N1041" s="157"/>
      <c r="O1041" s="158"/>
      <c r="P1041" s="158"/>
      <c r="Q1041" s="158"/>
      <c r="R1041" s="158"/>
      <c r="S1041" s="158"/>
      <c r="T1041" s="158"/>
      <c r="U1041" s="158"/>
      <c r="V1041" s="158"/>
      <c r="W1041" s="158"/>
      <c r="X1041" s="158"/>
      <c r="Y1041" s="158"/>
      <c r="Z1041" s="158"/>
      <c r="AA1041" s="158"/>
    </row>
    <row r="1042" spans="1:27" ht="15.75" customHeight="1" x14ac:dyDescent="0.55000000000000004">
      <c r="A1042" s="166">
        <v>155</v>
      </c>
      <c r="B1042" s="166" t="s">
        <v>1878</v>
      </c>
      <c r="C1042" s="166" t="s">
        <v>1879</v>
      </c>
      <c r="D1042" s="167">
        <v>43044</v>
      </c>
      <c r="E1042" s="120" t="s">
        <v>3504</v>
      </c>
      <c r="F1042" s="131">
        <v>51</v>
      </c>
      <c r="G1042" s="120">
        <v>1</v>
      </c>
      <c r="H1042" s="120">
        <v>0</v>
      </c>
      <c r="I1042" s="120">
        <v>0</v>
      </c>
      <c r="J1042" s="133" t="s">
        <v>853</v>
      </c>
      <c r="K1042" s="133">
        <v>0</v>
      </c>
      <c r="L1042" s="117">
        <v>75.599999999999994</v>
      </c>
      <c r="M1042" s="133">
        <f t="shared" si="31"/>
        <v>24.599999999999994</v>
      </c>
      <c r="N1042" s="157"/>
      <c r="O1042" s="158"/>
      <c r="P1042" s="158"/>
      <c r="Q1042" s="158"/>
      <c r="R1042" s="158"/>
      <c r="S1042" s="158"/>
      <c r="T1042" s="158"/>
      <c r="U1042" s="158"/>
      <c r="V1042" s="158"/>
      <c r="W1042" s="158"/>
      <c r="X1042" s="158"/>
      <c r="Y1042" s="158"/>
      <c r="Z1042" s="158"/>
      <c r="AA1042" s="158"/>
    </row>
    <row r="1043" spans="1:27" ht="15.75" customHeight="1" x14ac:dyDescent="0.55000000000000004">
      <c r="A1043" s="166">
        <v>155</v>
      </c>
      <c r="B1043" s="166" t="s">
        <v>1878</v>
      </c>
      <c r="C1043" s="166" t="s">
        <v>1879</v>
      </c>
      <c r="D1043" s="167">
        <v>43044</v>
      </c>
      <c r="E1043" s="120" t="s">
        <v>3505</v>
      </c>
      <c r="F1043" s="131">
        <v>60</v>
      </c>
      <c r="G1043" s="120">
        <v>0</v>
      </c>
      <c r="H1043" s="131">
        <v>0</v>
      </c>
      <c r="I1043" s="120">
        <v>0</v>
      </c>
      <c r="J1043" s="133" t="s">
        <v>853</v>
      </c>
      <c r="K1043" s="133">
        <v>0</v>
      </c>
      <c r="L1043" s="117">
        <v>67.400000000000006</v>
      </c>
      <c r="M1043" s="133">
        <f t="shared" si="31"/>
        <v>7.4000000000000057</v>
      </c>
      <c r="N1043" s="157"/>
      <c r="O1043" s="158"/>
      <c r="P1043" s="158"/>
      <c r="Q1043" s="158"/>
      <c r="R1043" s="158"/>
      <c r="S1043" s="158"/>
      <c r="T1043" s="158"/>
      <c r="U1043" s="158"/>
      <c r="V1043" s="158"/>
      <c r="W1043" s="158"/>
      <c r="X1043" s="158"/>
      <c r="Y1043" s="158"/>
      <c r="Z1043" s="158"/>
      <c r="AA1043" s="158"/>
    </row>
    <row r="1044" spans="1:27" ht="15.75" customHeight="1" x14ac:dyDescent="0.55000000000000004">
      <c r="A1044" s="166">
        <v>155</v>
      </c>
      <c r="B1044" s="166" t="s">
        <v>1878</v>
      </c>
      <c r="C1044" s="166" t="s">
        <v>1879</v>
      </c>
      <c r="D1044" s="167">
        <v>43044</v>
      </c>
      <c r="E1044" s="120" t="s">
        <v>3506</v>
      </c>
      <c r="F1044" s="131">
        <v>36</v>
      </c>
      <c r="G1044" s="120">
        <v>1</v>
      </c>
      <c r="H1044" s="131">
        <v>0</v>
      </c>
      <c r="I1044" s="120">
        <v>0</v>
      </c>
      <c r="J1044" s="133" t="s">
        <v>853</v>
      </c>
      <c r="K1044" s="133">
        <v>0</v>
      </c>
      <c r="L1044" s="117">
        <v>78.099999999999994</v>
      </c>
      <c r="M1044" s="133">
        <f t="shared" si="31"/>
        <v>42.099999999999994</v>
      </c>
      <c r="N1044" s="157"/>
      <c r="O1044" s="158"/>
      <c r="P1044" s="158"/>
      <c r="Q1044" s="158"/>
      <c r="R1044" s="158"/>
      <c r="S1044" s="158"/>
      <c r="T1044" s="158"/>
      <c r="U1044" s="158"/>
      <c r="V1044" s="158"/>
      <c r="W1044" s="158"/>
      <c r="X1044" s="158"/>
      <c r="Y1044" s="158"/>
      <c r="Z1044" s="158"/>
      <c r="AA1044" s="158"/>
    </row>
    <row r="1045" spans="1:27" ht="15.75" customHeight="1" x14ac:dyDescent="0.55000000000000004">
      <c r="A1045" s="166">
        <v>155</v>
      </c>
      <c r="B1045" s="166" t="s">
        <v>1878</v>
      </c>
      <c r="C1045" s="166" t="s">
        <v>1879</v>
      </c>
      <c r="D1045" s="167">
        <v>43044</v>
      </c>
      <c r="E1045" s="120" t="s">
        <v>3507</v>
      </c>
      <c r="F1045" s="131">
        <v>11</v>
      </c>
      <c r="G1045" s="120">
        <v>1</v>
      </c>
      <c r="H1045" s="120">
        <v>0</v>
      </c>
      <c r="I1045" s="120">
        <v>0</v>
      </c>
      <c r="J1045" s="133" t="s">
        <v>853</v>
      </c>
      <c r="K1045" s="133">
        <v>0</v>
      </c>
      <c r="L1045" s="117">
        <v>80.7</v>
      </c>
      <c r="M1045" s="133">
        <f t="shared" si="31"/>
        <v>69.7</v>
      </c>
      <c r="N1045" s="157"/>
      <c r="O1045" s="158"/>
      <c r="P1045" s="158"/>
      <c r="Q1045" s="158"/>
      <c r="R1045" s="158"/>
      <c r="S1045" s="158"/>
      <c r="T1045" s="158"/>
      <c r="U1045" s="158"/>
      <c r="V1045" s="158"/>
      <c r="W1045" s="158"/>
      <c r="X1045" s="158"/>
      <c r="Y1045" s="158"/>
      <c r="Z1045" s="158"/>
      <c r="AA1045" s="158"/>
    </row>
    <row r="1046" spans="1:27" ht="15.75" customHeight="1" x14ac:dyDescent="0.55000000000000004">
      <c r="A1046" s="166">
        <v>155</v>
      </c>
      <c r="B1046" s="166" t="s">
        <v>1878</v>
      </c>
      <c r="C1046" s="166" t="s">
        <v>1879</v>
      </c>
      <c r="D1046" s="167">
        <v>43044</v>
      </c>
      <c r="E1046" s="120" t="s">
        <v>3508</v>
      </c>
      <c r="F1046" s="131">
        <v>13</v>
      </c>
      <c r="G1046" s="120">
        <v>0</v>
      </c>
      <c r="H1046" s="120">
        <v>0</v>
      </c>
      <c r="I1046" s="120">
        <v>0</v>
      </c>
      <c r="J1046" s="133" t="s">
        <v>853</v>
      </c>
      <c r="K1046" s="133">
        <v>0</v>
      </c>
      <c r="L1046" s="117">
        <v>75.5</v>
      </c>
      <c r="M1046" s="133">
        <f t="shared" si="31"/>
        <v>62.5</v>
      </c>
      <c r="N1046" s="157"/>
      <c r="O1046" s="158"/>
      <c r="P1046" s="158"/>
      <c r="Q1046" s="158"/>
      <c r="R1046" s="158"/>
      <c r="S1046" s="158"/>
      <c r="T1046" s="158"/>
      <c r="U1046" s="158"/>
      <c r="V1046" s="158"/>
      <c r="W1046" s="158"/>
      <c r="X1046" s="158"/>
      <c r="Y1046" s="158"/>
      <c r="Z1046" s="158"/>
      <c r="AA1046" s="158"/>
    </row>
    <row r="1047" spans="1:27" ht="15.75" customHeight="1" x14ac:dyDescent="0.55000000000000004">
      <c r="A1047" s="166">
        <v>155</v>
      </c>
      <c r="B1047" s="166" t="s">
        <v>1878</v>
      </c>
      <c r="C1047" s="166" t="s">
        <v>1879</v>
      </c>
      <c r="D1047" s="167">
        <v>43044</v>
      </c>
      <c r="E1047" s="120" t="s">
        <v>3509</v>
      </c>
      <c r="F1047" s="131">
        <v>58</v>
      </c>
      <c r="G1047" s="120">
        <v>1</v>
      </c>
      <c r="H1047" s="131">
        <v>0</v>
      </c>
      <c r="I1047" s="120">
        <v>0</v>
      </c>
      <c r="J1047" s="133" t="s">
        <v>853</v>
      </c>
      <c r="K1047" s="133">
        <v>0</v>
      </c>
      <c r="L1047" s="117">
        <v>74.099999999999994</v>
      </c>
      <c r="M1047" s="133">
        <f t="shared" si="31"/>
        <v>16.099999999999994</v>
      </c>
      <c r="N1047" s="157"/>
      <c r="O1047" s="158"/>
      <c r="P1047" s="158"/>
      <c r="Q1047" s="158"/>
      <c r="R1047" s="158"/>
      <c r="S1047" s="158"/>
      <c r="T1047" s="158"/>
      <c r="U1047" s="158"/>
      <c r="V1047" s="158"/>
      <c r="W1047" s="158"/>
      <c r="X1047" s="158"/>
      <c r="Y1047" s="158"/>
      <c r="Z1047" s="158"/>
      <c r="AA1047" s="158"/>
    </row>
    <row r="1048" spans="1:27" ht="15.75" customHeight="1" x14ac:dyDescent="0.55000000000000004">
      <c r="A1048" s="166">
        <v>155</v>
      </c>
      <c r="B1048" s="166" t="s">
        <v>1878</v>
      </c>
      <c r="C1048" s="166" t="s">
        <v>1879</v>
      </c>
      <c r="D1048" s="167">
        <v>43044</v>
      </c>
      <c r="E1048" s="120" t="s">
        <v>3510</v>
      </c>
      <c r="F1048" s="131">
        <v>36</v>
      </c>
      <c r="G1048" s="120">
        <v>0</v>
      </c>
      <c r="H1048" s="131">
        <v>0</v>
      </c>
      <c r="I1048" s="120">
        <v>0</v>
      </c>
      <c r="J1048" s="133" t="s">
        <v>853</v>
      </c>
      <c r="K1048" s="133">
        <v>0</v>
      </c>
      <c r="L1048" s="117">
        <v>70.7</v>
      </c>
      <c r="M1048" s="133">
        <f t="shared" si="31"/>
        <v>34.700000000000003</v>
      </c>
      <c r="N1048" s="157"/>
      <c r="O1048" s="158"/>
      <c r="P1048" s="158"/>
      <c r="Q1048" s="158"/>
      <c r="R1048" s="158"/>
      <c r="S1048" s="158"/>
      <c r="T1048" s="158"/>
      <c r="U1048" s="158"/>
      <c r="V1048" s="158"/>
      <c r="W1048" s="158"/>
      <c r="X1048" s="158"/>
      <c r="Y1048" s="158"/>
      <c r="Z1048" s="158"/>
      <c r="AA1048" s="158"/>
    </row>
    <row r="1049" spans="1:27" ht="15.75" customHeight="1" x14ac:dyDescent="0.55000000000000004">
      <c r="A1049" s="166">
        <v>155</v>
      </c>
      <c r="B1049" s="166" t="s">
        <v>1878</v>
      </c>
      <c r="C1049" s="166" t="s">
        <v>1879</v>
      </c>
      <c r="D1049" s="167">
        <v>43044</v>
      </c>
      <c r="E1049" s="120" t="s">
        <v>3511</v>
      </c>
      <c r="F1049" s="131">
        <v>9</v>
      </c>
      <c r="G1049" s="120">
        <v>1</v>
      </c>
      <c r="H1049" s="120">
        <v>0</v>
      </c>
      <c r="I1049" s="120">
        <v>0</v>
      </c>
      <c r="J1049" s="133" t="s">
        <v>853</v>
      </c>
      <c r="K1049" s="133">
        <v>0</v>
      </c>
      <c r="L1049" s="117">
        <v>80.900000000000006</v>
      </c>
      <c r="M1049" s="133">
        <f t="shared" si="31"/>
        <v>71.900000000000006</v>
      </c>
      <c r="N1049" s="157"/>
      <c r="O1049" s="158"/>
      <c r="P1049" s="158"/>
      <c r="Q1049" s="158"/>
      <c r="R1049" s="158"/>
      <c r="S1049" s="158"/>
      <c r="T1049" s="158"/>
      <c r="U1049" s="158"/>
      <c r="V1049" s="158"/>
      <c r="W1049" s="158"/>
      <c r="X1049" s="158"/>
      <c r="Y1049" s="158"/>
      <c r="Z1049" s="158"/>
      <c r="AA1049" s="158"/>
    </row>
    <row r="1050" spans="1:27" ht="15.75" customHeight="1" x14ac:dyDescent="0.55000000000000004">
      <c r="A1050" s="166">
        <v>155</v>
      </c>
      <c r="B1050" s="166" t="s">
        <v>1878</v>
      </c>
      <c r="C1050" s="166" t="s">
        <v>1879</v>
      </c>
      <c r="D1050" s="167">
        <v>43044</v>
      </c>
      <c r="E1050" s="120" t="s">
        <v>3512</v>
      </c>
      <c r="F1050" s="131">
        <v>1</v>
      </c>
      <c r="G1050" s="120">
        <v>1</v>
      </c>
      <c r="H1050" s="131">
        <v>0</v>
      </c>
      <c r="I1050" s="120">
        <v>0</v>
      </c>
      <c r="J1050" s="133" t="s">
        <v>853</v>
      </c>
      <c r="K1050" s="133">
        <v>0</v>
      </c>
      <c r="L1050" s="117">
        <v>76.099999999999994</v>
      </c>
      <c r="M1050" s="133">
        <f t="shared" si="31"/>
        <v>75.099999999999994</v>
      </c>
      <c r="N1050" s="157"/>
      <c r="O1050" s="158"/>
      <c r="P1050" s="158"/>
      <c r="Q1050" s="158"/>
      <c r="R1050" s="158"/>
      <c r="S1050" s="158"/>
      <c r="T1050" s="158"/>
      <c r="U1050" s="158"/>
      <c r="V1050" s="158"/>
      <c r="W1050" s="158"/>
      <c r="X1050" s="158"/>
      <c r="Y1050" s="158"/>
      <c r="Z1050" s="158"/>
      <c r="AA1050" s="158"/>
    </row>
    <row r="1051" spans="1:27" ht="15.75" customHeight="1" x14ac:dyDescent="0.55000000000000004">
      <c r="A1051" s="166">
        <v>155</v>
      </c>
      <c r="B1051" s="166" t="s">
        <v>1878</v>
      </c>
      <c r="C1051" s="166" t="s">
        <v>1879</v>
      </c>
      <c r="D1051" s="167">
        <v>43044</v>
      </c>
      <c r="E1051" s="120" t="s">
        <v>3513</v>
      </c>
      <c r="F1051" s="131">
        <v>77</v>
      </c>
      <c r="G1051" s="120">
        <v>0</v>
      </c>
      <c r="H1051" s="120">
        <v>0</v>
      </c>
      <c r="I1051" s="120">
        <v>0</v>
      </c>
      <c r="J1051" s="133" t="s">
        <v>853</v>
      </c>
      <c r="K1051" s="133">
        <v>0</v>
      </c>
      <c r="L1051" s="183">
        <v>86.2</v>
      </c>
      <c r="M1051" s="133">
        <f t="shared" si="31"/>
        <v>9.2000000000000028</v>
      </c>
      <c r="N1051" s="157"/>
      <c r="O1051" s="158"/>
      <c r="P1051" s="158"/>
      <c r="Q1051" s="158"/>
      <c r="R1051" s="158"/>
      <c r="S1051" s="158"/>
      <c r="T1051" s="158"/>
      <c r="U1051" s="158"/>
      <c r="V1051" s="158"/>
      <c r="W1051" s="158"/>
      <c r="X1051" s="158"/>
      <c r="Y1051" s="158"/>
      <c r="Z1051" s="158"/>
      <c r="AA1051" s="158"/>
    </row>
    <row r="1052" spans="1:27" ht="15.75" customHeight="1" x14ac:dyDescent="0.55000000000000004">
      <c r="A1052" s="166">
        <v>155</v>
      </c>
      <c r="B1052" s="166" t="s">
        <v>1878</v>
      </c>
      <c r="C1052" s="166" t="s">
        <v>1879</v>
      </c>
      <c r="D1052" s="167">
        <v>43044</v>
      </c>
      <c r="E1052" s="120" t="s">
        <v>3514</v>
      </c>
      <c r="F1052" s="131">
        <v>68</v>
      </c>
      <c r="G1052" s="120">
        <v>1</v>
      </c>
      <c r="H1052" s="120">
        <v>0</v>
      </c>
      <c r="I1052" s="120">
        <v>0</v>
      </c>
      <c r="J1052" s="133" t="s">
        <v>853</v>
      </c>
      <c r="K1052" s="133">
        <v>0</v>
      </c>
      <c r="L1052" s="183">
        <v>85.6</v>
      </c>
      <c r="M1052" s="133">
        <f t="shared" si="31"/>
        <v>17.599999999999994</v>
      </c>
      <c r="N1052" s="157"/>
      <c r="O1052" s="158"/>
      <c r="P1052" s="158"/>
      <c r="Q1052" s="158"/>
      <c r="R1052" s="158"/>
      <c r="S1052" s="158"/>
      <c r="T1052" s="158"/>
      <c r="U1052" s="158"/>
      <c r="V1052" s="158"/>
      <c r="W1052" s="158"/>
      <c r="X1052" s="158"/>
      <c r="Y1052" s="158"/>
      <c r="Z1052" s="158"/>
      <c r="AA1052" s="158"/>
    </row>
    <row r="1053" spans="1:27" ht="15.75" customHeight="1" x14ac:dyDescent="0.55000000000000004">
      <c r="A1053" s="166">
        <v>155</v>
      </c>
      <c r="B1053" s="166" t="s">
        <v>1878</v>
      </c>
      <c r="C1053" s="166" t="s">
        <v>1879</v>
      </c>
      <c r="D1053" s="167">
        <v>43044</v>
      </c>
      <c r="E1053" s="120" t="s">
        <v>3515</v>
      </c>
      <c r="F1053" s="131">
        <v>14</v>
      </c>
      <c r="G1053" s="120">
        <v>1</v>
      </c>
      <c r="H1053" s="131">
        <v>2</v>
      </c>
      <c r="I1053" s="120">
        <v>0</v>
      </c>
      <c r="J1053" s="133" t="s">
        <v>853</v>
      </c>
      <c r="K1053" s="133">
        <v>0</v>
      </c>
      <c r="L1053" s="117">
        <v>79.7</v>
      </c>
      <c r="M1053" s="133">
        <f t="shared" si="31"/>
        <v>65.7</v>
      </c>
      <c r="N1053" s="157"/>
      <c r="O1053" s="158"/>
      <c r="P1053" s="158"/>
      <c r="Q1053" s="158"/>
      <c r="R1053" s="158"/>
      <c r="S1053" s="158"/>
      <c r="T1053" s="158"/>
      <c r="U1053" s="158"/>
      <c r="V1053" s="158"/>
      <c r="W1053" s="158"/>
      <c r="X1053" s="158"/>
      <c r="Y1053" s="158"/>
      <c r="Z1053" s="158"/>
      <c r="AA1053" s="158"/>
    </row>
    <row r="1054" spans="1:27" ht="15.75" customHeight="1" x14ac:dyDescent="0.55000000000000004">
      <c r="A1054" s="166">
        <v>155</v>
      </c>
      <c r="B1054" s="166" t="s">
        <v>1878</v>
      </c>
      <c r="C1054" s="166" t="s">
        <v>1879</v>
      </c>
      <c r="D1054" s="167">
        <v>43044</v>
      </c>
      <c r="E1054" s="120" t="s">
        <v>3516</v>
      </c>
      <c r="F1054" s="131">
        <v>16</v>
      </c>
      <c r="G1054" s="120">
        <v>1</v>
      </c>
      <c r="H1054" s="120">
        <v>0</v>
      </c>
      <c r="I1054" s="120">
        <v>0</v>
      </c>
      <c r="J1054" s="133" t="s">
        <v>853</v>
      </c>
      <c r="K1054" s="133">
        <v>0</v>
      </c>
      <c r="L1054" s="117">
        <v>80</v>
      </c>
      <c r="M1054" s="133">
        <f t="shared" si="31"/>
        <v>64</v>
      </c>
      <c r="N1054" s="157"/>
      <c r="O1054" s="158"/>
      <c r="P1054" s="158"/>
      <c r="Q1054" s="158"/>
      <c r="R1054" s="158"/>
      <c r="S1054" s="158"/>
      <c r="T1054" s="158"/>
      <c r="U1054" s="158"/>
      <c r="V1054" s="158"/>
      <c r="W1054" s="158"/>
      <c r="X1054" s="158"/>
      <c r="Y1054" s="158"/>
      <c r="Z1054" s="158"/>
      <c r="AA1054" s="158"/>
    </row>
    <row r="1055" spans="1:27" ht="15.75" customHeight="1" x14ac:dyDescent="0.55000000000000004">
      <c r="A1055" s="166">
        <v>155</v>
      </c>
      <c r="B1055" s="166" t="s">
        <v>1878</v>
      </c>
      <c r="C1055" s="166" t="s">
        <v>1879</v>
      </c>
      <c r="D1055" s="167">
        <v>43044</v>
      </c>
      <c r="E1055" s="120" t="s">
        <v>3517</v>
      </c>
      <c r="F1055" s="131">
        <v>56</v>
      </c>
      <c r="G1055" s="120">
        <v>1</v>
      </c>
      <c r="H1055" s="131">
        <v>0</v>
      </c>
      <c r="I1055" s="120">
        <v>0</v>
      </c>
      <c r="J1055" s="133" t="s">
        <v>853</v>
      </c>
      <c r="K1055" s="133">
        <v>0</v>
      </c>
      <c r="L1055" s="117">
        <v>74.099999999999994</v>
      </c>
      <c r="M1055" s="133">
        <f t="shared" si="31"/>
        <v>18.099999999999994</v>
      </c>
      <c r="N1055" s="157"/>
      <c r="O1055" s="158"/>
      <c r="P1055" s="158"/>
      <c r="Q1055" s="158"/>
      <c r="R1055" s="158"/>
      <c r="S1055" s="158"/>
      <c r="T1055" s="158"/>
      <c r="U1055" s="158"/>
      <c r="V1055" s="158"/>
      <c r="W1055" s="158"/>
      <c r="X1055" s="158"/>
      <c r="Y1055" s="158"/>
      <c r="Z1055" s="158"/>
      <c r="AA1055" s="158"/>
    </row>
    <row r="1056" spans="1:27" ht="15.75" customHeight="1" x14ac:dyDescent="0.55000000000000004">
      <c r="A1056" s="166">
        <v>155</v>
      </c>
      <c r="B1056" s="166" t="s">
        <v>1878</v>
      </c>
      <c r="C1056" s="166" t="s">
        <v>1879</v>
      </c>
      <c r="D1056" s="167">
        <v>43044</v>
      </c>
      <c r="E1056" s="120" t="s">
        <v>3518</v>
      </c>
      <c r="F1056" s="131">
        <v>56</v>
      </c>
      <c r="G1056" s="120">
        <v>0</v>
      </c>
      <c r="H1056" s="120">
        <v>0</v>
      </c>
      <c r="I1056" s="120">
        <v>0</v>
      </c>
      <c r="J1056" s="133" t="s">
        <v>853</v>
      </c>
      <c r="K1056" s="133">
        <v>0</v>
      </c>
      <c r="L1056" s="117">
        <v>67.400000000000006</v>
      </c>
      <c r="M1056" s="133">
        <f t="shared" si="31"/>
        <v>11.400000000000006</v>
      </c>
      <c r="N1056" s="157"/>
      <c r="O1056" s="158"/>
      <c r="P1056" s="158"/>
      <c r="Q1056" s="158"/>
      <c r="R1056" s="158"/>
      <c r="S1056" s="158"/>
      <c r="T1056" s="158"/>
      <c r="U1056" s="158"/>
      <c r="V1056" s="158"/>
      <c r="W1056" s="158"/>
      <c r="X1056" s="158"/>
      <c r="Y1056" s="158"/>
      <c r="Z1056" s="158"/>
      <c r="AA1056" s="158"/>
    </row>
    <row r="1057" spans="1:27" ht="15.75" customHeight="1" x14ac:dyDescent="0.55000000000000004">
      <c r="A1057" s="166">
        <v>155</v>
      </c>
      <c r="B1057" s="166" t="s">
        <v>1878</v>
      </c>
      <c r="C1057" s="166" t="s">
        <v>1879</v>
      </c>
      <c r="D1057" s="167">
        <v>43044</v>
      </c>
      <c r="E1057" s="131" t="s">
        <v>3519</v>
      </c>
      <c r="F1057" s="131">
        <v>33</v>
      </c>
      <c r="G1057" s="120">
        <v>1</v>
      </c>
      <c r="H1057" s="120">
        <v>0</v>
      </c>
      <c r="I1057" s="120">
        <v>0</v>
      </c>
      <c r="J1057" s="133" t="s">
        <v>853</v>
      </c>
      <c r="K1057" s="133">
        <v>0</v>
      </c>
      <c r="L1057" s="117">
        <v>78.099999999999994</v>
      </c>
      <c r="M1057" s="133">
        <f t="shared" si="31"/>
        <v>45.099999999999994</v>
      </c>
      <c r="N1057" s="157"/>
      <c r="O1057" s="158"/>
      <c r="P1057" s="158"/>
      <c r="Q1057" s="158"/>
      <c r="R1057" s="158"/>
      <c r="S1057" s="158"/>
      <c r="T1057" s="158"/>
      <c r="U1057" s="158"/>
      <c r="V1057" s="158"/>
      <c r="W1057" s="158"/>
      <c r="X1057" s="158"/>
      <c r="Y1057" s="158"/>
      <c r="Z1057" s="158"/>
      <c r="AA1057" s="158"/>
    </row>
    <row r="1058" spans="1:27" ht="15.75" customHeight="1" x14ac:dyDescent="0.55000000000000004">
      <c r="A1058" s="166">
        <v>155</v>
      </c>
      <c r="B1058" s="166" t="s">
        <v>1878</v>
      </c>
      <c r="C1058" s="166" t="s">
        <v>1879</v>
      </c>
      <c r="D1058" s="167">
        <v>43044</v>
      </c>
      <c r="E1058" s="120" t="s">
        <v>3520</v>
      </c>
      <c r="F1058" s="131">
        <v>64</v>
      </c>
      <c r="G1058" s="120">
        <v>0</v>
      </c>
      <c r="H1058" s="131">
        <v>2</v>
      </c>
      <c r="I1058" s="120">
        <v>0</v>
      </c>
      <c r="J1058" s="133" t="s">
        <v>853</v>
      </c>
      <c r="K1058" s="133">
        <v>0</v>
      </c>
      <c r="L1058" s="117">
        <v>65.599999999999994</v>
      </c>
      <c r="M1058" s="133">
        <f t="shared" si="31"/>
        <v>1.5999999999999943</v>
      </c>
      <c r="N1058" s="157"/>
      <c r="O1058" s="158"/>
      <c r="P1058" s="158"/>
      <c r="Q1058" s="158"/>
      <c r="R1058" s="158"/>
      <c r="S1058" s="158"/>
      <c r="T1058" s="158"/>
      <c r="U1058" s="158"/>
      <c r="V1058" s="158"/>
      <c r="W1058" s="158"/>
      <c r="X1058" s="158"/>
      <c r="Y1058" s="158"/>
      <c r="Z1058" s="158"/>
      <c r="AA1058" s="158"/>
    </row>
    <row r="1059" spans="1:27" ht="15.75" customHeight="1" x14ac:dyDescent="0.55000000000000004">
      <c r="A1059" s="166">
        <v>155</v>
      </c>
      <c r="B1059" s="166" t="s">
        <v>1878</v>
      </c>
      <c r="C1059" s="166" t="s">
        <v>1879</v>
      </c>
      <c r="D1059" s="167">
        <v>43044</v>
      </c>
      <c r="E1059" s="120" t="s">
        <v>3521</v>
      </c>
      <c r="F1059" s="131">
        <v>66</v>
      </c>
      <c r="G1059" s="120">
        <v>1</v>
      </c>
      <c r="H1059" s="131">
        <v>0</v>
      </c>
      <c r="I1059" s="120">
        <v>0</v>
      </c>
      <c r="J1059" s="133" t="s">
        <v>853</v>
      </c>
      <c r="K1059" s="133">
        <v>0</v>
      </c>
      <c r="L1059" s="183">
        <v>85.6</v>
      </c>
      <c r="M1059" s="133">
        <f t="shared" si="31"/>
        <v>19.599999999999994</v>
      </c>
      <c r="N1059" s="157"/>
      <c r="O1059" s="158"/>
      <c r="P1059" s="158"/>
      <c r="Q1059" s="158"/>
      <c r="R1059" s="158"/>
      <c r="S1059" s="158"/>
      <c r="T1059" s="158"/>
      <c r="U1059" s="158"/>
      <c r="V1059" s="158"/>
      <c r="W1059" s="158"/>
      <c r="X1059" s="158"/>
      <c r="Y1059" s="158"/>
      <c r="Z1059" s="158"/>
      <c r="AA1059" s="158"/>
    </row>
    <row r="1060" spans="1:27" ht="15.75" customHeight="1" x14ac:dyDescent="0.55000000000000004">
      <c r="A1060" s="166">
        <v>155</v>
      </c>
      <c r="B1060" s="166" t="s">
        <v>1878</v>
      </c>
      <c r="C1060" s="166" t="s">
        <v>1879</v>
      </c>
      <c r="D1060" s="167">
        <v>43044</v>
      </c>
      <c r="E1060" s="131" t="s">
        <v>3522</v>
      </c>
      <c r="F1060" s="131">
        <v>30</v>
      </c>
      <c r="G1060" s="120">
        <v>1</v>
      </c>
      <c r="H1060" s="131">
        <v>5</v>
      </c>
      <c r="I1060" s="120">
        <v>0</v>
      </c>
      <c r="J1060" s="133" t="s">
        <v>853</v>
      </c>
      <c r="K1060" s="133">
        <v>0</v>
      </c>
      <c r="L1060" s="117">
        <v>78.8</v>
      </c>
      <c r="M1060" s="133">
        <f t="shared" si="31"/>
        <v>48.8</v>
      </c>
      <c r="N1060" s="157"/>
      <c r="O1060" s="158"/>
      <c r="P1060" s="158"/>
      <c r="Q1060" s="158"/>
      <c r="R1060" s="158"/>
      <c r="S1060" s="158"/>
      <c r="T1060" s="158"/>
      <c r="U1060" s="158"/>
      <c r="V1060" s="158"/>
      <c r="W1060" s="158"/>
      <c r="X1060" s="158"/>
      <c r="Y1060" s="158"/>
      <c r="Z1060" s="158"/>
      <c r="AA1060" s="158"/>
    </row>
    <row r="1061" spans="1:27" ht="15.75" customHeight="1" x14ac:dyDescent="0.55000000000000004">
      <c r="A1061" s="166">
        <v>155</v>
      </c>
      <c r="B1061" s="166" t="s">
        <v>1878</v>
      </c>
      <c r="C1061" s="166" t="s">
        <v>1879</v>
      </c>
      <c r="D1061" s="167">
        <v>43044</v>
      </c>
      <c r="E1061" s="120" t="s">
        <v>3523</v>
      </c>
      <c r="F1061" s="131">
        <v>5</v>
      </c>
      <c r="G1061" s="120">
        <v>1</v>
      </c>
      <c r="H1061" s="131">
        <v>0</v>
      </c>
      <c r="I1061" s="120">
        <v>0</v>
      </c>
      <c r="J1061" s="133" t="s">
        <v>853</v>
      </c>
      <c r="K1061" s="133">
        <v>0</v>
      </c>
      <c r="L1061" s="117">
        <v>81.400000000000006</v>
      </c>
      <c r="M1061" s="133">
        <f t="shared" si="31"/>
        <v>76.400000000000006</v>
      </c>
      <c r="N1061" s="157"/>
      <c r="O1061" s="158"/>
      <c r="P1061" s="158"/>
      <c r="Q1061" s="158"/>
      <c r="R1061" s="158"/>
      <c r="S1061" s="158"/>
      <c r="T1061" s="158"/>
      <c r="U1061" s="158"/>
      <c r="V1061" s="158"/>
      <c r="W1061" s="158"/>
      <c r="X1061" s="158"/>
      <c r="Y1061" s="158"/>
      <c r="Z1061" s="158"/>
      <c r="AA1061" s="158"/>
    </row>
    <row r="1062" spans="1:27" ht="15.75" customHeight="1" x14ac:dyDescent="0.55000000000000004">
      <c r="A1062" s="166">
        <v>155</v>
      </c>
      <c r="B1062" s="166" t="s">
        <v>1878</v>
      </c>
      <c r="C1062" s="166" t="s">
        <v>1879</v>
      </c>
      <c r="D1062" s="167">
        <v>43044</v>
      </c>
      <c r="E1062" s="120" t="s">
        <v>3524</v>
      </c>
      <c r="F1062" s="131">
        <v>7</v>
      </c>
      <c r="G1062" s="120">
        <v>1</v>
      </c>
      <c r="H1062" s="131">
        <v>2</v>
      </c>
      <c r="I1062" s="120">
        <v>0</v>
      </c>
      <c r="J1062" s="133" t="s">
        <v>853</v>
      </c>
      <c r="K1062" s="133">
        <v>0</v>
      </c>
      <c r="L1062" s="117">
        <v>81.2</v>
      </c>
      <c r="M1062" s="133">
        <f t="shared" si="31"/>
        <v>74.2</v>
      </c>
      <c r="N1062" s="157"/>
      <c r="O1062" s="158"/>
      <c r="P1062" s="158"/>
      <c r="Q1062" s="158"/>
      <c r="R1062" s="158"/>
      <c r="S1062" s="158"/>
      <c r="T1062" s="158"/>
      <c r="U1062" s="158"/>
      <c r="V1062" s="158"/>
      <c r="W1062" s="158"/>
      <c r="X1062" s="158"/>
      <c r="Y1062" s="158"/>
      <c r="Z1062" s="158"/>
      <c r="AA1062" s="158"/>
    </row>
    <row r="1063" spans="1:27" ht="15.75" customHeight="1" x14ac:dyDescent="0.55000000000000004">
      <c r="A1063" s="166">
        <v>155</v>
      </c>
      <c r="B1063" s="166" t="s">
        <v>1878</v>
      </c>
      <c r="C1063" s="166" t="s">
        <v>1879</v>
      </c>
      <c r="D1063" s="167">
        <v>43044</v>
      </c>
      <c r="E1063" s="120" t="s">
        <v>3525</v>
      </c>
      <c r="F1063" s="131">
        <v>56</v>
      </c>
      <c r="G1063" s="120">
        <v>1</v>
      </c>
      <c r="H1063" s="120">
        <v>0</v>
      </c>
      <c r="I1063" s="120">
        <v>0</v>
      </c>
      <c r="J1063" s="133" t="s">
        <v>853</v>
      </c>
      <c r="K1063" s="133">
        <v>0</v>
      </c>
      <c r="L1063" s="117">
        <v>74.099999999999994</v>
      </c>
      <c r="M1063" s="133">
        <f t="shared" si="31"/>
        <v>18.099999999999994</v>
      </c>
      <c r="N1063" s="157"/>
      <c r="O1063" s="158"/>
      <c r="P1063" s="158"/>
      <c r="Q1063" s="158"/>
      <c r="R1063" s="158"/>
      <c r="S1063" s="158"/>
      <c r="T1063" s="158"/>
      <c r="U1063" s="158"/>
      <c r="V1063" s="158"/>
      <c r="W1063" s="158"/>
      <c r="X1063" s="158"/>
      <c r="Y1063" s="158"/>
      <c r="Z1063" s="158"/>
      <c r="AA1063" s="158"/>
    </row>
    <row r="1064" spans="1:27" ht="15.75" customHeight="1" x14ac:dyDescent="0.55000000000000004">
      <c r="A1064" s="166">
        <v>155</v>
      </c>
      <c r="B1064" s="166" t="s">
        <v>1878</v>
      </c>
      <c r="C1064" s="166" t="s">
        <v>1879</v>
      </c>
      <c r="D1064" s="167">
        <v>43044</v>
      </c>
      <c r="E1064" s="120" t="s">
        <v>3526</v>
      </c>
      <c r="F1064" s="131">
        <v>71</v>
      </c>
      <c r="G1064" s="120">
        <v>1</v>
      </c>
      <c r="H1064" s="131">
        <v>0</v>
      </c>
      <c r="I1064" s="131">
        <v>1</v>
      </c>
      <c r="J1064" s="133" t="s">
        <v>3527</v>
      </c>
      <c r="K1064" s="133">
        <v>1</v>
      </c>
      <c r="L1064" s="183">
        <v>85.4</v>
      </c>
      <c r="M1064" s="133">
        <f t="shared" si="31"/>
        <v>14.400000000000006</v>
      </c>
      <c r="N1064" s="157"/>
      <c r="O1064" s="158"/>
      <c r="P1064" s="158"/>
      <c r="Q1064" s="158"/>
      <c r="R1064" s="158"/>
      <c r="S1064" s="158"/>
      <c r="T1064" s="158"/>
      <c r="U1064" s="158"/>
      <c r="V1064" s="158"/>
      <c r="W1064" s="158"/>
      <c r="X1064" s="158"/>
      <c r="Y1064" s="158"/>
      <c r="Z1064" s="158"/>
      <c r="AA1064" s="158"/>
    </row>
    <row r="1065" spans="1:27" ht="15.75" customHeight="1" x14ac:dyDescent="0.55000000000000004">
      <c r="A1065" s="177">
        <v>156</v>
      </c>
      <c r="B1065" s="177" t="s">
        <v>1887</v>
      </c>
      <c r="C1065" s="177" t="s">
        <v>1888</v>
      </c>
      <c r="D1065" s="178">
        <v>43052</v>
      </c>
      <c r="E1065" s="120" t="s">
        <v>3528</v>
      </c>
      <c r="F1065" s="131">
        <v>38</v>
      </c>
      <c r="G1065" s="120">
        <v>1</v>
      </c>
      <c r="H1065" s="120">
        <v>0</v>
      </c>
      <c r="I1065" s="131">
        <v>1</v>
      </c>
      <c r="J1065" s="133" t="s">
        <v>2362</v>
      </c>
      <c r="K1065" s="133">
        <v>2</v>
      </c>
      <c r="L1065" s="117">
        <v>78.099999999999994</v>
      </c>
      <c r="M1065" s="133">
        <f t="shared" si="31"/>
        <v>40.099999999999994</v>
      </c>
      <c r="N1065" s="157"/>
      <c r="O1065" s="158"/>
      <c r="P1065" s="158"/>
      <c r="Q1065" s="158"/>
      <c r="R1065" s="158"/>
      <c r="S1065" s="158"/>
      <c r="T1065" s="158"/>
      <c r="U1065" s="158"/>
      <c r="V1065" s="158"/>
      <c r="W1065" s="158"/>
      <c r="X1065" s="158"/>
      <c r="Y1065" s="158"/>
      <c r="Z1065" s="158"/>
      <c r="AA1065" s="158"/>
    </row>
    <row r="1066" spans="1:27" ht="15.75" customHeight="1" x14ac:dyDescent="0.55000000000000004">
      <c r="A1066" s="177">
        <v>156</v>
      </c>
      <c r="B1066" s="177" t="s">
        <v>1887</v>
      </c>
      <c r="C1066" s="177" t="s">
        <v>1888</v>
      </c>
      <c r="D1066" s="178">
        <v>43053</v>
      </c>
      <c r="E1066" s="120" t="s">
        <v>3529</v>
      </c>
      <c r="F1066" s="131">
        <v>38</v>
      </c>
      <c r="G1066" s="120">
        <v>0</v>
      </c>
      <c r="H1066" s="131">
        <v>0</v>
      </c>
      <c r="I1066" s="131">
        <v>1</v>
      </c>
      <c r="J1066" s="133" t="s">
        <v>2394</v>
      </c>
      <c r="K1066" s="133">
        <v>5</v>
      </c>
      <c r="L1066" s="117">
        <v>70.7</v>
      </c>
      <c r="M1066" s="133">
        <f t="shared" si="31"/>
        <v>32.700000000000003</v>
      </c>
      <c r="N1066" s="157"/>
      <c r="O1066" s="158"/>
      <c r="P1066" s="158"/>
      <c r="Q1066" s="158"/>
      <c r="R1066" s="158"/>
      <c r="S1066" s="158"/>
      <c r="T1066" s="158"/>
      <c r="U1066" s="158"/>
      <c r="V1066" s="158"/>
      <c r="W1066" s="158"/>
      <c r="X1066" s="158"/>
      <c r="Y1066" s="158"/>
      <c r="Z1066" s="158"/>
      <c r="AA1066" s="158"/>
    </row>
    <row r="1067" spans="1:27" ht="15.75" customHeight="1" x14ac:dyDescent="0.55000000000000004">
      <c r="A1067" s="177">
        <v>156</v>
      </c>
      <c r="B1067" s="177" t="s">
        <v>1887</v>
      </c>
      <c r="C1067" s="177" t="s">
        <v>1888</v>
      </c>
      <c r="D1067" s="178">
        <v>43053</v>
      </c>
      <c r="E1067" s="120" t="s">
        <v>3530</v>
      </c>
      <c r="F1067" s="131">
        <v>55</v>
      </c>
      <c r="G1067" s="120">
        <v>1</v>
      </c>
      <c r="H1067" s="131">
        <v>0</v>
      </c>
      <c r="I1067" s="120">
        <v>0</v>
      </c>
      <c r="J1067" s="133" t="s">
        <v>853</v>
      </c>
      <c r="K1067" s="133">
        <v>0</v>
      </c>
      <c r="L1067" s="117">
        <v>74.099999999999994</v>
      </c>
      <c r="M1067" s="133">
        <f t="shared" si="31"/>
        <v>19.099999999999994</v>
      </c>
      <c r="N1067" s="157"/>
      <c r="O1067" s="158"/>
      <c r="P1067" s="158"/>
      <c r="Q1067" s="158"/>
      <c r="R1067" s="158"/>
      <c r="S1067" s="158"/>
      <c r="T1067" s="158"/>
      <c r="U1067" s="158"/>
      <c r="V1067" s="158"/>
      <c r="W1067" s="158"/>
      <c r="X1067" s="158"/>
      <c r="Y1067" s="158"/>
      <c r="Z1067" s="158"/>
      <c r="AA1067" s="158"/>
    </row>
    <row r="1068" spans="1:27" ht="15.75" customHeight="1" x14ac:dyDescent="0.55000000000000004">
      <c r="A1068" s="177">
        <v>156</v>
      </c>
      <c r="B1068" s="177" t="s">
        <v>1887</v>
      </c>
      <c r="C1068" s="177" t="s">
        <v>1888</v>
      </c>
      <c r="D1068" s="178">
        <v>43053</v>
      </c>
      <c r="E1068" s="120" t="s">
        <v>3531</v>
      </c>
      <c r="F1068" s="131">
        <v>56</v>
      </c>
      <c r="G1068" s="120">
        <v>0</v>
      </c>
      <c r="H1068" s="131">
        <v>0</v>
      </c>
      <c r="I1068" s="120">
        <v>0</v>
      </c>
      <c r="J1068" s="133" t="s">
        <v>853</v>
      </c>
      <c r="K1068" s="133">
        <v>0</v>
      </c>
      <c r="L1068" s="117">
        <v>67.400000000000006</v>
      </c>
      <c r="M1068" s="133">
        <f t="shared" si="31"/>
        <v>11.400000000000006</v>
      </c>
      <c r="N1068" s="157"/>
      <c r="O1068" s="158"/>
      <c r="P1068" s="158"/>
      <c r="Q1068" s="158"/>
      <c r="R1068" s="158"/>
      <c r="S1068" s="158"/>
      <c r="T1068" s="158"/>
      <c r="U1068" s="158"/>
      <c r="V1068" s="158"/>
      <c r="W1068" s="158"/>
      <c r="X1068" s="158"/>
      <c r="Y1068" s="158"/>
      <c r="Z1068" s="158"/>
      <c r="AA1068" s="158"/>
    </row>
    <row r="1069" spans="1:27" ht="15.75" customHeight="1" x14ac:dyDescent="0.55000000000000004">
      <c r="A1069" s="177">
        <v>156</v>
      </c>
      <c r="B1069" s="177" t="s">
        <v>1887</v>
      </c>
      <c r="C1069" s="177" t="s">
        <v>1888</v>
      </c>
      <c r="D1069" s="178">
        <v>43053</v>
      </c>
      <c r="E1069" s="120" t="s">
        <v>3532</v>
      </c>
      <c r="F1069" s="131">
        <v>68</v>
      </c>
      <c r="G1069" s="120">
        <v>1</v>
      </c>
      <c r="H1069" s="131">
        <v>0</v>
      </c>
      <c r="I1069" s="131">
        <v>1</v>
      </c>
      <c r="J1069" s="133" t="s">
        <v>2394</v>
      </c>
      <c r="K1069" s="133">
        <v>5</v>
      </c>
      <c r="L1069" s="183">
        <v>85.6</v>
      </c>
      <c r="M1069" s="133">
        <f t="shared" si="31"/>
        <v>17.599999999999994</v>
      </c>
      <c r="N1069" s="157"/>
      <c r="O1069" s="158"/>
      <c r="P1069" s="158"/>
      <c r="Q1069" s="158"/>
      <c r="R1069" s="158"/>
      <c r="S1069" s="158"/>
      <c r="T1069" s="158"/>
      <c r="U1069" s="158"/>
      <c r="V1069" s="158"/>
      <c r="W1069" s="158"/>
      <c r="X1069" s="158"/>
      <c r="Y1069" s="158"/>
      <c r="Z1069" s="158"/>
      <c r="AA1069" s="158"/>
    </row>
    <row r="1070" spans="1:27" ht="15.75" customHeight="1" x14ac:dyDescent="0.55000000000000004">
      <c r="A1070" s="169">
        <v>157</v>
      </c>
      <c r="B1070" s="169" t="s">
        <v>1893</v>
      </c>
      <c r="C1070" s="169" t="s">
        <v>1894</v>
      </c>
      <c r="D1070" s="170">
        <v>43128</v>
      </c>
      <c r="E1070" s="120" t="s">
        <v>3533</v>
      </c>
      <c r="F1070" s="131">
        <v>25</v>
      </c>
      <c r="G1070" s="120">
        <v>1</v>
      </c>
      <c r="H1070" s="131">
        <v>0</v>
      </c>
      <c r="I1070" s="131">
        <v>1</v>
      </c>
      <c r="J1070" s="133" t="s">
        <v>2537</v>
      </c>
      <c r="K1070" s="133">
        <v>2</v>
      </c>
      <c r="L1070" s="117">
        <v>79.599999999999994</v>
      </c>
      <c r="M1070" s="133">
        <f t="shared" si="31"/>
        <v>54.599999999999994</v>
      </c>
      <c r="N1070" s="157"/>
      <c r="O1070" s="158"/>
      <c r="P1070" s="158"/>
      <c r="Q1070" s="158"/>
      <c r="R1070" s="158"/>
      <c r="S1070" s="158"/>
      <c r="T1070" s="158"/>
      <c r="U1070" s="158"/>
      <c r="V1070" s="158"/>
      <c r="W1070" s="158"/>
      <c r="X1070" s="158"/>
      <c r="Y1070" s="158"/>
      <c r="Z1070" s="158"/>
      <c r="AA1070" s="158"/>
    </row>
    <row r="1071" spans="1:27" ht="15.75" customHeight="1" x14ac:dyDescent="0.55000000000000004">
      <c r="A1071" s="169">
        <v>157</v>
      </c>
      <c r="B1071" s="169" t="s">
        <v>1893</v>
      </c>
      <c r="C1071" s="169" t="s">
        <v>1894</v>
      </c>
      <c r="D1071" s="170">
        <v>43128</v>
      </c>
      <c r="E1071" s="120" t="s">
        <v>3534</v>
      </c>
      <c r="F1071" s="131">
        <v>21</v>
      </c>
      <c r="G1071" s="120">
        <v>0</v>
      </c>
      <c r="H1071" s="131">
        <v>0</v>
      </c>
      <c r="I1071" s="131">
        <v>1</v>
      </c>
      <c r="J1071" s="133" t="s">
        <v>2746</v>
      </c>
      <c r="K1071" s="133">
        <v>5</v>
      </c>
      <c r="L1071" s="117">
        <v>73.400000000000006</v>
      </c>
      <c r="M1071" s="133">
        <f t="shared" si="31"/>
        <v>52.400000000000006</v>
      </c>
      <c r="N1071" s="157"/>
      <c r="O1071" s="158"/>
      <c r="P1071" s="158"/>
      <c r="Q1071" s="158"/>
      <c r="R1071" s="158"/>
      <c r="S1071" s="158"/>
      <c r="T1071" s="158"/>
      <c r="U1071" s="158"/>
      <c r="V1071" s="158"/>
      <c r="W1071" s="158"/>
      <c r="X1071" s="158"/>
      <c r="Y1071" s="158"/>
      <c r="Z1071" s="158"/>
      <c r="AA1071" s="158"/>
    </row>
    <row r="1072" spans="1:27" ht="15.75" customHeight="1" x14ac:dyDescent="0.55000000000000004">
      <c r="A1072" s="169">
        <v>157</v>
      </c>
      <c r="B1072" s="169" t="s">
        <v>1893</v>
      </c>
      <c r="C1072" s="169" t="s">
        <v>1894</v>
      </c>
      <c r="D1072" s="170">
        <v>43128</v>
      </c>
      <c r="E1072" s="120" t="s">
        <v>3535</v>
      </c>
      <c r="F1072" s="131">
        <v>23</v>
      </c>
      <c r="G1072" s="120">
        <v>1</v>
      </c>
      <c r="H1072" s="131">
        <v>0</v>
      </c>
      <c r="I1072" s="131">
        <v>1</v>
      </c>
      <c r="J1072" s="133" t="s">
        <v>2746</v>
      </c>
      <c r="K1072" s="133">
        <v>5</v>
      </c>
      <c r="L1072" s="117">
        <v>79.599999999999994</v>
      </c>
      <c r="M1072" s="133">
        <f t="shared" si="31"/>
        <v>56.599999999999994</v>
      </c>
      <c r="N1072" s="157"/>
      <c r="O1072" s="158"/>
      <c r="P1072" s="158"/>
      <c r="Q1072" s="158"/>
      <c r="R1072" s="158"/>
      <c r="S1072" s="158"/>
      <c r="T1072" s="158"/>
      <c r="U1072" s="158"/>
      <c r="V1072" s="158"/>
      <c r="W1072" s="158"/>
      <c r="X1072" s="158"/>
      <c r="Y1072" s="158"/>
      <c r="Z1072" s="158"/>
      <c r="AA1072" s="158"/>
    </row>
    <row r="1073" spans="1:27" ht="15.75" customHeight="1" x14ac:dyDescent="0.55000000000000004">
      <c r="A1073" s="169">
        <v>157</v>
      </c>
      <c r="B1073" s="169" t="s">
        <v>1893</v>
      </c>
      <c r="C1073" s="169" t="s">
        <v>1894</v>
      </c>
      <c r="D1073" s="170">
        <v>43128</v>
      </c>
      <c r="E1073" s="120" t="s">
        <v>3536</v>
      </c>
      <c r="F1073" s="131">
        <v>27</v>
      </c>
      <c r="G1073" s="120">
        <v>0</v>
      </c>
      <c r="H1073" s="131">
        <v>0</v>
      </c>
      <c r="I1073" s="131">
        <v>1</v>
      </c>
      <c r="J1073" s="133" t="s">
        <v>2746</v>
      </c>
      <c r="K1073" s="133">
        <v>5</v>
      </c>
      <c r="L1073" s="117">
        <v>72.7</v>
      </c>
      <c r="M1073" s="133">
        <f t="shared" si="31"/>
        <v>45.7</v>
      </c>
      <c r="N1073" s="157"/>
      <c r="O1073" s="158"/>
      <c r="P1073" s="158"/>
      <c r="Q1073" s="158"/>
      <c r="R1073" s="158"/>
      <c r="S1073" s="158"/>
      <c r="T1073" s="158"/>
      <c r="U1073" s="158"/>
      <c r="V1073" s="158"/>
      <c r="W1073" s="158"/>
      <c r="X1073" s="158"/>
      <c r="Y1073" s="158"/>
      <c r="Z1073" s="158"/>
      <c r="AA1073" s="158"/>
    </row>
    <row r="1074" spans="1:27" ht="15.75" customHeight="1" x14ac:dyDescent="0.55000000000000004">
      <c r="A1074" s="175">
        <v>158</v>
      </c>
      <c r="B1074" s="175" t="s">
        <v>1899</v>
      </c>
      <c r="C1074" s="175" t="s">
        <v>1900</v>
      </c>
      <c r="D1074" s="176">
        <v>43145</v>
      </c>
      <c r="E1074" s="120" t="s">
        <v>3537</v>
      </c>
      <c r="F1074" s="131">
        <v>14</v>
      </c>
      <c r="G1074" s="120">
        <v>1</v>
      </c>
      <c r="H1074" s="131">
        <v>0</v>
      </c>
      <c r="I1074" s="120">
        <v>0</v>
      </c>
      <c r="J1074" s="133" t="s">
        <v>853</v>
      </c>
      <c r="K1074" s="133">
        <v>0</v>
      </c>
      <c r="L1074" s="117">
        <v>80.5</v>
      </c>
      <c r="M1074" s="133">
        <f t="shared" si="31"/>
        <v>66.5</v>
      </c>
      <c r="N1074" s="157"/>
      <c r="O1074" s="158"/>
      <c r="P1074" s="158"/>
      <c r="Q1074" s="158"/>
      <c r="R1074" s="158"/>
      <c r="S1074" s="158"/>
      <c r="T1074" s="158"/>
      <c r="U1074" s="158"/>
      <c r="V1074" s="158"/>
      <c r="W1074" s="158"/>
      <c r="X1074" s="158"/>
      <c r="Y1074" s="158"/>
      <c r="Z1074" s="158"/>
      <c r="AA1074" s="158"/>
    </row>
    <row r="1075" spans="1:27" ht="15.75" customHeight="1" x14ac:dyDescent="0.55000000000000004">
      <c r="A1075" s="175">
        <v>158</v>
      </c>
      <c r="B1075" s="175" t="s">
        <v>1899</v>
      </c>
      <c r="C1075" s="175" t="s">
        <v>1900</v>
      </c>
      <c r="D1075" s="176">
        <v>43145</v>
      </c>
      <c r="E1075" s="120" t="s">
        <v>3538</v>
      </c>
      <c r="F1075" s="131">
        <v>14</v>
      </c>
      <c r="G1075" s="120">
        <v>0</v>
      </c>
      <c r="H1075" s="120">
        <v>2</v>
      </c>
      <c r="I1075" s="120">
        <v>0</v>
      </c>
      <c r="J1075" s="133" t="s">
        <v>853</v>
      </c>
      <c r="K1075" s="133">
        <v>0</v>
      </c>
      <c r="L1075" s="117">
        <v>75</v>
      </c>
      <c r="M1075" s="133">
        <f t="shared" si="31"/>
        <v>61</v>
      </c>
      <c r="N1075" s="157"/>
      <c r="O1075" s="158"/>
      <c r="P1075" s="158"/>
      <c r="Q1075" s="158"/>
      <c r="R1075" s="158"/>
      <c r="S1075" s="158"/>
      <c r="T1075" s="158"/>
      <c r="U1075" s="158"/>
      <c r="V1075" s="158"/>
      <c r="W1075" s="158"/>
      <c r="X1075" s="158"/>
      <c r="Y1075" s="158"/>
      <c r="Z1075" s="158"/>
      <c r="AA1075" s="158"/>
    </row>
    <row r="1076" spans="1:27" ht="15.75" customHeight="1" x14ac:dyDescent="0.55000000000000004">
      <c r="A1076" s="175">
        <v>158</v>
      </c>
      <c r="B1076" s="175" t="s">
        <v>1899</v>
      </c>
      <c r="C1076" s="175" t="s">
        <v>1900</v>
      </c>
      <c r="D1076" s="176">
        <v>43145</v>
      </c>
      <c r="E1076" s="120" t="s">
        <v>3539</v>
      </c>
      <c r="F1076" s="131">
        <v>35</v>
      </c>
      <c r="G1076" s="120">
        <v>0</v>
      </c>
      <c r="H1076" s="120">
        <v>0</v>
      </c>
      <c r="I1076" s="120">
        <v>2</v>
      </c>
      <c r="J1076" s="133" t="s">
        <v>3540</v>
      </c>
      <c r="K1076" s="133">
        <v>4</v>
      </c>
      <c r="L1076" s="117">
        <v>70.7</v>
      </c>
      <c r="M1076" s="133">
        <f t="shared" si="31"/>
        <v>35.700000000000003</v>
      </c>
      <c r="N1076" s="157"/>
      <c r="O1076" s="158"/>
      <c r="P1076" s="158"/>
      <c r="Q1076" s="158"/>
      <c r="R1076" s="158"/>
      <c r="S1076" s="158"/>
      <c r="T1076" s="158"/>
      <c r="U1076" s="158"/>
      <c r="V1076" s="158"/>
      <c r="W1076" s="158"/>
      <c r="X1076" s="158"/>
      <c r="Y1076" s="158"/>
      <c r="Z1076" s="158"/>
      <c r="AA1076" s="158"/>
    </row>
    <row r="1077" spans="1:27" ht="15.75" customHeight="1" x14ac:dyDescent="0.55000000000000004">
      <c r="A1077" s="175">
        <v>158</v>
      </c>
      <c r="B1077" s="175" t="s">
        <v>1899</v>
      </c>
      <c r="C1077" s="175" t="s">
        <v>1900</v>
      </c>
      <c r="D1077" s="176">
        <v>43145</v>
      </c>
      <c r="E1077" s="120" t="s">
        <v>3541</v>
      </c>
      <c r="F1077" s="131">
        <v>17</v>
      </c>
      <c r="G1077" s="120">
        <v>0</v>
      </c>
      <c r="H1077" s="120">
        <v>0</v>
      </c>
      <c r="I1077" s="120">
        <v>2</v>
      </c>
      <c r="J1077" s="133" t="s">
        <v>3090</v>
      </c>
      <c r="K1077" s="133">
        <v>4</v>
      </c>
      <c r="L1077" s="117">
        <v>74.900000000000006</v>
      </c>
      <c r="M1077" s="133">
        <f t="shared" si="31"/>
        <v>57.900000000000006</v>
      </c>
      <c r="N1077" s="157"/>
      <c r="O1077" s="158"/>
      <c r="P1077" s="158"/>
      <c r="Q1077" s="158"/>
      <c r="R1077" s="158"/>
      <c r="S1077" s="158"/>
      <c r="T1077" s="158"/>
      <c r="U1077" s="158"/>
      <c r="V1077" s="158"/>
      <c r="W1077" s="158"/>
      <c r="X1077" s="158"/>
      <c r="Y1077" s="158"/>
      <c r="Z1077" s="158"/>
      <c r="AA1077" s="158"/>
    </row>
    <row r="1078" spans="1:27" ht="15.75" customHeight="1" x14ac:dyDescent="0.55000000000000004">
      <c r="A1078" s="175">
        <v>158</v>
      </c>
      <c r="B1078" s="175" t="s">
        <v>1899</v>
      </c>
      <c r="C1078" s="175" t="s">
        <v>1900</v>
      </c>
      <c r="D1078" s="176">
        <v>43145</v>
      </c>
      <c r="E1078" s="120" t="s">
        <v>3542</v>
      </c>
      <c r="F1078" s="131">
        <v>37</v>
      </c>
      <c r="G1078" s="120">
        <v>0</v>
      </c>
      <c r="H1078" s="120">
        <v>0</v>
      </c>
      <c r="I1078" s="120">
        <v>2</v>
      </c>
      <c r="J1078" s="133" t="s">
        <v>3543</v>
      </c>
      <c r="K1078" s="133">
        <v>4</v>
      </c>
      <c r="L1078" s="117">
        <v>70.7</v>
      </c>
      <c r="M1078" s="133">
        <f t="shared" si="31"/>
        <v>33.700000000000003</v>
      </c>
      <c r="N1078" s="157"/>
      <c r="O1078" s="158"/>
      <c r="P1078" s="158"/>
      <c r="Q1078" s="158"/>
      <c r="R1078" s="158"/>
      <c r="S1078" s="158"/>
      <c r="T1078" s="158"/>
      <c r="U1078" s="158"/>
      <c r="V1078" s="158"/>
      <c r="W1078" s="158"/>
      <c r="X1078" s="158"/>
      <c r="Y1078" s="158"/>
      <c r="Z1078" s="158"/>
      <c r="AA1078" s="158"/>
    </row>
    <row r="1079" spans="1:27" ht="15.75" customHeight="1" x14ac:dyDescent="0.55000000000000004">
      <c r="A1079" s="175">
        <v>158</v>
      </c>
      <c r="B1079" s="175" t="s">
        <v>1899</v>
      </c>
      <c r="C1079" s="175" t="s">
        <v>1900</v>
      </c>
      <c r="D1079" s="176">
        <v>43145</v>
      </c>
      <c r="E1079" s="120" t="s">
        <v>3544</v>
      </c>
      <c r="F1079" s="131">
        <v>14</v>
      </c>
      <c r="G1079" s="120">
        <v>1</v>
      </c>
      <c r="H1079" s="131">
        <v>0</v>
      </c>
      <c r="I1079" s="120">
        <v>0</v>
      </c>
      <c r="J1079" s="133" t="s">
        <v>853</v>
      </c>
      <c r="K1079" s="133">
        <v>0</v>
      </c>
      <c r="L1079" s="117">
        <v>80.5</v>
      </c>
      <c r="M1079" s="133">
        <f t="shared" si="31"/>
        <v>66.5</v>
      </c>
      <c r="N1079" s="157"/>
      <c r="O1079" s="158"/>
      <c r="P1079" s="158"/>
      <c r="Q1079" s="158"/>
      <c r="R1079" s="158"/>
      <c r="S1079" s="158"/>
      <c r="T1079" s="158"/>
      <c r="U1079" s="158"/>
      <c r="V1079" s="158"/>
      <c r="W1079" s="158"/>
      <c r="X1079" s="158"/>
      <c r="Y1079" s="158"/>
      <c r="Z1079" s="158"/>
      <c r="AA1079" s="158"/>
    </row>
    <row r="1080" spans="1:27" ht="15.75" customHeight="1" x14ac:dyDescent="0.55000000000000004">
      <c r="A1080" s="175">
        <v>158</v>
      </c>
      <c r="B1080" s="175" t="s">
        <v>1899</v>
      </c>
      <c r="C1080" s="175" t="s">
        <v>1900</v>
      </c>
      <c r="D1080" s="176">
        <v>43145</v>
      </c>
      <c r="E1080" s="120" t="s">
        <v>3545</v>
      </c>
      <c r="F1080" s="131">
        <v>49</v>
      </c>
      <c r="G1080" s="120">
        <v>0</v>
      </c>
      <c r="H1080" s="120">
        <v>0</v>
      </c>
      <c r="I1080" s="120">
        <v>2</v>
      </c>
      <c r="J1080" s="133" t="s">
        <v>3546</v>
      </c>
      <c r="K1080" s="133">
        <v>4</v>
      </c>
      <c r="L1080" s="117">
        <v>68</v>
      </c>
      <c r="M1080" s="133">
        <f t="shared" si="31"/>
        <v>19</v>
      </c>
      <c r="N1080" s="157"/>
      <c r="O1080" s="158"/>
      <c r="P1080" s="158"/>
      <c r="Q1080" s="158"/>
      <c r="R1080" s="158"/>
      <c r="S1080" s="158"/>
      <c r="T1080" s="158"/>
      <c r="U1080" s="158"/>
      <c r="V1080" s="158"/>
      <c r="W1080" s="158"/>
      <c r="X1080" s="158"/>
      <c r="Y1080" s="158"/>
      <c r="Z1080" s="158"/>
      <c r="AA1080" s="158"/>
    </row>
    <row r="1081" spans="1:27" ht="15.75" customHeight="1" x14ac:dyDescent="0.55000000000000004">
      <c r="A1081" s="175">
        <v>158</v>
      </c>
      <c r="B1081" s="175" t="s">
        <v>1899</v>
      </c>
      <c r="C1081" s="175" t="s">
        <v>1900</v>
      </c>
      <c r="D1081" s="176">
        <v>43145</v>
      </c>
      <c r="E1081" s="120" t="s">
        <v>3547</v>
      </c>
      <c r="F1081" s="131">
        <v>15</v>
      </c>
      <c r="G1081" s="120">
        <v>0</v>
      </c>
      <c r="H1081" s="120">
        <v>0</v>
      </c>
      <c r="I1081" s="120">
        <v>0</v>
      </c>
      <c r="J1081" s="133" t="s">
        <v>853</v>
      </c>
      <c r="K1081" s="133">
        <v>0</v>
      </c>
      <c r="L1081" s="117">
        <v>75.099999999999994</v>
      </c>
      <c r="M1081" s="133">
        <f t="shared" si="31"/>
        <v>60.099999999999994</v>
      </c>
      <c r="N1081" s="157"/>
      <c r="O1081" s="158"/>
      <c r="P1081" s="158"/>
      <c r="Q1081" s="158"/>
      <c r="R1081" s="158"/>
      <c r="S1081" s="158"/>
      <c r="T1081" s="158"/>
      <c r="U1081" s="158"/>
      <c r="V1081" s="158"/>
      <c r="W1081" s="158"/>
      <c r="X1081" s="158"/>
      <c r="Y1081" s="158"/>
      <c r="Z1081" s="158"/>
      <c r="AA1081" s="158"/>
    </row>
    <row r="1082" spans="1:27" ht="15.75" customHeight="1" x14ac:dyDescent="0.55000000000000004">
      <c r="A1082" s="175">
        <v>158</v>
      </c>
      <c r="B1082" s="175" t="s">
        <v>1899</v>
      </c>
      <c r="C1082" s="175" t="s">
        <v>1900</v>
      </c>
      <c r="D1082" s="176">
        <v>43145</v>
      </c>
      <c r="E1082" s="120" t="s">
        <v>3548</v>
      </c>
      <c r="F1082" s="131">
        <v>14</v>
      </c>
      <c r="G1082" s="120">
        <v>1</v>
      </c>
      <c r="H1082" s="120">
        <v>0</v>
      </c>
      <c r="I1082" s="120">
        <v>0</v>
      </c>
      <c r="J1082" s="133" t="s">
        <v>853</v>
      </c>
      <c r="K1082" s="133">
        <v>0</v>
      </c>
      <c r="L1082" s="117">
        <v>80.5</v>
      </c>
      <c r="M1082" s="133">
        <f t="shared" si="31"/>
        <v>66.5</v>
      </c>
      <c r="N1082" s="157"/>
      <c r="O1082" s="158"/>
      <c r="P1082" s="158"/>
      <c r="Q1082" s="158"/>
      <c r="R1082" s="158"/>
      <c r="S1082" s="158"/>
      <c r="T1082" s="158"/>
      <c r="U1082" s="158"/>
      <c r="V1082" s="158"/>
      <c r="W1082" s="158"/>
      <c r="X1082" s="158"/>
      <c r="Y1082" s="158"/>
      <c r="Z1082" s="158"/>
      <c r="AA1082" s="158"/>
    </row>
    <row r="1083" spans="1:27" ht="15.75" customHeight="1" x14ac:dyDescent="0.55000000000000004">
      <c r="A1083" s="175">
        <v>158</v>
      </c>
      <c r="B1083" s="175" t="s">
        <v>1899</v>
      </c>
      <c r="C1083" s="175" t="s">
        <v>1900</v>
      </c>
      <c r="D1083" s="176">
        <v>43145</v>
      </c>
      <c r="E1083" s="120" t="s">
        <v>3549</v>
      </c>
      <c r="F1083" s="131">
        <v>14</v>
      </c>
      <c r="G1083" s="120">
        <v>1</v>
      </c>
      <c r="H1083" s="120"/>
      <c r="I1083" s="120">
        <v>0</v>
      </c>
      <c r="J1083" s="133" t="s">
        <v>853</v>
      </c>
      <c r="K1083" s="133">
        <v>0</v>
      </c>
      <c r="L1083" s="117">
        <v>80.099999999999994</v>
      </c>
      <c r="M1083" s="133">
        <f t="shared" si="31"/>
        <v>66.099999999999994</v>
      </c>
      <c r="N1083" s="157"/>
      <c r="O1083" s="158"/>
      <c r="P1083" s="158"/>
      <c r="Q1083" s="158"/>
      <c r="R1083" s="158"/>
      <c r="S1083" s="158"/>
      <c r="T1083" s="158"/>
      <c r="U1083" s="158"/>
      <c r="V1083" s="158"/>
      <c r="W1083" s="158"/>
      <c r="X1083" s="158"/>
      <c r="Y1083" s="158"/>
      <c r="Z1083" s="158"/>
      <c r="AA1083" s="158"/>
    </row>
    <row r="1084" spans="1:27" ht="15.75" customHeight="1" x14ac:dyDescent="0.55000000000000004">
      <c r="A1084" s="175">
        <v>158</v>
      </c>
      <c r="B1084" s="175" t="s">
        <v>1899</v>
      </c>
      <c r="C1084" s="175" t="s">
        <v>1900</v>
      </c>
      <c r="D1084" s="176">
        <v>43145</v>
      </c>
      <c r="E1084" s="120" t="s">
        <v>3550</v>
      </c>
      <c r="F1084" s="131">
        <v>17</v>
      </c>
      <c r="G1084" s="120">
        <v>0</v>
      </c>
      <c r="H1084" s="120">
        <v>2</v>
      </c>
      <c r="I1084" s="120">
        <v>2</v>
      </c>
      <c r="J1084" s="133" t="s">
        <v>3090</v>
      </c>
      <c r="K1084" s="133">
        <v>4</v>
      </c>
      <c r="L1084" s="117">
        <v>74.3</v>
      </c>
      <c r="M1084" s="133">
        <f t="shared" si="31"/>
        <v>57.3</v>
      </c>
      <c r="N1084" s="157"/>
      <c r="O1084" s="158"/>
      <c r="P1084" s="158"/>
      <c r="Q1084" s="158"/>
      <c r="R1084" s="158"/>
      <c r="S1084" s="158"/>
      <c r="T1084" s="158"/>
      <c r="U1084" s="158"/>
      <c r="V1084" s="158"/>
      <c r="W1084" s="158"/>
      <c r="X1084" s="158"/>
      <c r="Y1084" s="158"/>
      <c r="Z1084" s="158"/>
      <c r="AA1084" s="158"/>
    </row>
    <row r="1085" spans="1:27" ht="15.75" customHeight="1" x14ac:dyDescent="0.55000000000000004">
      <c r="A1085" s="175">
        <v>158</v>
      </c>
      <c r="B1085" s="175" t="s">
        <v>1899</v>
      </c>
      <c r="C1085" s="175" t="s">
        <v>1900</v>
      </c>
      <c r="D1085" s="176">
        <v>43145</v>
      </c>
      <c r="E1085" s="120" t="s">
        <v>3551</v>
      </c>
      <c r="F1085" s="131">
        <v>14</v>
      </c>
      <c r="G1085" s="120">
        <v>1</v>
      </c>
      <c r="H1085" s="120">
        <v>0</v>
      </c>
      <c r="I1085" s="120">
        <v>0</v>
      </c>
      <c r="J1085" s="133" t="s">
        <v>853</v>
      </c>
      <c r="K1085" s="133">
        <v>0</v>
      </c>
      <c r="L1085" s="117">
        <v>80.5</v>
      </c>
      <c r="M1085" s="133">
        <f t="shared" si="31"/>
        <v>66.5</v>
      </c>
      <c r="N1085" s="157"/>
      <c r="O1085" s="158"/>
      <c r="P1085" s="158"/>
      <c r="Q1085" s="158"/>
      <c r="R1085" s="158"/>
      <c r="S1085" s="158"/>
      <c r="T1085" s="158"/>
      <c r="U1085" s="158"/>
      <c r="V1085" s="158"/>
      <c r="W1085" s="158"/>
      <c r="X1085" s="158"/>
      <c r="Y1085" s="158"/>
      <c r="Z1085" s="158"/>
      <c r="AA1085" s="158"/>
    </row>
    <row r="1086" spans="1:27" ht="15.75" customHeight="1" x14ac:dyDescent="0.55000000000000004">
      <c r="A1086" s="175">
        <v>158</v>
      </c>
      <c r="B1086" s="175" t="s">
        <v>1899</v>
      </c>
      <c r="C1086" s="175" t="s">
        <v>1900</v>
      </c>
      <c r="D1086" s="176">
        <v>43145</v>
      </c>
      <c r="E1086" s="120" t="s">
        <v>3552</v>
      </c>
      <c r="F1086" s="131">
        <v>18</v>
      </c>
      <c r="G1086" s="120">
        <v>1</v>
      </c>
      <c r="H1086" s="120">
        <v>0</v>
      </c>
      <c r="I1086" s="120">
        <v>2</v>
      </c>
      <c r="J1086" s="133" t="s">
        <v>3090</v>
      </c>
      <c r="K1086" s="133">
        <v>4</v>
      </c>
      <c r="L1086" s="117">
        <v>79.900000000000006</v>
      </c>
      <c r="M1086" s="133">
        <f t="shared" si="31"/>
        <v>61.900000000000006</v>
      </c>
      <c r="N1086" s="157"/>
      <c r="O1086" s="158"/>
      <c r="P1086" s="158"/>
      <c r="Q1086" s="158"/>
      <c r="R1086" s="158"/>
      <c r="S1086" s="158"/>
      <c r="T1086" s="158"/>
      <c r="U1086" s="158"/>
      <c r="V1086" s="158"/>
      <c r="W1086" s="158"/>
      <c r="X1086" s="158"/>
      <c r="Y1086" s="158"/>
      <c r="Z1086" s="158"/>
      <c r="AA1086" s="158"/>
    </row>
    <row r="1087" spans="1:27" ht="15.75" customHeight="1" x14ac:dyDescent="0.55000000000000004">
      <c r="A1087" s="175">
        <v>158</v>
      </c>
      <c r="B1087" s="175" t="s">
        <v>1899</v>
      </c>
      <c r="C1087" s="175" t="s">
        <v>1900</v>
      </c>
      <c r="D1087" s="176">
        <v>43145</v>
      </c>
      <c r="E1087" s="120" t="s">
        <v>3553</v>
      </c>
      <c r="F1087" s="131">
        <v>17</v>
      </c>
      <c r="G1087" s="120">
        <v>1</v>
      </c>
      <c r="H1087" s="131">
        <v>1</v>
      </c>
      <c r="I1087" s="120">
        <v>2</v>
      </c>
      <c r="J1087" s="133" t="s">
        <v>3090</v>
      </c>
      <c r="K1087" s="133">
        <v>4</v>
      </c>
      <c r="L1087" s="117">
        <v>75.3</v>
      </c>
      <c r="M1087" s="133">
        <f t="shared" si="31"/>
        <v>58.3</v>
      </c>
      <c r="N1087" s="157"/>
      <c r="O1087" s="158"/>
      <c r="P1087" s="158"/>
      <c r="Q1087" s="158"/>
      <c r="R1087" s="158"/>
      <c r="S1087" s="158"/>
      <c r="T1087" s="158"/>
      <c r="U1087" s="158"/>
      <c r="V1087" s="158"/>
      <c r="W1087" s="158"/>
      <c r="X1087" s="158"/>
      <c r="Y1087" s="158"/>
      <c r="Z1087" s="158"/>
      <c r="AA1087" s="158"/>
    </row>
    <row r="1088" spans="1:27" ht="15.75" customHeight="1" x14ac:dyDescent="0.55000000000000004">
      <c r="A1088" s="175">
        <v>158</v>
      </c>
      <c r="B1088" s="175" t="s">
        <v>1899</v>
      </c>
      <c r="C1088" s="175" t="s">
        <v>1900</v>
      </c>
      <c r="D1088" s="176">
        <v>43145</v>
      </c>
      <c r="E1088" s="120" t="s">
        <v>3554</v>
      </c>
      <c r="F1088" s="131">
        <v>14</v>
      </c>
      <c r="G1088" s="120">
        <v>0</v>
      </c>
      <c r="H1088" s="120">
        <v>0</v>
      </c>
      <c r="I1088" s="120">
        <v>2</v>
      </c>
      <c r="J1088" s="133" t="s">
        <v>3090</v>
      </c>
      <c r="K1088" s="133">
        <v>4</v>
      </c>
      <c r="L1088" s="117">
        <v>75.5</v>
      </c>
      <c r="M1088" s="133">
        <f t="shared" si="31"/>
        <v>61.5</v>
      </c>
      <c r="N1088" s="157"/>
      <c r="O1088" s="158"/>
      <c r="P1088" s="158"/>
      <c r="Q1088" s="158"/>
      <c r="R1088" s="158"/>
      <c r="S1088" s="158"/>
      <c r="T1088" s="158"/>
      <c r="U1088" s="158"/>
      <c r="V1088" s="158"/>
      <c r="W1088" s="158"/>
      <c r="X1088" s="158"/>
      <c r="Y1088" s="158"/>
      <c r="Z1088" s="158"/>
      <c r="AA1088" s="158"/>
    </row>
    <row r="1089" spans="1:27" ht="15.75" customHeight="1" x14ac:dyDescent="0.55000000000000004">
      <c r="A1089" s="175">
        <v>158</v>
      </c>
      <c r="B1089" s="175" t="s">
        <v>1899</v>
      </c>
      <c r="C1089" s="175" t="s">
        <v>1900</v>
      </c>
      <c r="D1089" s="176">
        <v>43145</v>
      </c>
      <c r="E1089" s="120" t="s">
        <v>3555</v>
      </c>
      <c r="F1089" s="131">
        <v>16</v>
      </c>
      <c r="G1089" s="120">
        <v>1</v>
      </c>
      <c r="H1089" s="120"/>
      <c r="I1089" s="120">
        <v>2</v>
      </c>
      <c r="J1089" s="133" t="s">
        <v>3090</v>
      </c>
      <c r="K1089" s="133">
        <v>4</v>
      </c>
      <c r="L1089" s="117">
        <v>79.599999999999994</v>
      </c>
      <c r="M1089" s="133">
        <f t="shared" si="31"/>
        <v>63.599999999999994</v>
      </c>
      <c r="N1089" s="157"/>
      <c r="O1089" s="158"/>
      <c r="P1089" s="158"/>
      <c r="Q1089" s="158"/>
      <c r="R1089" s="158"/>
      <c r="S1089" s="158"/>
      <c r="T1089" s="158"/>
      <c r="U1089" s="158"/>
      <c r="V1089" s="158"/>
      <c r="W1089" s="158"/>
      <c r="X1089" s="158"/>
      <c r="Y1089" s="158"/>
      <c r="Z1089" s="158"/>
      <c r="AA1089" s="158"/>
    </row>
    <row r="1090" spans="1:27" ht="15.75" customHeight="1" x14ac:dyDescent="0.55000000000000004">
      <c r="A1090" s="175">
        <v>158</v>
      </c>
      <c r="B1090" s="175" t="s">
        <v>1899</v>
      </c>
      <c r="C1090" s="175" t="s">
        <v>1900</v>
      </c>
      <c r="D1090" s="176">
        <v>43145</v>
      </c>
      <c r="E1090" s="120" t="s">
        <v>3556</v>
      </c>
      <c r="F1090" s="131">
        <v>15</v>
      </c>
      <c r="G1090" s="120">
        <v>0</v>
      </c>
      <c r="H1090" s="120">
        <v>3</v>
      </c>
      <c r="I1090" s="120">
        <v>0</v>
      </c>
      <c r="J1090" s="133" t="s">
        <v>853</v>
      </c>
      <c r="K1090" s="133">
        <v>0</v>
      </c>
      <c r="L1090" s="117">
        <v>74.5</v>
      </c>
      <c r="M1090" s="133">
        <f t="shared" si="31"/>
        <v>59.5</v>
      </c>
      <c r="N1090" s="157"/>
      <c r="O1090" s="158"/>
      <c r="P1090" s="158"/>
      <c r="Q1090" s="158"/>
      <c r="R1090" s="158"/>
      <c r="S1090" s="158"/>
      <c r="T1090" s="158"/>
      <c r="U1090" s="158"/>
      <c r="V1090" s="158"/>
      <c r="W1090" s="158"/>
      <c r="X1090" s="158"/>
      <c r="Y1090" s="158"/>
      <c r="Z1090" s="158"/>
      <c r="AA1090" s="158"/>
    </row>
    <row r="1091" spans="1:27" ht="15.75" customHeight="1" x14ac:dyDescent="0.55000000000000004">
      <c r="A1091" s="159">
        <v>159</v>
      </c>
      <c r="B1091" s="159" t="s">
        <v>1907</v>
      </c>
      <c r="C1091" s="159" t="s">
        <v>1147</v>
      </c>
      <c r="D1091" s="160">
        <v>43157</v>
      </c>
      <c r="E1091" s="120" t="s">
        <v>3557</v>
      </c>
      <c r="F1091" s="131">
        <v>24</v>
      </c>
      <c r="G1091" s="120">
        <v>1</v>
      </c>
      <c r="H1091" s="131">
        <v>1</v>
      </c>
      <c r="I1091" s="120">
        <v>1</v>
      </c>
      <c r="J1091" s="133" t="s">
        <v>3260</v>
      </c>
      <c r="K1091" s="133">
        <v>2</v>
      </c>
      <c r="L1091" s="117">
        <v>73.900000000000006</v>
      </c>
      <c r="M1091" s="133">
        <f t="shared" si="31"/>
        <v>49.900000000000006</v>
      </c>
      <c r="N1091" s="157"/>
      <c r="O1091" s="158"/>
      <c r="P1091" s="158"/>
      <c r="Q1091" s="158"/>
      <c r="R1091" s="158"/>
      <c r="S1091" s="158"/>
      <c r="T1091" s="158"/>
      <c r="U1091" s="158"/>
      <c r="V1091" s="158"/>
      <c r="W1091" s="158"/>
      <c r="X1091" s="158"/>
      <c r="Y1091" s="158"/>
      <c r="Z1091" s="158"/>
      <c r="AA1091" s="158"/>
    </row>
    <row r="1092" spans="1:27" ht="15.75" customHeight="1" x14ac:dyDescent="0.55000000000000004">
      <c r="A1092" s="159">
        <v>159</v>
      </c>
      <c r="B1092" s="159" t="s">
        <v>1907</v>
      </c>
      <c r="C1092" s="159" t="s">
        <v>1147</v>
      </c>
      <c r="D1092" s="160">
        <v>43157</v>
      </c>
      <c r="E1092" s="120" t="s">
        <v>3558</v>
      </c>
      <c r="F1092" s="131">
        <v>60</v>
      </c>
      <c r="G1092" s="120">
        <v>0</v>
      </c>
      <c r="H1092" s="120">
        <v>1</v>
      </c>
      <c r="I1092" s="131">
        <v>1</v>
      </c>
      <c r="J1092" s="133" t="s">
        <v>3559</v>
      </c>
      <c r="K1092" s="133">
        <v>5</v>
      </c>
      <c r="L1092" s="117">
        <v>61.1</v>
      </c>
      <c r="M1092" s="133">
        <f t="shared" si="31"/>
        <v>1.1000000000000014</v>
      </c>
      <c r="N1092" s="157"/>
      <c r="O1092" s="158"/>
      <c r="P1092" s="158"/>
      <c r="Q1092" s="158"/>
      <c r="R1092" s="158"/>
      <c r="S1092" s="158"/>
      <c r="T1092" s="158"/>
      <c r="U1092" s="158"/>
      <c r="V1092" s="158"/>
      <c r="W1092" s="158"/>
      <c r="X1092" s="158"/>
      <c r="Y1092" s="158"/>
      <c r="Z1092" s="158"/>
      <c r="AA1092" s="158"/>
    </row>
    <row r="1093" spans="1:27" ht="15.75" customHeight="1" x14ac:dyDescent="0.55000000000000004">
      <c r="A1093" s="159">
        <v>159</v>
      </c>
      <c r="B1093" s="159" t="s">
        <v>1907</v>
      </c>
      <c r="C1093" s="159" t="s">
        <v>1147</v>
      </c>
      <c r="D1093" s="160">
        <v>43157</v>
      </c>
      <c r="E1093" s="120" t="s">
        <v>3560</v>
      </c>
      <c r="F1093" s="131">
        <v>22</v>
      </c>
      <c r="G1093" s="120">
        <v>0</v>
      </c>
      <c r="H1093" s="120">
        <v>1</v>
      </c>
      <c r="I1093" s="120">
        <v>1</v>
      </c>
      <c r="J1093" s="133" t="s">
        <v>3306</v>
      </c>
      <c r="K1093" s="133">
        <v>1</v>
      </c>
      <c r="L1093" s="117">
        <v>65.2</v>
      </c>
      <c r="M1093" s="133">
        <f t="shared" si="31"/>
        <v>43.2</v>
      </c>
      <c r="N1093" s="157"/>
      <c r="O1093" s="158"/>
      <c r="P1093" s="158"/>
      <c r="Q1093" s="158"/>
      <c r="R1093" s="158"/>
      <c r="S1093" s="158"/>
      <c r="T1093" s="158"/>
      <c r="U1093" s="158"/>
      <c r="V1093" s="158"/>
      <c r="W1093" s="158"/>
      <c r="X1093" s="158"/>
      <c r="Y1093" s="158"/>
      <c r="Z1093" s="158"/>
      <c r="AA1093" s="158"/>
    </row>
    <row r="1094" spans="1:27" ht="15.75" customHeight="1" x14ac:dyDescent="0.55000000000000004">
      <c r="A1094" s="159">
        <v>159</v>
      </c>
      <c r="B1094" s="159" t="s">
        <v>1907</v>
      </c>
      <c r="C1094" s="159" t="s">
        <v>1147</v>
      </c>
      <c r="D1094" s="160">
        <v>43157</v>
      </c>
      <c r="E1094" s="120" t="s">
        <v>3561</v>
      </c>
      <c r="F1094" s="131">
        <v>21</v>
      </c>
      <c r="G1094" s="120">
        <v>1</v>
      </c>
      <c r="H1094" s="120">
        <v>1</v>
      </c>
      <c r="I1094" s="120">
        <v>2</v>
      </c>
      <c r="J1094" s="133" t="s">
        <v>3562</v>
      </c>
      <c r="K1094" s="133">
        <v>5</v>
      </c>
      <c r="L1094" s="117">
        <v>73.900000000000006</v>
      </c>
      <c r="M1094" s="133">
        <f t="shared" si="31"/>
        <v>52.900000000000006</v>
      </c>
      <c r="N1094" s="157"/>
      <c r="O1094" s="158"/>
      <c r="P1094" s="158"/>
      <c r="Q1094" s="158"/>
      <c r="R1094" s="158"/>
      <c r="S1094" s="158"/>
      <c r="T1094" s="158"/>
      <c r="U1094" s="158"/>
      <c r="V1094" s="158"/>
      <c r="W1094" s="158"/>
      <c r="X1094" s="158"/>
      <c r="Y1094" s="158"/>
      <c r="Z1094" s="158"/>
      <c r="AA1094" s="158"/>
    </row>
    <row r="1095" spans="1:27" ht="15.75" customHeight="1" x14ac:dyDescent="0.55000000000000004">
      <c r="A1095" s="162">
        <v>160</v>
      </c>
      <c r="B1095" s="162" t="s">
        <v>1911</v>
      </c>
      <c r="C1095" s="162" t="s">
        <v>1912</v>
      </c>
      <c r="D1095" s="163">
        <v>43212</v>
      </c>
      <c r="E1095" s="120" t="s">
        <v>3563</v>
      </c>
      <c r="F1095" s="131">
        <v>23</v>
      </c>
      <c r="G1095" s="120">
        <v>0</v>
      </c>
      <c r="H1095" s="131">
        <v>1</v>
      </c>
      <c r="I1095" s="120">
        <v>0</v>
      </c>
      <c r="J1095" s="133" t="s">
        <v>853</v>
      </c>
      <c r="K1095" s="133">
        <v>0</v>
      </c>
      <c r="L1095" s="117">
        <v>65.2</v>
      </c>
      <c r="M1095" s="133">
        <f t="shared" si="31"/>
        <v>42.2</v>
      </c>
      <c r="N1095" s="157"/>
      <c r="O1095" s="158"/>
      <c r="P1095" s="158"/>
      <c r="Q1095" s="158"/>
      <c r="R1095" s="158"/>
      <c r="S1095" s="158"/>
      <c r="T1095" s="158"/>
      <c r="U1095" s="158"/>
      <c r="V1095" s="158"/>
      <c r="W1095" s="158"/>
      <c r="X1095" s="158"/>
      <c r="Y1095" s="158"/>
      <c r="Z1095" s="158"/>
      <c r="AA1095" s="158"/>
    </row>
    <row r="1096" spans="1:27" ht="15.75" customHeight="1" x14ac:dyDescent="0.55000000000000004">
      <c r="A1096" s="162">
        <v>160</v>
      </c>
      <c r="B1096" s="162" t="s">
        <v>1911</v>
      </c>
      <c r="C1096" s="162" t="s">
        <v>1912</v>
      </c>
      <c r="D1096" s="163">
        <v>43212</v>
      </c>
      <c r="E1096" s="120" t="s">
        <v>3564</v>
      </c>
      <c r="F1096" s="131">
        <v>21</v>
      </c>
      <c r="G1096" s="120">
        <v>1</v>
      </c>
      <c r="H1096" s="131">
        <v>1</v>
      </c>
      <c r="I1096" s="120">
        <v>0</v>
      </c>
      <c r="J1096" s="133" t="s">
        <v>853</v>
      </c>
      <c r="K1096" s="133">
        <v>0</v>
      </c>
      <c r="L1096" s="117">
        <v>73.900000000000006</v>
      </c>
      <c r="M1096" s="133">
        <f t="shared" si="31"/>
        <v>52.900000000000006</v>
      </c>
      <c r="N1096" s="157"/>
      <c r="O1096" s="158"/>
      <c r="P1096" s="158"/>
      <c r="Q1096" s="158"/>
      <c r="R1096" s="158"/>
      <c r="S1096" s="158"/>
      <c r="T1096" s="158"/>
      <c r="U1096" s="158"/>
      <c r="V1096" s="158"/>
      <c r="W1096" s="158"/>
      <c r="X1096" s="158"/>
      <c r="Y1096" s="158"/>
      <c r="Z1096" s="158"/>
      <c r="AA1096" s="158"/>
    </row>
    <row r="1097" spans="1:27" ht="15.75" customHeight="1" x14ac:dyDescent="0.55000000000000004">
      <c r="A1097" s="162">
        <v>160</v>
      </c>
      <c r="B1097" s="162" t="s">
        <v>1911</v>
      </c>
      <c r="C1097" s="162" t="s">
        <v>1912</v>
      </c>
      <c r="D1097" s="163">
        <v>43212</v>
      </c>
      <c r="E1097" s="120" t="s">
        <v>3565</v>
      </c>
      <c r="F1097" s="131">
        <v>20</v>
      </c>
      <c r="G1097" s="120">
        <v>0</v>
      </c>
      <c r="H1097" s="131">
        <v>2</v>
      </c>
      <c r="I1097" s="120">
        <v>0</v>
      </c>
      <c r="J1097" s="133" t="s">
        <v>853</v>
      </c>
      <c r="K1097" s="133">
        <v>0</v>
      </c>
      <c r="L1097" s="117">
        <v>74.099999999999994</v>
      </c>
      <c r="M1097" s="133">
        <f t="shared" si="31"/>
        <v>54.099999999999994</v>
      </c>
      <c r="N1097" s="157"/>
      <c r="O1097" s="158"/>
      <c r="P1097" s="158"/>
      <c r="Q1097" s="158"/>
      <c r="R1097" s="158"/>
      <c r="S1097" s="158"/>
      <c r="T1097" s="158"/>
      <c r="U1097" s="158"/>
      <c r="V1097" s="158"/>
      <c r="W1097" s="158"/>
      <c r="X1097" s="158"/>
      <c r="Y1097" s="158"/>
      <c r="Z1097" s="158"/>
      <c r="AA1097" s="158"/>
    </row>
    <row r="1098" spans="1:27" ht="15.75" customHeight="1" x14ac:dyDescent="0.55000000000000004">
      <c r="A1098" s="162">
        <v>160</v>
      </c>
      <c r="B1098" s="162" t="s">
        <v>1911</v>
      </c>
      <c r="C1098" s="162" t="s">
        <v>1912</v>
      </c>
      <c r="D1098" s="163">
        <v>43212</v>
      </c>
      <c r="E1098" s="120" t="s">
        <v>3566</v>
      </c>
      <c r="F1098" s="131">
        <v>29</v>
      </c>
      <c r="G1098" s="120">
        <v>0</v>
      </c>
      <c r="H1098" s="131">
        <v>1</v>
      </c>
      <c r="I1098" s="120">
        <v>0</v>
      </c>
      <c r="J1098" s="133" t="s">
        <v>853</v>
      </c>
      <c r="K1098" s="133">
        <v>0</v>
      </c>
      <c r="L1098" s="117">
        <v>64.5</v>
      </c>
      <c r="M1098" s="133">
        <f t="shared" si="31"/>
        <v>35.5</v>
      </c>
      <c r="N1098" s="157"/>
      <c r="O1098" s="158"/>
      <c r="P1098" s="158"/>
      <c r="Q1098" s="158"/>
      <c r="R1098" s="158"/>
      <c r="S1098" s="158"/>
      <c r="T1098" s="158"/>
      <c r="U1098" s="158"/>
      <c r="V1098" s="158"/>
      <c r="W1098" s="158"/>
      <c r="X1098" s="158"/>
      <c r="Y1098" s="158"/>
      <c r="Z1098" s="158"/>
      <c r="AA1098" s="158"/>
    </row>
    <row r="1099" spans="1:27" ht="15.75" customHeight="1" x14ac:dyDescent="0.55000000000000004">
      <c r="A1099" s="164">
        <v>161</v>
      </c>
      <c r="B1099" s="164" t="s">
        <v>1916</v>
      </c>
      <c r="C1099" s="164" t="s">
        <v>1917</v>
      </c>
      <c r="D1099" s="165">
        <v>43238</v>
      </c>
      <c r="E1099" s="120" t="s">
        <v>3567</v>
      </c>
      <c r="F1099" s="131">
        <v>17</v>
      </c>
      <c r="G1099" s="120">
        <v>0</v>
      </c>
      <c r="H1099" s="131">
        <v>0</v>
      </c>
      <c r="I1099" s="120">
        <v>1</v>
      </c>
      <c r="J1099" s="133" t="s">
        <v>2673</v>
      </c>
      <c r="K1099" s="133">
        <v>4</v>
      </c>
      <c r="L1099" s="117">
        <v>74.900000000000006</v>
      </c>
      <c r="M1099" s="133">
        <f t="shared" si="31"/>
        <v>57.900000000000006</v>
      </c>
      <c r="N1099" s="157"/>
      <c r="O1099" s="158"/>
      <c r="P1099" s="158"/>
      <c r="Q1099" s="158"/>
      <c r="R1099" s="158"/>
      <c r="S1099" s="158"/>
      <c r="T1099" s="158"/>
      <c r="U1099" s="158"/>
      <c r="V1099" s="158"/>
      <c r="W1099" s="158"/>
      <c r="X1099" s="158"/>
      <c r="Y1099" s="158"/>
      <c r="Z1099" s="158"/>
      <c r="AA1099" s="158"/>
    </row>
    <row r="1100" spans="1:27" ht="15.75" customHeight="1" x14ac:dyDescent="0.55000000000000004">
      <c r="A1100" s="164">
        <v>161</v>
      </c>
      <c r="B1100" s="164" t="s">
        <v>1916</v>
      </c>
      <c r="C1100" s="164" t="s">
        <v>1917</v>
      </c>
      <c r="D1100" s="165">
        <v>43238</v>
      </c>
      <c r="E1100" s="120" t="s">
        <v>3568</v>
      </c>
      <c r="F1100" s="131">
        <v>16</v>
      </c>
      <c r="G1100" s="120">
        <v>1</v>
      </c>
      <c r="H1100" s="131">
        <v>0</v>
      </c>
      <c r="I1100" s="120">
        <v>1</v>
      </c>
      <c r="J1100" s="133" t="s">
        <v>2673</v>
      </c>
      <c r="K1100" s="133">
        <v>4</v>
      </c>
      <c r="L1100" s="117">
        <v>80.099999999999994</v>
      </c>
      <c r="M1100" s="133">
        <f t="shared" si="31"/>
        <v>64.099999999999994</v>
      </c>
      <c r="N1100" s="157"/>
      <c r="O1100" s="158"/>
      <c r="P1100" s="158"/>
      <c r="Q1100" s="158"/>
      <c r="R1100" s="158"/>
      <c r="S1100" s="158"/>
      <c r="T1100" s="158"/>
      <c r="U1100" s="158"/>
      <c r="V1100" s="158"/>
      <c r="W1100" s="158"/>
      <c r="X1100" s="158"/>
      <c r="Y1100" s="158"/>
      <c r="Z1100" s="158"/>
      <c r="AA1100" s="158"/>
    </row>
    <row r="1101" spans="1:27" ht="15.75" customHeight="1" x14ac:dyDescent="0.55000000000000004">
      <c r="A1101" s="164">
        <v>161</v>
      </c>
      <c r="B1101" s="164" t="s">
        <v>1916</v>
      </c>
      <c r="C1101" s="164" t="s">
        <v>1917</v>
      </c>
      <c r="D1101" s="165">
        <v>43238</v>
      </c>
      <c r="E1101" s="120" t="s">
        <v>3569</v>
      </c>
      <c r="F1101" s="131">
        <v>15</v>
      </c>
      <c r="G1101" s="120">
        <v>0</v>
      </c>
      <c r="H1101" s="120"/>
      <c r="I1101" s="120">
        <v>1</v>
      </c>
      <c r="J1101" s="133" t="s">
        <v>2673</v>
      </c>
      <c r="K1101" s="133">
        <v>4</v>
      </c>
      <c r="L1101" s="117">
        <v>74.5</v>
      </c>
      <c r="M1101" s="133">
        <f t="shared" si="31"/>
        <v>59.5</v>
      </c>
      <c r="N1101" s="157"/>
      <c r="O1101" s="158"/>
      <c r="P1101" s="158"/>
      <c r="Q1101" s="158"/>
      <c r="R1101" s="158"/>
      <c r="S1101" s="158"/>
      <c r="T1101" s="158"/>
      <c r="U1101" s="158"/>
      <c r="V1101" s="158"/>
      <c r="W1101" s="158"/>
      <c r="X1101" s="158"/>
      <c r="Y1101" s="158"/>
      <c r="Z1101" s="158"/>
      <c r="AA1101" s="158"/>
    </row>
    <row r="1102" spans="1:27" ht="15.75" customHeight="1" x14ac:dyDescent="0.55000000000000004">
      <c r="A1102" s="164">
        <v>161</v>
      </c>
      <c r="B1102" s="164" t="s">
        <v>1916</v>
      </c>
      <c r="C1102" s="164" t="s">
        <v>1917</v>
      </c>
      <c r="D1102" s="165">
        <v>43238</v>
      </c>
      <c r="E1102" s="120" t="s">
        <v>3570</v>
      </c>
      <c r="F1102" s="131">
        <v>15</v>
      </c>
      <c r="G1102" s="120">
        <v>0</v>
      </c>
      <c r="H1102" s="131">
        <v>0</v>
      </c>
      <c r="I1102" s="120">
        <v>1</v>
      </c>
      <c r="J1102" s="133" t="s">
        <v>2673</v>
      </c>
      <c r="K1102" s="133">
        <v>4</v>
      </c>
      <c r="L1102" s="117">
        <v>75.099999999999994</v>
      </c>
      <c r="M1102" s="133">
        <f t="shared" si="31"/>
        <v>60.099999999999994</v>
      </c>
      <c r="N1102" s="157"/>
      <c r="O1102" s="158"/>
      <c r="P1102" s="158"/>
      <c r="Q1102" s="158"/>
      <c r="R1102" s="158"/>
      <c r="S1102" s="158"/>
      <c r="T1102" s="158"/>
      <c r="U1102" s="158"/>
      <c r="V1102" s="158"/>
      <c r="W1102" s="158"/>
      <c r="X1102" s="158"/>
      <c r="Y1102" s="158"/>
      <c r="Z1102" s="158"/>
      <c r="AA1102" s="158"/>
    </row>
    <row r="1103" spans="1:27" ht="15.75" customHeight="1" x14ac:dyDescent="0.55000000000000004">
      <c r="A1103" s="164">
        <v>161</v>
      </c>
      <c r="B1103" s="164" t="s">
        <v>1916</v>
      </c>
      <c r="C1103" s="164" t="s">
        <v>1917</v>
      </c>
      <c r="D1103" s="165">
        <v>43238</v>
      </c>
      <c r="E1103" s="120" t="s">
        <v>3571</v>
      </c>
      <c r="F1103" s="131">
        <v>64</v>
      </c>
      <c r="G1103" s="120">
        <v>1</v>
      </c>
      <c r="H1103" s="131">
        <v>0</v>
      </c>
      <c r="I1103" s="120">
        <v>1</v>
      </c>
      <c r="J1103" s="133" t="s">
        <v>2802</v>
      </c>
      <c r="K1103" s="133">
        <v>4</v>
      </c>
      <c r="L1103" s="117">
        <v>72.2</v>
      </c>
      <c r="M1103" s="133">
        <f t="shared" si="31"/>
        <v>8.2000000000000028</v>
      </c>
      <c r="N1103" s="157"/>
      <c r="O1103" s="158"/>
      <c r="P1103" s="158"/>
      <c r="Q1103" s="158"/>
      <c r="R1103" s="158"/>
      <c r="S1103" s="158"/>
      <c r="T1103" s="158"/>
      <c r="U1103" s="158"/>
      <c r="V1103" s="158"/>
      <c r="W1103" s="158"/>
      <c r="X1103" s="158"/>
      <c r="Y1103" s="158"/>
      <c r="Z1103" s="158"/>
      <c r="AA1103" s="158"/>
    </row>
    <row r="1104" spans="1:27" ht="15.75" customHeight="1" x14ac:dyDescent="0.55000000000000004">
      <c r="A1104" s="164">
        <v>161</v>
      </c>
      <c r="B1104" s="164" t="s">
        <v>1916</v>
      </c>
      <c r="C1104" s="164" t="s">
        <v>1917</v>
      </c>
      <c r="D1104" s="165">
        <v>43238</v>
      </c>
      <c r="E1104" s="120" t="s">
        <v>3572</v>
      </c>
      <c r="F1104" s="131">
        <v>15</v>
      </c>
      <c r="G1104" s="120">
        <v>1</v>
      </c>
      <c r="H1104" s="131">
        <v>2</v>
      </c>
      <c r="I1104" s="120">
        <v>1</v>
      </c>
      <c r="J1104" s="133" t="s">
        <v>2673</v>
      </c>
      <c r="K1104" s="133">
        <v>4</v>
      </c>
      <c r="L1104" s="117">
        <v>79.7</v>
      </c>
      <c r="M1104" s="133">
        <f t="shared" si="31"/>
        <v>64.7</v>
      </c>
      <c r="N1104" s="157"/>
      <c r="O1104" s="158"/>
      <c r="P1104" s="158"/>
      <c r="Q1104" s="158"/>
      <c r="R1104" s="158"/>
      <c r="S1104" s="158"/>
      <c r="T1104" s="158"/>
      <c r="U1104" s="158"/>
      <c r="V1104" s="158"/>
      <c r="W1104" s="158"/>
      <c r="X1104" s="158"/>
      <c r="Y1104" s="158"/>
      <c r="Z1104" s="158"/>
      <c r="AA1104" s="158"/>
    </row>
    <row r="1105" spans="1:27" ht="15.75" customHeight="1" x14ac:dyDescent="0.55000000000000004">
      <c r="A1105" s="164">
        <v>161</v>
      </c>
      <c r="B1105" s="164" t="s">
        <v>1916</v>
      </c>
      <c r="C1105" s="164" t="s">
        <v>1917</v>
      </c>
      <c r="D1105" s="165">
        <v>43238</v>
      </c>
      <c r="E1105" s="120" t="s">
        <v>3573</v>
      </c>
      <c r="F1105" s="131">
        <v>17</v>
      </c>
      <c r="G1105" s="120">
        <v>1</v>
      </c>
      <c r="H1105" s="131">
        <v>4</v>
      </c>
      <c r="I1105" s="120">
        <v>1</v>
      </c>
      <c r="J1105" s="133" t="s">
        <v>2673</v>
      </c>
      <c r="K1105" s="133">
        <v>4</v>
      </c>
      <c r="L1105" s="117">
        <v>79.5</v>
      </c>
      <c r="M1105" s="133">
        <f t="shared" si="31"/>
        <v>62.5</v>
      </c>
      <c r="N1105" s="157"/>
      <c r="O1105" s="158"/>
      <c r="P1105" s="158"/>
      <c r="Q1105" s="158"/>
      <c r="R1105" s="158"/>
      <c r="S1105" s="158"/>
      <c r="T1105" s="158"/>
      <c r="U1105" s="158"/>
      <c r="V1105" s="158"/>
      <c r="W1105" s="158"/>
      <c r="X1105" s="158"/>
      <c r="Y1105" s="158"/>
      <c r="Z1105" s="158"/>
      <c r="AA1105" s="158"/>
    </row>
    <row r="1106" spans="1:27" ht="15.75" customHeight="1" x14ac:dyDescent="0.55000000000000004">
      <c r="A1106" s="164">
        <v>161</v>
      </c>
      <c r="B1106" s="164" t="s">
        <v>1916</v>
      </c>
      <c r="C1106" s="164" t="s">
        <v>1917</v>
      </c>
      <c r="D1106" s="165">
        <v>43238</v>
      </c>
      <c r="E1106" s="120" t="s">
        <v>3574</v>
      </c>
      <c r="F1106" s="131">
        <v>17</v>
      </c>
      <c r="G1106" s="120">
        <v>0</v>
      </c>
      <c r="H1106" s="131">
        <v>2</v>
      </c>
      <c r="I1106" s="120">
        <v>1</v>
      </c>
      <c r="J1106" s="133" t="s">
        <v>2673</v>
      </c>
      <c r="K1106" s="133">
        <v>4</v>
      </c>
      <c r="L1106" s="117">
        <v>74.3</v>
      </c>
      <c r="M1106" s="133">
        <f t="shared" si="31"/>
        <v>57.3</v>
      </c>
      <c r="N1106" s="157"/>
      <c r="O1106" s="158"/>
      <c r="P1106" s="158"/>
      <c r="Q1106" s="158"/>
      <c r="R1106" s="158"/>
      <c r="S1106" s="158"/>
      <c r="T1106" s="158"/>
      <c r="U1106" s="158"/>
      <c r="V1106" s="158"/>
      <c r="W1106" s="158"/>
      <c r="X1106" s="158"/>
      <c r="Y1106" s="158"/>
      <c r="Z1106" s="158"/>
      <c r="AA1106" s="158"/>
    </row>
    <row r="1107" spans="1:27" ht="15.75" customHeight="1" x14ac:dyDescent="0.55000000000000004">
      <c r="A1107" s="164">
        <v>161</v>
      </c>
      <c r="B1107" s="164" t="s">
        <v>1916</v>
      </c>
      <c r="C1107" s="164" t="s">
        <v>1917</v>
      </c>
      <c r="D1107" s="165">
        <v>43238</v>
      </c>
      <c r="E1107" s="120" t="s">
        <v>3575</v>
      </c>
      <c r="F1107" s="131">
        <v>63</v>
      </c>
      <c r="G1107" s="120">
        <v>1</v>
      </c>
      <c r="H1107" s="131">
        <v>0</v>
      </c>
      <c r="I1107" s="120">
        <v>1</v>
      </c>
      <c r="J1107" s="133" t="s">
        <v>2802</v>
      </c>
      <c r="K1107" s="133">
        <v>4</v>
      </c>
      <c r="L1107" s="117">
        <v>74.099999999999994</v>
      </c>
      <c r="M1107" s="133">
        <f t="shared" si="31"/>
        <v>11.099999999999994</v>
      </c>
      <c r="N1107" s="157"/>
      <c r="O1107" s="158"/>
      <c r="P1107" s="158"/>
      <c r="Q1107" s="158"/>
      <c r="R1107" s="158"/>
      <c r="S1107" s="158"/>
      <c r="T1107" s="158"/>
      <c r="U1107" s="158"/>
      <c r="V1107" s="158"/>
      <c r="W1107" s="158"/>
      <c r="X1107" s="158"/>
      <c r="Y1107" s="158"/>
      <c r="Z1107" s="158"/>
      <c r="AA1107" s="158"/>
    </row>
    <row r="1108" spans="1:27" ht="15.75" customHeight="1" x14ac:dyDescent="0.55000000000000004">
      <c r="A1108" s="164">
        <v>161</v>
      </c>
      <c r="B1108" s="164" t="s">
        <v>1916</v>
      </c>
      <c r="C1108" s="164" t="s">
        <v>1917</v>
      </c>
      <c r="D1108" s="165">
        <v>43238</v>
      </c>
      <c r="E1108" s="120" t="s">
        <v>3576</v>
      </c>
      <c r="F1108" s="131">
        <v>14</v>
      </c>
      <c r="G1108" s="120">
        <v>1</v>
      </c>
      <c r="H1108" s="131">
        <v>0</v>
      </c>
      <c r="I1108" s="120">
        <v>1</v>
      </c>
      <c r="J1108" s="133" t="s">
        <v>2673</v>
      </c>
      <c r="K1108" s="133">
        <v>4</v>
      </c>
      <c r="L1108" s="117">
        <v>80.5</v>
      </c>
      <c r="M1108" s="133">
        <f t="shared" si="31"/>
        <v>66.5</v>
      </c>
      <c r="N1108" s="157"/>
      <c r="O1108" s="158"/>
      <c r="P1108" s="158"/>
      <c r="Q1108" s="158"/>
      <c r="R1108" s="158"/>
      <c r="S1108" s="158"/>
      <c r="T1108" s="158"/>
      <c r="U1108" s="158"/>
      <c r="V1108" s="158"/>
      <c r="W1108" s="158"/>
      <c r="X1108" s="158"/>
      <c r="Y1108" s="158"/>
      <c r="Z1108" s="158"/>
      <c r="AA1108" s="158"/>
    </row>
    <row r="1109" spans="1:27" ht="15.75" customHeight="1" x14ac:dyDescent="0.55000000000000004">
      <c r="A1109" s="166">
        <v>162</v>
      </c>
      <c r="B1109" s="166" t="s">
        <v>1924</v>
      </c>
      <c r="C1109" s="166" t="s">
        <v>1925</v>
      </c>
      <c r="D1109" s="167">
        <v>43279</v>
      </c>
      <c r="E1109" s="120" t="s">
        <v>3577</v>
      </c>
      <c r="F1109" s="131">
        <v>61</v>
      </c>
      <c r="G1109" s="120">
        <v>0</v>
      </c>
      <c r="H1109" s="131">
        <v>0</v>
      </c>
      <c r="I1109" s="120">
        <v>0</v>
      </c>
      <c r="J1109" s="133" t="s">
        <v>853</v>
      </c>
      <c r="K1109" s="133">
        <v>0</v>
      </c>
      <c r="L1109" s="117">
        <v>67.400000000000006</v>
      </c>
      <c r="M1109" s="133">
        <f t="shared" si="31"/>
        <v>6.4000000000000057</v>
      </c>
      <c r="N1109" s="157"/>
      <c r="O1109" s="158"/>
      <c r="P1109" s="158"/>
      <c r="Q1109" s="158"/>
      <c r="R1109" s="158"/>
      <c r="S1109" s="158"/>
      <c r="T1109" s="158"/>
      <c r="U1109" s="158"/>
      <c r="V1109" s="158"/>
      <c r="W1109" s="158"/>
      <c r="X1109" s="158"/>
      <c r="Y1109" s="158"/>
      <c r="Z1109" s="158"/>
      <c r="AA1109" s="158"/>
    </row>
    <row r="1110" spans="1:27" ht="15.75" customHeight="1" x14ac:dyDescent="0.55000000000000004">
      <c r="A1110" s="166">
        <v>162</v>
      </c>
      <c r="B1110" s="166" t="s">
        <v>1924</v>
      </c>
      <c r="C1110" s="166" t="s">
        <v>1925</v>
      </c>
      <c r="D1110" s="167">
        <v>43279</v>
      </c>
      <c r="E1110" s="120" t="s">
        <v>3578</v>
      </c>
      <c r="F1110" s="131">
        <v>59</v>
      </c>
      <c r="G1110" s="120">
        <v>0</v>
      </c>
      <c r="H1110" s="131">
        <v>0</v>
      </c>
      <c r="I1110" s="120">
        <v>0</v>
      </c>
      <c r="J1110" s="133" t="s">
        <v>853</v>
      </c>
      <c r="K1110" s="133">
        <v>0</v>
      </c>
      <c r="L1110" s="117">
        <v>67.400000000000006</v>
      </c>
      <c r="M1110" s="133">
        <f t="shared" si="31"/>
        <v>8.4000000000000057</v>
      </c>
      <c r="N1110" s="157"/>
      <c r="O1110" s="158"/>
      <c r="P1110" s="158"/>
      <c r="Q1110" s="158"/>
      <c r="R1110" s="158"/>
      <c r="S1110" s="158"/>
      <c r="T1110" s="158"/>
      <c r="U1110" s="158"/>
      <c r="V1110" s="158"/>
      <c r="W1110" s="158"/>
      <c r="X1110" s="158"/>
      <c r="Y1110" s="158"/>
      <c r="Z1110" s="158"/>
      <c r="AA1110" s="158"/>
    </row>
    <row r="1111" spans="1:27" ht="15.75" customHeight="1" x14ac:dyDescent="0.55000000000000004">
      <c r="A1111" s="166">
        <v>162</v>
      </c>
      <c r="B1111" s="166" t="s">
        <v>1924</v>
      </c>
      <c r="C1111" s="166" t="s">
        <v>1925</v>
      </c>
      <c r="D1111" s="167">
        <v>43279</v>
      </c>
      <c r="E1111" s="120" t="s">
        <v>3579</v>
      </c>
      <c r="F1111" s="131">
        <v>56</v>
      </c>
      <c r="G1111" s="120">
        <v>0</v>
      </c>
      <c r="H1111" s="131">
        <v>0</v>
      </c>
      <c r="I1111" s="120">
        <v>0</v>
      </c>
      <c r="J1111" s="133" t="s">
        <v>853</v>
      </c>
      <c r="K1111" s="133">
        <v>0</v>
      </c>
      <c r="L1111" s="117">
        <v>67.400000000000006</v>
      </c>
      <c r="M1111" s="133">
        <f t="shared" si="31"/>
        <v>11.400000000000006</v>
      </c>
      <c r="N1111" s="157"/>
      <c r="O1111" s="158"/>
      <c r="P1111" s="158"/>
      <c r="Q1111" s="158"/>
      <c r="R1111" s="158"/>
      <c r="S1111" s="158"/>
      <c r="T1111" s="158"/>
      <c r="U1111" s="158"/>
      <c r="V1111" s="158"/>
      <c r="W1111" s="158"/>
      <c r="X1111" s="158"/>
      <c r="Y1111" s="158"/>
      <c r="Z1111" s="158"/>
      <c r="AA1111" s="158"/>
    </row>
    <row r="1112" spans="1:27" ht="15.75" customHeight="1" x14ac:dyDescent="0.55000000000000004">
      <c r="A1112" s="166">
        <v>162</v>
      </c>
      <c r="B1112" s="166" t="s">
        <v>1924</v>
      </c>
      <c r="C1112" s="166" t="s">
        <v>1925</v>
      </c>
      <c r="D1112" s="167">
        <v>43279</v>
      </c>
      <c r="E1112" s="120" t="s">
        <v>3580</v>
      </c>
      <c r="F1112" s="131">
        <v>34</v>
      </c>
      <c r="G1112" s="120">
        <v>1</v>
      </c>
      <c r="H1112" s="131">
        <v>0</v>
      </c>
      <c r="I1112" s="120">
        <v>0</v>
      </c>
      <c r="J1112" s="133" t="s">
        <v>853</v>
      </c>
      <c r="K1112" s="133">
        <v>0</v>
      </c>
      <c r="L1112" s="117">
        <v>78.099999999999994</v>
      </c>
      <c r="M1112" s="133">
        <f t="shared" si="31"/>
        <v>44.099999999999994</v>
      </c>
      <c r="N1112" s="157"/>
      <c r="O1112" s="158"/>
      <c r="P1112" s="158"/>
      <c r="Q1112" s="158"/>
      <c r="R1112" s="158"/>
      <c r="S1112" s="158"/>
      <c r="T1112" s="158"/>
      <c r="U1112" s="158"/>
      <c r="V1112" s="158"/>
      <c r="W1112" s="158"/>
      <c r="X1112" s="158"/>
      <c r="Y1112" s="158"/>
      <c r="Z1112" s="158"/>
      <c r="AA1112" s="158"/>
    </row>
    <row r="1113" spans="1:27" ht="15.75" customHeight="1" x14ac:dyDescent="0.55000000000000004">
      <c r="A1113" s="166">
        <v>162</v>
      </c>
      <c r="B1113" s="166" t="s">
        <v>1924</v>
      </c>
      <c r="C1113" s="166" t="s">
        <v>1925</v>
      </c>
      <c r="D1113" s="167">
        <v>43279</v>
      </c>
      <c r="E1113" s="120" t="s">
        <v>3581</v>
      </c>
      <c r="F1113" s="131">
        <v>65</v>
      </c>
      <c r="G1113" s="120">
        <v>1</v>
      </c>
      <c r="H1113" s="131">
        <v>0</v>
      </c>
      <c r="I1113" s="120">
        <v>0</v>
      </c>
      <c r="J1113" s="133" t="s">
        <v>853</v>
      </c>
      <c r="K1113" s="133">
        <v>0</v>
      </c>
      <c r="L1113" s="183">
        <v>72.2</v>
      </c>
      <c r="M1113" s="133">
        <f t="shared" si="31"/>
        <v>7.2000000000000028</v>
      </c>
      <c r="N1113" s="157"/>
      <c r="O1113" s="158"/>
      <c r="P1113" s="158"/>
      <c r="Q1113" s="158"/>
      <c r="R1113" s="158"/>
      <c r="S1113" s="158"/>
      <c r="T1113" s="158"/>
      <c r="U1113" s="158"/>
      <c r="V1113" s="158"/>
      <c r="W1113" s="158"/>
      <c r="X1113" s="158"/>
      <c r="Y1113" s="158"/>
      <c r="Z1113" s="158"/>
      <c r="AA1113" s="158"/>
    </row>
    <row r="1114" spans="1:27" ht="15.75" customHeight="1" x14ac:dyDescent="0.55000000000000004">
      <c r="A1114" s="177">
        <v>163</v>
      </c>
      <c r="B1114" s="177" t="s">
        <v>1933</v>
      </c>
      <c r="C1114" s="177" t="s">
        <v>1934</v>
      </c>
      <c r="D1114" s="178">
        <v>43355</v>
      </c>
      <c r="E1114" s="120" t="s">
        <v>3582</v>
      </c>
      <c r="F1114" s="131">
        <v>45</v>
      </c>
      <c r="G1114" s="120">
        <v>1</v>
      </c>
      <c r="H1114" s="131">
        <v>2</v>
      </c>
      <c r="I1114" s="131">
        <v>1</v>
      </c>
      <c r="J1114" s="133" t="s">
        <v>3186</v>
      </c>
      <c r="K1114" s="133">
        <v>2</v>
      </c>
      <c r="L1114" s="117">
        <v>76.599999999999994</v>
      </c>
      <c r="M1114" s="133">
        <f t="shared" si="31"/>
        <v>31.599999999999994</v>
      </c>
      <c r="N1114" s="157"/>
      <c r="O1114" s="158"/>
      <c r="P1114" s="158"/>
      <c r="Q1114" s="158"/>
      <c r="R1114" s="158"/>
      <c r="S1114" s="158"/>
      <c r="T1114" s="158"/>
      <c r="U1114" s="158"/>
      <c r="V1114" s="158"/>
      <c r="W1114" s="158"/>
      <c r="X1114" s="158"/>
      <c r="Y1114" s="158"/>
      <c r="Z1114" s="158"/>
      <c r="AA1114" s="158"/>
    </row>
    <row r="1115" spans="1:27" ht="15.75" customHeight="1" x14ac:dyDescent="0.55000000000000004">
      <c r="A1115" s="177">
        <v>163</v>
      </c>
      <c r="B1115" s="177" t="s">
        <v>1933</v>
      </c>
      <c r="C1115" s="177" t="s">
        <v>1934</v>
      </c>
      <c r="D1115" s="178">
        <v>43355</v>
      </c>
      <c r="E1115" s="120" t="s">
        <v>3583</v>
      </c>
      <c r="F1115" s="131">
        <v>57</v>
      </c>
      <c r="G1115" s="120">
        <v>0</v>
      </c>
      <c r="H1115" s="131">
        <v>2</v>
      </c>
      <c r="I1115" s="131">
        <v>1</v>
      </c>
      <c r="J1115" s="133" t="s">
        <v>3584</v>
      </c>
      <c r="K1115" s="133">
        <v>3</v>
      </c>
      <c r="L1115" s="117">
        <v>66.599999999999994</v>
      </c>
      <c r="M1115" s="133">
        <f t="shared" si="31"/>
        <v>9.5999999999999943</v>
      </c>
      <c r="N1115" s="157"/>
      <c r="O1115" s="158"/>
      <c r="P1115" s="158"/>
      <c r="Q1115" s="158"/>
      <c r="R1115" s="158"/>
      <c r="S1115" s="158"/>
      <c r="T1115" s="158"/>
      <c r="U1115" s="158"/>
      <c r="V1115" s="158"/>
      <c r="W1115" s="158"/>
      <c r="X1115" s="158"/>
      <c r="Y1115" s="158"/>
      <c r="Z1115" s="158"/>
      <c r="AA1115" s="158"/>
    </row>
    <row r="1116" spans="1:27" ht="15.75" customHeight="1" x14ac:dyDescent="0.55000000000000004">
      <c r="A1116" s="177">
        <v>163</v>
      </c>
      <c r="B1116" s="177" t="s">
        <v>1933</v>
      </c>
      <c r="C1116" s="177" t="s">
        <v>1934</v>
      </c>
      <c r="D1116" s="178">
        <v>43355</v>
      </c>
      <c r="E1116" s="120" t="s">
        <v>3585</v>
      </c>
      <c r="F1116" s="131">
        <v>50</v>
      </c>
      <c r="G1116" s="120">
        <v>0</v>
      </c>
      <c r="H1116" s="120">
        <v>2</v>
      </c>
      <c r="I1116" s="131">
        <v>1</v>
      </c>
      <c r="J1116" s="133" t="s">
        <v>3584</v>
      </c>
      <c r="K1116" s="133">
        <v>3</v>
      </c>
      <c r="L1116" s="117">
        <v>67.099999999999994</v>
      </c>
      <c r="M1116" s="133">
        <f t="shared" si="31"/>
        <v>17.099999999999994</v>
      </c>
      <c r="N1116" s="157"/>
      <c r="O1116" s="158"/>
      <c r="P1116" s="158"/>
      <c r="Q1116" s="158"/>
      <c r="R1116" s="158"/>
      <c r="S1116" s="158"/>
      <c r="T1116" s="158"/>
      <c r="U1116" s="158"/>
      <c r="V1116" s="158"/>
      <c r="W1116" s="158"/>
      <c r="X1116" s="158"/>
      <c r="Y1116" s="158"/>
      <c r="Z1116" s="158"/>
      <c r="AA1116" s="158"/>
    </row>
    <row r="1117" spans="1:27" ht="15.75" customHeight="1" x14ac:dyDescent="0.55000000000000004">
      <c r="A1117" s="177">
        <v>163</v>
      </c>
      <c r="B1117" s="177" t="s">
        <v>1933</v>
      </c>
      <c r="C1117" s="177" t="s">
        <v>1934</v>
      </c>
      <c r="D1117" s="178">
        <v>43355</v>
      </c>
      <c r="E1117" s="120" t="s">
        <v>3586</v>
      </c>
      <c r="F1117" s="131">
        <v>31</v>
      </c>
      <c r="G1117" s="120">
        <v>1</v>
      </c>
      <c r="H1117" s="131">
        <v>2</v>
      </c>
      <c r="I1117" s="120">
        <v>0</v>
      </c>
      <c r="J1117" s="133" t="s">
        <v>3587</v>
      </c>
      <c r="K1117" s="133">
        <v>5</v>
      </c>
      <c r="L1117" s="117">
        <v>78.8</v>
      </c>
      <c r="M1117" s="133">
        <f t="shared" si="31"/>
        <v>47.8</v>
      </c>
      <c r="N1117" s="157"/>
      <c r="O1117" s="158"/>
      <c r="P1117" s="158"/>
      <c r="Q1117" s="158"/>
      <c r="R1117" s="158"/>
      <c r="S1117" s="158"/>
      <c r="T1117" s="158"/>
      <c r="U1117" s="158"/>
      <c r="V1117" s="158"/>
      <c r="W1117" s="158"/>
      <c r="X1117" s="158"/>
      <c r="Y1117" s="158"/>
      <c r="Z1117" s="158"/>
      <c r="AA1117" s="158"/>
    </row>
    <row r="1118" spans="1:27" ht="15.75" customHeight="1" x14ac:dyDescent="0.55000000000000004">
      <c r="A1118" s="177">
        <v>163</v>
      </c>
      <c r="B1118" s="177" t="s">
        <v>1933</v>
      </c>
      <c r="C1118" s="177" t="s">
        <v>1934</v>
      </c>
      <c r="D1118" s="178">
        <v>43355</v>
      </c>
      <c r="E1118" s="120" t="s">
        <v>3588</v>
      </c>
      <c r="F1118" s="131">
        <v>50</v>
      </c>
      <c r="G1118" s="120">
        <v>0</v>
      </c>
      <c r="H1118" s="131">
        <v>2</v>
      </c>
      <c r="I1118" s="131">
        <v>1</v>
      </c>
      <c r="J1118" s="133" t="s">
        <v>3584</v>
      </c>
      <c r="K1118" s="133">
        <v>3</v>
      </c>
      <c r="L1118" s="117">
        <v>67.099999999999994</v>
      </c>
      <c r="M1118" s="133">
        <f t="shared" si="31"/>
        <v>17.099999999999994</v>
      </c>
      <c r="N1118" s="157"/>
      <c r="O1118" s="158"/>
      <c r="P1118" s="158"/>
      <c r="Q1118" s="158"/>
      <c r="R1118" s="158"/>
      <c r="S1118" s="158"/>
      <c r="T1118" s="158"/>
      <c r="U1118" s="158"/>
      <c r="V1118" s="158"/>
      <c r="W1118" s="158"/>
      <c r="X1118" s="158"/>
      <c r="Y1118" s="158"/>
      <c r="Z1118" s="158"/>
      <c r="AA1118" s="158"/>
    </row>
    <row r="1119" spans="1:27" ht="15.75" customHeight="1" x14ac:dyDescent="0.55000000000000004">
      <c r="A1119" s="169">
        <v>164</v>
      </c>
      <c r="B1119" s="169" t="s">
        <v>1938</v>
      </c>
      <c r="C1119" s="169" t="s">
        <v>859</v>
      </c>
      <c r="D1119" s="170">
        <v>43400</v>
      </c>
      <c r="E1119" s="120" t="s">
        <v>3589</v>
      </c>
      <c r="F1119" s="131">
        <v>75</v>
      </c>
      <c r="G1119" s="120">
        <v>1</v>
      </c>
      <c r="H1119" s="131">
        <v>0</v>
      </c>
      <c r="I1119" s="120">
        <v>0</v>
      </c>
      <c r="J1119" s="133" t="s">
        <v>853</v>
      </c>
      <c r="K1119" s="133">
        <v>0</v>
      </c>
      <c r="L1119" s="183">
        <v>85</v>
      </c>
      <c r="M1119" s="133">
        <f t="shared" si="31"/>
        <v>10</v>
      </c>
      <c r="N1119" s="157"/>
      <c r="O1119" s="158"/>
      <c r="P1119" s="158"/>
      <c r="Q1119" s="158"/>
      <c r="R1119" s="158"/>
      <c r="S1119" s="158"/>
      <c r="T1119" s="158"/>
      <c r="U1119" s="158"/>
      <c r="V1119" s="158"/>
      <c r="W1119" s="158"/>
      <c r="X1119" s="158"/>
      <c r="Y1119" s="158"/>
      <c r="Z1119" s="158"/>
      <c r="AA1119" s="158"/>
    </row>
    <row r="1120" spans="1:27" ht="15.75" customHeight="1" x14ac:dyDescent="0.55000000000000004">
      <c r="A1120" s="169">
        <v>164</v>
      </c>
      <c r="B1120" s="169" t="s">
        <v>1938</v>
      </c>
      <c r="C1120" s="169" t="s">
        <v>859</v>
      </c>
      <c r="D1120" s="170">
        <v>43400</v>
      </c>
      <c r="E1120" s="120" t="s">
        <v>3590</v>
      </c>
      <c r="F1120" s="131">
        <v>65</v>
      </c>
      <c r="G1120" s="120">
        <v>0</v>
      </c>
      <c r="H1120" s="131">
        <v>0</v>
      </c>
      <c r="I1120" s="120">
        <v>0</v>
      </c>
      <c r="J1120" s="133" t="s">
        <v>853</v>
      </c>
      <c r="K1120" s="133">
        <v>0</v>
      </c>
      <c r="L1120" s="183">
        <v>66.5</v>
      </c>
      <c r="M1120" s="133">
        <f t="shared" si="31"/>
        <v>1.5</v>
      </c>
      <c r="N1120" s="157"/>
      <c r="O1120" s="158"/>
      <c r="P1120" s="158"/>
      <c r="Q1120" s="158"/>
      <c r="R1120" s="158"/>
      <c r="S1120" s="158"/>
      <c r="T1120" s="158"/>
      <c r="U1120" s="158"/>
      <c r="V1120" s="158"/>
      <c r="W1120" s="158"/>
      <c r="X1120" s="158"/>
      <c r="Y1120" s="158"/>
      <c r="Z1120" s="158"/>
      <c r="AA1120" s="158"/>
    </row>
    <row r="1121" spans="1:27" ht="15.75" customHeight="1" x14ac:dyDescent="0.55000000000000004">
      <c r="A1121" s="169">
        <v>164</v>
      </c>
      <c r="B1121" s="169" t="s">
        <v>1938</v>
      </c>
      <c r="C1121" s="169" t="s">
        <v>859</v>
      </c>
      <c r="D1121" s="170">
        <v>43400</v>
      </c>
      <c r="E1121" s="120" t="s">
        <v>3591</v>
      </c>
      <c r="F1121" s="131">
        <v>97</v>
      </c>
      <c r="G1121" s="120">
        <v>1</v>
      </c>
      <c r="H1121" s="131">
        <v>0</v>
      </c>
      <c r="I1121" s="120">
        <v>0</v>
      </c>
      <c r="J1121" s="133" t="s">
        <v>853</v>
      </c>
      <c r="K1121" s="133">
        <v>0</v>
      </c>
      <c r="L1121" s="183">
        <v>87</v>
      </c>
      <c r="M1121" s="133">
        <v>0</v>
      </c>
      <c r="N1121" s="157"/>
      <c r="O1121" s="158"/>
      <c r="P1121" s="158"/>
      <c r="Q1121" s="158"/>
      <c r="R1121" s="158"/>
      <c r="S1121" s="158"/>
      <c r="T1121" s="158"/>
      <c r="U1121" s="158"/>
      <c r="V1121" s="158"/>
      <c r="W1121" s="158"/>
      <c r="X1121" s="158"/>
      <c r="Y1121" s="158"/>
      <c r="Z1121" s="158"/>
      <c r="AA1121" s="158"/>
    </row>
    <row r="1122" spans="1:27" ht="15.75" customHeight="1" x14ac:dyDescent="0.55000000000000004">
      <c r="A1122" s="169">
        <v>164</v>
      </c>
      <c r="B1122" s="169" t="s">
        <v>1938</v>
      </c>
      <c r="C1122" s="169" t="s">
        <v>859</v>
      </c>
      <c r="D1122" s="170">
        <v>43400</v>
      </c>
      <c r="E1122" s="120" t="s">
        <v>3592</v>
      </c>
      <c r="F1122" s="131">
        <v>66</v>
      </c>
      <c r="G1122" s="120">
        <v>0</v>
      </c>
      <c r="H1122" s="131">
        <v>0</v>
      </c>
      <c r="I1122" s="120">
        <v>0</v>
      </c>
      <c r="J1122" s="133" t="s">
        <v>853</v>
      </c>
      <c r="K1122" s="133">
        <v>0</v>
      </c>
      <c r="L1122" s="183">
        <v>66.5</v>
      </c>
      <c r="M1122" s="133">
        <f t="shared" ref="M1122:M1125" si="32">L1122-F1122</f>
        <v>0.5</v>
      </c>
      <c r="N1122" s="157"/>
      <c r="O1122" s="158"/>
      <c r="P1122" s="158"/>
      <c r="Q1122" s="158"/>
      <c r="R1122" s="158"/>
      <c r="S1122" s="158"/>
      <c r="T1122" s="158"/>
      <c r="U1122" s="158"/>
      <c r="V1122" s="158"/>
      <c r="W1122" s="158"/>
      <c r="X1122" s="158"/>
      <c r="Y1122" s="158"/>
      <c r="Z1122" s="158"/>
      <c r="AA1122" s="158"/>
    </row>
    <row r="1123" spans="1:27" ht="15.75" customHeight="1" x14ac:dyDescent="0.55000000000000004">
      <c r="A1123" s="169">
        <v>164</v>
      </c>
      <c r="B1123" s="169" t="s">
        <v>1938</v>
      </c>
      <c r="C1123" s="169" t="s">
        <v>859</v>
      </c>
      <c r="D1123" s="170">
        <v>43400</v>
      </c>
      <c r="E1123" s="120" t="s">
        <v>3593</v>
      </c>
      <c r="F1123" s="131">
        <v>59</v>
      </c>
      <c r="G1123" s="120">
        <v>0</v>
      </c>
      <c r="H1123" s="131">
        <v>0</v>
      </c>
      <c r="I1123" s="120">
        <v>0</v>
      </c>
      <c r="J1123" s="133" t="s">
        <v>853</v>
      </c>
      <c r="K1123" s="133">
        <v>0</v>
      </c>
      <c r="L1123" s="117">
        <v>67.400000000000006</v>
      </c>
      <c r="M1123" s="133">
        <f t="shared" si="32"/>
        <v>8.4000000000000057</v>
      </c>
      <c r="N1123" s="157"/>
      <c r="O1123" s="158"/>
      <c r="P1123" s="158"/>
      <c r="Q1123" s="158"/>
      <c r="R1123" s="158"/>
      <c r="S1123" s="158"/>
      <c r="T1123" s="158"/>
      <c r="U1123" s="158"/>
      <c r="V1123" s="158"/>
      <c r="W1123" s="158"/>
      <c r="X1123" s="158"/>
      <c r="Y1123" s="158"/>
      <c r="Z1123" s="158"/>
      <c r="AA1123" s="158"/>
    </row>
    <row r="1124" spans="1:27" ht="15.75" customHeight="1" x14ac:dyDescent="0.55000000000000004">
      <c r="A1124" s="169">
        <v>164</v>
      </c>
      <c r="B1124" s="169" t="s">
        <v>1938</v>
      </c>
      <c r="C1124" s="169" t="s">
        <v>859</v>
      </c>
      <c r="D1124" s="170">
        <v>43400</v>
      </c>
      <c r="E1124" s="120" t="s">
        <v>3594</v>
      </c>
      <c r="F1124" s="131">
        <v>54</v>
      </c>
      <c r="G1124" s="120">
        <v>0</v>
      </c>
      <c r="H1124" s="131">
        <v>0</v>
      </c>
      <c r="I1124" s="120">
        <v>0</v>
      </c>
      <c r="J1124" s="133" t="s">
        <v>853</v>
      </c>
      <c r="K1124" s="133">
        <v>0</v>
      </c>
      <c r="L1124" s="117">
        <v>67.400000000000006</v>
      </c>
      <c r="M1124" s="133">
        <f t="shared" si="32"/>
        <v>13.400000000000006</v>
      </c>
      <c r="N1124" s="157"/>
      <c r="O1124" s="158"/>
      <c r="P1124" s="158"/>
      <c r="Q1124" s="158"/>
      <c r="R1124" s="158"/>
      <c r="S1124" s="158"/>
      <c r="T1124" s="158"/>
      <c r="U1124" s="158"/>
      <c r="V1124" s="158"/>
      <c r="W1124" s="158"/>
      <c r="X1124" s="158"/>
      <c r="Y1124" s="158"/>
      <c r="Z1124" s="158"/>
      <c r="AA1124" s="158"/>
    </row>
    <row r="1125" spans="1:27" ht="15.75" customHeight="1" x14ac:dyDescent="0.55000000000000004">
      <c r="A1125" s="169">
        <v>164</v>
      </c>
      <c r="B1125" s="169" t="s">
        <v>1938</v>
      </c>
      <c r="C1125" s="169" t="s">
        <v>859</v>
      </c>
      <c r="D1125" s="170">
        <v>43400</v>
      </c>
      <c r="E1125" s="120" t="s">
        <v>3595</v>
      </c>
      <c r="F1125" s="131">
        <v>84</v>
      </c>
      <c r="G1125" s="120">
        <v>1</v>
      </c>
      <c r="H1125" s="131">
        <v>0</v>
      </c>
      <c r="I1125" s="120">
        <v>0</v>
      </c>
      <c r="J1125" s="133" t="s">
        <v>853</v>
      </c>
      <c r="K1125" s="133">
        <v>0</v>
      </c>
      <c r="L1125" s="183">
        <v>87.9</v>
      </c>
      <c r="M1125" s="133">
        <f t="shared" si="32"/>
        <v>3.9000000000000057</v>
      </c>
      <c r="N1125" s="157"/>
      <c r="O1125" s="158"/>
      <c r="P1125" s="158"/>
      <c r="Q1125" s="158"/>
      <c r="R1125" s="158"/>
      <c r="S1125" s="158"/>
      <c r="T1125" s="158"/>
      <c r="U1125" s="158"/>
      <c r="V1125" s="158"/>
      <c r="W1125" s="158"/>
      <c r="X1125" s="158"/>
      <c r="Y1125" s="158"/>
      <c r="Z1125" s="158"/>
      <c r="AA1125" s="158"/>
    </row>
    <row r="1126" spans="1:27" ht="15.75" customHeight="1" x14ac:dyDescent="0.55000000000000004">
      <c r="A1126" s="169">
        <v>164</v>
      </c>
      <c r="B1126" s="169" t="s">
        <v>1938</v>
      </c>
      <c r="C1126" s="169" t="s">
        <v>859</v>
      </c>
      <c r="D1126" s="170">
        <v>43400</v>
      </c>
      <c r="E1126" s="120" t="s">
        <v>3596</v>
      </c>
      <c r="F1126" s="131">
        <v>86</v>
      </c>
      <c r="G1126" s="120">
        <v>0</v>
      </c>
      <c r="H1126" s="131">
        <v>0</v>
      </c>
      <c r="I1126" s="120">
        <v>0</v>
      </c>
      <c r="J1126" s="133" t="s">
        <v>853</v>
      </c>
      <c r="K1126" s="133">
        <v>0</v>
      </c>
      <c r="L1126" s="183">
        <v>85.8</v>
      </c>
      <c r="M1126" s="133">
        <v>0</v>
      </c>
      <c r="N1126" s="157"/>
      <c r="O1126" s="158"/>
      <c r="P1126" s="158"/>
      <c r="Q1126" s="158"/>
      <c r="R1126" s="158"/>
      <c r="S1126" s="158"/>
      <c r="T1126" s="158"/>
      <c r="U1126" s="158"/>
      <c r="V1126" s="158"/>
      <c r="W1126" s="158"/>
      <c r="X1126" s="158"/>
      <c r="Y1126" s="158"/>
      <c r="Z1126" s="158"/>
      <c r="AA1126" s="158"/>
    </row>
    <row r="1127" spans="1:27" ht="15.75" customHeight="1" x14ac:dyDescent="0.55000000000000004">
      <c r="A1127" s="169">
        <v>164</v>
      </c>
      <c r="B1127" s="169" t="s">
        <v>1938</v>
      </c>
      <c r="C1127" s="169" t="s">
        <v>859</v>
      </c>
      <c r="D1127" s="170">
        <v>43400</v>
      </c>
      <c r="E1127" s="120" t="s">
        <v>3597</v>
      </c>
      <c r="F1127" s="131">
        <v>71</v>
      </c>
      <c r="G1127" s="120">
        <v>0</v>
      </c>
      <c r="H1127" s="131">
        <v>0</v>
      </c>
      <c r="I1127" s="120">
        <v>0</v>
      </c>
      <c r="J1127" s="133" t="s">
        <v>853</v>
      </c>
      <c r="K1127" s="133">
        <v>0</v>
      </c>
      <c r="L1127" s="183">
        <v>83</v>
      </c>
      <c r="M1127" s="133">
        <f>L1127-F1127</f>
        <v>12</v>
      </c>
      <c r="N1127" s="157"/>
      <c r="O1127" s="158"/>
      <c r="P1127" s="158"/>
      <c r="Q1127" s="158"/>
      <c r="R1127" s="158"/>
      <c r="S1127" s="158"/>
      <c r="T1127" s="158"/>
      <c r="U1127" s="158"/>
      <c r="V1127" s="158"/>
      <c r="W1127" s="158"/>
      <c r="X1127" s="158"/>
      <c r="Y1127" s="158"/>
      <c r="Z1127" s="158"/>
      <c r="AA1127" s="158"/>
    </row>
    <row r="1128" spans="1:27" ht="15.75" customHeight="1" x14ac:dyDescent="0.55000000000000004">
      <c r="A1128" s="169">
        <v>164</v>
      </c>
      <c r="B1128" s="169" t="s">
        <v>1938</v>
      </c>
      <c r="C1128" s="169" t="s">
        <v>859</v>
      </c>
      <c r="D1128" s="170">
        <v>43400</v>
      </c>
      <c r="E1128" s="120" t="s">
        <v>3598</v>
      </c>
      <c r="F1128" s="131">
        <v>88</v>
      </c>
      <c r="G1128" s="120">
        <v>0</v>
      </c>
      <c r="H1128" s="131">
        <v>0</v>
      </c>
      <c r="I1128" s="120">
        <v>0</v>
      </c>
      <c r="J1128" s="133" t="s">
        <v>853</v>
      </c>
      <c r="K1128" s="133">
        <v>0</v>
      </c>
      <c r="L1128" s="183">
        <v>85.4</v>
      </c>
      <c r="M1128" s="133">
        <v>0</v>
      </c>
      <c r="N1128" s="157"/>
      <c r="O1128" s="158"/>
      <c r="P1128" s="158"/>
      <c r="Q1128" s="158"/>
      <c r="R1128" s="158"/>
      <c r="S1128" s="158"/>
      <c r="T1128" s="158"/>
      <c r="U1128" s="158"/>
      <c r="V1128" s="158"/>
      <c r="W1128" s="158"/>
      <c r="X1128" s="158"/>
      <c r="Y1128" s="158"/>
      <c r="Z1128" s="158"/>
      <c r="AA1128" s="158"/>
    </row>
    <row r="1129" spans="1:27" ht="15.75" customHeight="1" x14ac:dyDescent="0.55000000000000004">
      <c r="A1129" s="169">
        <v>164</v>
      </c>
      <c r="B1129" s="169" t="s">
        <v>1938</v>
      </c>
      <c r="C1129" s="169" t="s">
        <v>859</v>
      </c>
      <c r="D1129" s="170">
        <v>43400</v>
      </c>
      <c r="E1129" s="120" t="s">
        <v>3599</v>
      </c>
      <c r="F1129" s="131">
        <v>69</v>
      </c>
      <c r="G1129" s="120">
        <v>0</v>
      </c>
      <c r="H1129" s="131">
        <v>0</v>
      </c>
      <c r="I1129" s="120">
        <v>0</v>
      </c>
      <c r="J1129" s="133" t="s">
        <v>853</v>
      </c>
      <c r="K1129" s="133">
        <v>0</v>
      </c>
      <c r="L1129" s="183">
        <v>83</v>
      </c>
      <c r="M1129" s="133">
        <f t="shared" ref="M1129:M1172" si="33">L1129-F1129</f>
        <v>14</v>
      </c>
      <c r="N1129" s="157"/>
      <c r="O1129" s="158"/>
      <c r="P1129" s="158"/>
      <c r="Q1129" s="158"/>
      <c r="R1129" s="158"/>
      <c r="S1129" s="158"/>
      <c r="T1129" s="158"/>
      <c r="U1129" s="158"/>
      <c r="V1129" s="158"/>
      <c r="W1129" s="158"/>
      <c r="X1129" s="158"/>
      <c r="Y1129" s="158"/>
      <c r="Z1129" s="158"/>
      <c r="AA1129" s="158"/>
    </row>
    <row r="1130" spans="1:27" ht="15.75" customHeight="1" x14ac:dyDescent="0.55000000000000004">
      <c r="A1130" s="175">
        <v>165</v>
      </c>
      <c r="B1130" s="175" t="s">
        <v>1942</v>
      </c>
      <c r="C1130" s="175" t="s">
        <v>1943</v>
      </c>
      <c r="D1130" s="176">
        <v>43411</v>
      </c>
      <c r="E1130" s="120" t="s">
        <v>3600</v>
      </c>
      <c r="F1130" s="131">
        <v>48</v>
      </c>
      <c r="G1130" s="120">
        <v>0</v>
      </c>
      <c r="H1130" s="131">
        <v>0</v>
      </c>
      <c r="I1130" s="120">
        <v>0</v>
      </c>
      <c r="J1130" s="133" t="s">
        <v>853</v>
      </c>
      <c r="K1130" s="133">
        <v>0</v>
      </c>
      <c r="L1130" s="117">
        <v>68</v>
      </c>
      <c r="M1130" s="133">
        <f t="shared" si="33"/>
        <v>20</v>
      </c>
      <c r="N1130" s="157"/>
      <c r="O1130" s="158"/>
      <c r="P1130" s="158"/>
      <c r="Q1130" s="158"/>
      <c r="R1130" s="158"/>
      <c r="S1130" s="158"/>
      <c r="T1130" s="158"/>
      <c r="U1130" s="158"/>
      <c r="V1130" s="158"/>
      <c r="W1130" s="158"/>
      <c r="X1130" s="158"/>
      <c r="Y1130" s="158"/>
      <c r="Z1130" s="158"/>
      <c r="AA1130" s="158"/>
    </row>
    <row r="1131" spans="1:27" ht="15.75" customHeight="1" x14ac:dyDescent="0.55000000000000004">
      <c r="A1131" s="175">
        <v>165</v>
      </c>
      <c r="B1131" s="175" t="s">
        <v>1942</v>
      </c>
      <c r="C1131" s="175" t="s">
        <v>1943</v>
      </c>
      <c r="D1131" s="176">
        <v>43411</v>
      </c>
      <c r="E1131" s="120" t="s">
        <v>3601</v>
      </c>
      <c r="F1131" s="131">
        <v>22</v>
      </c>
      <c r="G1131" s="120">
        <v>0</v>
      </c>
      <c r="H1131" s="131">
        <v>0</v>
      </c>
      <c r="I1131" s="120">
        <v>0</v>
      </c>
      <c r="J1131" s="133" t="s">
        <v>853</v>
      </c>
      <c r="K1131" s="133">
        <v>0</v>
      </c>
      <c r="L1131" s="117">
        <v>73.400000000000006</v>
      </c>
      <c r="M1131" s="133">
        <f t="shared" si="33"/>
        <v>51.400000000000006</v>
      </c>
      <c r="N1131" s="157"/>
      <c r="O1131" s="158"/>
      <c r="P1131" s="158"/>
      <c r="Q1131" s="158"/>
      <c r="R1131" s="158"/>
      <c r="S1131" s="158"/>
      <c r="T1131" s="158"/>
      <c r="U1131" s="158"/>
      <c r="V1131" s="158"/>
      <c r="W1131" s="158"/>
      <c r="X1131" s="158"/>
      <c r="Y1131" s="158"/>
      <c r="Z1131" s="158"/>
      <c r="AA1131" s="158"/>
    </row>
    <row r="1132" spans="1:27" ht="15.75" customHeight="1" x14ac:dyDescent="0.55000000000000004">
      <c r="A1132" s="175">
        <v>165</v>
      </c>
      <c r="B1132" s="175" t="s">
        <v>1942</v>
      </c>
      <c r="C1132" s="175" t="s">
        <v>1943</v>
      </c>
      <c r="D1132" s="176">
        <v>43411</v>
      </c>
      <c r="E1132" s="120" t="s">
        <v>3602</v>
      </c>
      <c r="F1132" s="131">
        <v>21</v>
      </c>
      <c r="G1132" s="120">
        <v>0</v>
      </c>
      <c r="H1132" s="131">
        <v>0</v>
      </c>
      <c r="I1132" s="120">
        <v>0</v>
      </c>
      <c r="J1132" s="133" t="s">
        <v>853</v>
      </c>
      <c r="K1132" s="133">
        <v>0</v>
      </c>
      <c r="L1132" s="117">
        <v>73.400000000000006</v>
      </c>
      <c r="M1132" s="133">
        <f t="shared" si="33"/>
        <v>52.400000000000006</v>
      </c>
      <c r="N1132" s="157"/>
      <c r="O1132" s="158"/>
      <c r="P1132" s="158"/>
      <c r="Q1132" s="158"/>
      <c r="R1132" s="158"/>
      <c r="S1132" s="158"/>
      <c r="T1132" s="158"/>
      <c r="U1132" s="158"/>
      <c r="V1132" s="158"/>
      <c r="W1132" s="158"/>
      <c r="X1132" s="158"/>
      <c r="Y1132" s="158"/>
      <c r="Z1132" s="158"/>
      <c r="AA1132" s="158"/>
    </row>
    <row r="1133" spans="1:27" ht="15.75" customHeight="1" x14ac:dyDescent="0.55000000000000004">
      <c r="A1133" s="175">
        <v>165</v>
      </c>
      <c r="B1133" s="175" t="s">
        <v>1942</v>
      </c>
      <c r="C1133" s="175" t="s">
        <v>1943</v>
      </c>
      <c r="D1133" s="176">
        <v>43411</v>
      </c>
      <c r="E1133" s="120" t="s">
        <v>3603</v>
      </c>
      <c r="F1133" s="131">
        <v>21</v>
      </c>
      <c r="G1133" s="120">
        <v>0</v>
      </c>
      <c r="H1133" s="131">
        <v>0</v>
      </c>
      <c r="I1133" s="120">
        <v>0</v>
      </c>
      <c r="J1133" s="133" t="s">
        <v>853</v>
      </c>
      <c r="K1133" s="133">
        <v>0</v>
      </c>
      <c r="L1133" s="117">
        <v>73.400000000000006</v>
      </c>
      <c r="M1133" s="133">
        <f t="shared" si="33"/>
        <v>52.400000000000006</v>
      </c>
      <c r="N1133" s="157"/>
      <c r="O1133" s="158"/>
      <c r="P1133" s="158"/>
      <c r="Q1133" s="158"/>
      <c r="R1133" s="158"/>
      <c r="S1133" s="158"/>
      <c r="T1133" s="158"/>
      <c r="U1133" s="158"/>
      <c r="V1133" s="158"/>
      <c r="W1133" s="158"/>
      <c r="X1133" s="158"/>
      <c r="Y1133" s="158"/>
      <c r="Z1133" s="158"/>
      <c r="AA1133" s="158"/>
    </row>
    <row r="1134" spans="1:27" ht="15.75" customHeight="1" x14ac:dyDescent="0.55000000000000004">
      <c r="A1134" s="175">
        <v>165</v>
      </c>
      <c r="B1134" s="175" t="s">
        <v>1942</v>
      </c>
      <c r="C1134" s="175" t="s">
        <v>1943</v>
      </c>
      <c r="D1134" s="176">
        <v>43411</v>
      </c>
      <c r="E1134" s="120" t="s">
        <v>3604</v>
      </c>
      <c r="F1134" s="131">
        <v>54</v>
      </c>
      <c r="G1134" s="120">
        <v>0</v>
      </c>
      <c r="H1134" s="120">
        <v>0</v>
      </c>
      <c r="I1134" s="120">
        <v>0</v>
      </c>
      <c r="J1134" s="133" t="s">
        <v>853</v>
      </c>
      <c r="K1134" s="133">
        <v>0</v>
      </c>
      <c r="L1134" s="117">
        <v>67.400000000000006</v>
      </c>
      <c r="M1134" s="133">
        <f t="shared" si="33"/>
        <v>13.400000000000006</v>
      </c>
      <c r="N1134" s="157"/>
      <c r="O1134" s="158"/>
      <c r="P1134" s="158"/>
      <c r="Q1134" s="158"/>
      <c r="R1134" s="158"/>
      <c r="S1134" s="158"/>
      <c r="T1134" s="158"/>
      <c r="U1134" s="158"/>
      <c r="V1134" s="158"/>
      <c r="W1134" s="158"/>
      <c r="X1134" s="158"/>
      <c r="Y1134" s="158"/>
      <c r="Z1134" s="158"/>
      <c r="AA1134" s="158"/>
    </row>
    <row r="1135" spans="1:27" ht="15.75" customHeight="1" x14ac:dyDescent="0.55000000000000004">
      <c r="A1135" s="175">
        <v>165</v>
      </c>
      <c r="B1135" s="175" t="s">
        <v>1942</v>
      </c>
      <c r="C1135" s="175" t="s">
        <v>1943</v>
      </c>
      <c r="D1135" s="176">
        <v>43411</v>
      </c>
      <c r="E1135" s="120" t="s">
        <v>3605</v>
      </c>
      <c r="F1135" s="131">
        <v>18</v>
      </c>
      <c r="G1135" s="120">
        <v>1</v>
      </c>
      <c r="H1135" s="131">
        <v>0</v>
      </c>
      <c r="I1135" s="120">
        <v>0</v>
      </c>
      <c r="J1135" s="133" t="s">
        <v>853</v>
      </c>
      <c r="K1135" s="133">
        <v>0</v>
      </c>
      <c r="L1135" s="117">
        <v>79.900000000000006</v>
      </c>
      <c r="M1135" s="133">
        <f t="shared" si="33"/>
        <v>61.900000000000006</v>
      </c>
      <c r="N1135" s="157"/>
      <c r="O1135" s="158"/>
      <c r="P1135" s="158"/>
      <c r="Q1135" s="158"/>
      <c r="R1135" s="158"/>
      <c r="S1135" s="158"/>
      <c r="T1135" s="158"/>
      <c r="U1135" s="158"/>
      <c r="V1135" s="158"/>
      <c r="W1135" s="158"/>
      <c r="X1135" s="158"/>
      <c r="Y1135" s="158"/>
      <c r="Z1135" s="158"/>
      <c r="AA1135" s="158"/>
    </row>
    <row r="1136" spans="1:27" ht="15.75" customHeight="1" x14ac:dyDescent="0.55000000000000004">
      <c r="A1136" s="175">
        <v>165</v>
      </c>
      <c r="B1136" s="175" t="s">
        <v>1942</v>
      </c>
      <c r="C1136" s="175" t="s">
        <v>1943</v>
      </c>
      <c r="D1136" s="176">
        <v>43411</v>
      </c>
      <c r="E1136" s="120" t="s">
        <v>3606</v>
      </c>
      <c r="F1136" s="131">
        <v>33</v>
      </c>
      <c r="G1136" s="120">
        <v>0</v>
      </c>
      <c r="H1136" s="131">
        <v>0</v>
      </c>
      <c r="I1136" s="120">
        <v>0</v>
      </c>
      <c r="J1136" s="133" t="s">
        <v>853</v>
      </c>
      <c r="K1136" s="133">
        <v>0</v>
      </c>
      <c r="L1136" s="117">
        <v>72.7</v>
      </c>
      <c r="M1136" s="133">
        <f t="shared" si="33"/>
        <v>39.700000000000003</v>
      </c>
      <c r="N1136" s="157"/>
      <c r="O1136" s="158"/>
      <c r="P1136" s="158"/>
      <c r="Q1136" s="158"/>
      <c r="R1136" s="158"/>
      <c r="S1136" s="158"/>
      <c r="T1136" s="158"/>
      <c r="U1136" s="158"/>
      <c r="V1136" s="158"/>
      <c r="W1136" s="158"/>
      <c r="X1136" s="158"/>
      <c r="Y1136" s="158"/>
      <c r="Z1136" s="158"/>
      <c r="AA1136" s="158"/>
    </row>
    <row r="1137" spans="1:27" ht="15.75" customHeight="1" x14ac:dyDescent="0.55000000000000004">
      <c r="A1137" s="175">
        <v>165</v>
      </c>
      <c r="B1137" s="175" t="s">
        <v>1942</v>
      </c>
      <c r="C1137" s="175" t="s">
        <v>1943</v>
      </c>
      <c r="D1137" s="176">
        <v>43411</v>
      </c>
      <c r="E1137" s="120" t="s">
        <v>3607</v>
      </c>
      <c r="F1137" s="131">
        <v>23</v>
      </c>
      <c r="G1137" s="120">
        <v>0</v>
      </c>
      <c r="H1137" s="131">
        <v>0</v>
      </c>
      <c r="I1137" s="120">
        <v>0</v>
      </c>
      <c r="J1137" s="133" t="s">
        <v>853</v>
      </c>
      <c r="K1137" s="133">
        <v>0</v>
      </c>
      <c r="L1137" s="117">
        <v>73.400000000000006</v>
      </c>
      <c r="M1137" s="133">
        <f t="shared" si="33"/>
        <v>50.400000000000006</v>
      </c>
      <c r="N1137" s="157"/>
      <c r="O1137" s="158"/>
      <c r="P1137" s="158"/>
      <c r="Q1137" s="158"/>
      <c r="R1137" s="158"/>
      <c r="S1137" s="158"/>
      <c r="T1137" s="158"/>
      <c r="U1137" s="158"/>
      <c r="V1137" s="158"/>
      <c r="W1137" s="158"/>
      <c r="X1137" s="158"/>
      <c r="Y1137" s="158"/>
      <c r="Z1137" s="158"/>
      <c r="AA1137" s="158"/>
    </row>
    <row r="1138" spans="1:27" ht="15.75" customHeight="1" x14ac:dyDescent="0.55000000000000004">
      <c r="A1138" s="175">
        <v>165</v>
      </c>
      <c r="B1138" s="175" t="s">
        <v>1942</v>
      </c>
      <c r="C1138" s="175" t="s">
        <v>1943</v>
      </c>
      <c r="D1138" s="176">
        <v>43411</v>
      </c>
      <c r="E1138" s="120" t="s">
        <v>3608</v>
      </c>
      <c r="F1138" s="131">
        <v>20</v>
      </c>
      <c r="G1138" s="120">
        <v>0</v>
      </c>
      <c r="H1138" s="131">
        <v>2</v>
      </c>
      <c r="I1138" s="120">
        <v>0</v>
      </c>
      <c r="J1138" s="133" t="s">
        <v>853</v>
      </c>
      <c r="K1138" s="133">
        <v>0</v>
      </c>
      <c r="L1138" s="117">
        <v>79.3</v>
      </c>
      <c r="M1138" s="133">
        <f t="shared" si="33"/>
        <v>59.3</v>
      </c>
      <c r="N1138" s="157"/>
      <c r="O1138" s="158"/>
      <c r="P1138" s="158"/>
      <c r="Q1138" s="158"/>
      <c r="R1138" s="158"/>
      <c r="S1138" s="158"/>
      <c r="T1138" s="158"/>
      <c r="U1138" s="158"/>
      <c r="V1138" s="158"/>
      <c r="W1138" s="158"/>
      <c r="X1138" s="158"/>
      <c r="Y1138" s="158"/>
      <c r="Z1138" s="158"/>
      <c r="AA1138" s="158"/>
    </row>
    <row r="1139" spans="1:27" ht="15.75" customHeight="1" x14ac:dyDescent="0.55000000000000004">
      <c r="A1139" s="175">
        <v>165</v>
      </c>
      <c r="B1139" s="175" t="s">
        <v>1942</v>
      </c>
      <c r="C1139" s="175" t="s">
        <v>1943</v>
      </c>
      <c r="D1139" s="176">
        <v>43411</v>
      </c>
      <c r="E1139" s="120" t="s">
        <v>3609</v>
      </c>
      <c r="F1139" s="131">
        <v>20</v>
      </c>
      <c r="G1139" s="120">
        <v>1</v>
      </c>
      <c r="H1139" s="131">
        <v>0</v>
      </c>
      <c r="I1139" s="120">
        <v>0</v>
      </c>
      <c r="J1139" s="133" t="s">
        <v>853</v>
      </c>
      <c r="K1139" s="133">
        <v>0</v>
      </c>
      <c r="L1139" s="117">
        <v>90.9</v>
      </c>
      <c r="M1139" s="133">
        <f t="shared" si="33"/>
        <v>70.900000000000006</v>
      </c>
      <c r="N1139" s="157"/>
      <c r="O1139" s="158"/>
      <c r="P1139" s="158"/>
      <c r="Q1139" s="158"/>
      <c r="R1139" s="158"/>
      <c r="S1139" s="158"/>
      <c r="T1139" s="158"/>
      <c r="U1139" s="158"/>
      <c r="V1139" s="158"/>
      <c r="W1139" s="158"/>
      <c r="X1139" s="158"/>
      <c r="Y1139" s="158"/>
      <c r="Z1139" s="158"/>
      <c r="AA1139" s="158"/>
    </row>
    <row r="1140" spans="1:27" ht="15.75" customHeight="1" x14ac:dyDescent="0.55000000000000004">
      <c r="A1140" s="175">
        <v>165</v>
      </c>
      <c r="B1140" s="175" t="s">
        <v>1942</v>
      </c>
      <c r="C1140" s="175" t="s">
        <v>1943</v>
      </c>
      <c r="D1140" s="176">
        <v>43411</v>
      </c>
      <c r="E1140" s="120" t="s">
        <v>3610</v>
      </c>
      <c r="F1140" s="131">
        <v>27</v>
      </c>
      <c r="G1140" s="120">
        <v>0</v>
      </c>
      <c r="H1140" s="131">
        <v>0</v>
      </c>
      <c r="I1140" s="120">
        <v>0</v>
      </c>
      <c r="J1140" s="133" t="s">
        <v>853</v>
      </c>
      <c r="K1140" s="133">
        <v>0</v>
      </c>
      <c r="L1140" s="117">
        <v>72.7</v>
      </c>
      <c r="M1140" s="133">
        <f t="shared" si="33"/>
        <v>45.7</v>
      </c>
      <c r="N1140" s="157"/>
      <c r="O1140" s="158"/>
      <c r="P1140" s="158"/>
      <c r="Q1140" s="158"/>
      <c r="R1140" s="158"/>
      <c r="S1140" s="158"/>
      <c r="T1140" s="158"/>
      <c r="U1140" s="158"/>
      <c r="V1140" s="158"/>
      <c r="W1140" s="158"/>
      <c r="X1140" s="158"/>
      <c r="Y1140" s="158"/>
      <c r="Z1140" s="158"/>
      <c r="AA1140" s="158"/>
    </row>
    <row r="1141" spans="1:27" ht="15.75" customHeight="1" x14ac:dyDescent="0.55000000000000004">
      <c r="A1141" s="175">
        <v>165</v>
      </c>
      <c r="B1141" s="175" t="s">
        <v>1942</v>
      </c>
      <c r="C1141" s="175" t="s">
        <v>1943</v>
      </c>
      <c r="D1141" s="176">
        <v>43411</v>
      </c>
      <c r="E1141" s="120" t="s">
        <v>3611</v>
      </c>
      <c r="F1141" s="131">
        <v>21</v>
      </c>
      <c r="G1141" s="120">
        <v>1</v>
      </c>
      <c r="H1141" s="131">
        <v>0</v>
      </c>
      <c r="I1141" s="120">
        <v>0</v>
      </c>
      <c r="J1141" s="133" t="s">
        <v>853</v>
      </c>
      <c r="K1141" s="133">
        <v>0</v>
      </c>
      <c r="L1141" s="117">
        <v>79.599999999999994</v>
      </c>
      <c r="M1141" s="133">
        <f t="shared" si="33"/>
        <v>58.599999999999994</v>
      </c>
      <c r="N1141" s="157"/>
      <c r="O1141" s="158"/>
      <c r="P1141" s="158"/>
      <c r="Q1141" s="158"/>
      <c r="R1141" s="158"/>
      <c r="S1141" s="158"/>
      <c r="T1141" s="158"/>
      <c r="U1141" s="158"/>
      <c r="V1141" s="158"/>
      <c r="W1141" s="158"/>
      <c r="X1141" s="158"/>
      <c r="Y1141" s="158"/>
      <c r="Z1141" s="158"/>
      <c r="AA1141" s="158"/>
    </row>
    <row r="1142" spans="1:27" ht="15.75" customHeight="1" x14ac:dyDescent="0.55000000000000004">
      <c r="A1142" s="159">
        <v>166</v>
      </c>
      <c r="B1142" s="159" t="s">
        <v>1948</v>
      </c>
      <c r="C1142" s="159" t="s">
        <v>1949</v>
      </c>
      <c r="D1142" s="160">
        <v>43488</v>
      </c>
      <c r="E1142" s="120" t="s">
        <v>3612</v>
      </c>
      <c r="F1142" s="131">
        <v>54</v>
      </c>
      <c r="G1142" s="120">
        <v>1</v>
      </c>
      <c r="H1142" s="120">
        <v>0</v>
      </c>
      <c r="I1142" s="120">
        <v>0</v>
      </c>
      <c r="J1142" s="133" t="s">
        <v>853</v>
      </c>
      <c r="K1142" s="133">
        <v>0</v>
      </c>
      <c r="L1142" s="117">
        <v>75.599999999999994</v>
      </c>
      <c r="M1142" s="133">
        <f t="shared" si="33"/>
        <v>21.599999999999994</v>
      </c>
      <c r="N1142" s="157"/>
      <c r="O1142" s="158"/>
      <c r="P1142" s="158"/>
      <c r="Q1142" s="158"/>
      <c r="R1142" s="158"/>
      <c r="S1142" s="158"/>
      <c r="T1142" s="158"/>
      <c r="U1142" s="158"/>
      <c r="V1142" s="158"/>
      <c r="W1142" s="158"/>
      <c r="X1142" s="158"/>
      <c r="Y1142" s="158"/>
      <c r="Z1142" s="158"/>
      <c r="AA1142" s="158"/>
    </row>
    <row r="1143" spans="1:27" ht="15.75" customHeight="1" x14ac:dyDescent="0.55000000000000004">
      <c r="A1143" s="159">
        <v>166</v>
      </c>
      <c r="B1143" s="159" t="s">
        <v>1948</v>
      </c>
      <c r="C1143" s="159" t="s">
        <v>1949</v>
      </c>
      <c r="D1143" s="160">
        <v>43488</v>
      </c>
      <c r="E1143" s="120" t="s">
        <v>3613</v>
      </c>
      <c r="F1143" s="131">
        <v>55</v>
      </c>
      <c r="G1143" s="120">
        <v>1</v>
      </c>
      <c r="H1143" s="120">
        <v>2</v>
      </c>
      <c r="I1143" s="120">
        <v>0</v>
      </c>
      <c r="J1143" s="133" t="s">
        <v>853</v>
      </c>
      <c r="K1143" s="133">
        <v>0</v>
      </c>
      <c r="L1143" s="117">
        <v>74.099999999999994</v>
      </c>
      <c r="M1143" s="133">
        <f t="shared" si="33"/>
        <v>19.099999999999994</v>
      </c>
      <c r="N1143" s="157"/>
      <c r="O1143" s="158"/>
      <c r="P1143" s="158"/>
      <c r="Q1143" s="158"/>
      <c r="R1143" s="158"/>
      <c r="S1143" s="158"/>
      <c r="T1143" s="158"/>
      <c r="U1143" s="158"/>
      <c r="V1143" s="158"/>
      <c r="W1143" s="158"/>
      <c r="X1143" s="158"/>
      <c r="Y1143" s="158"/>
      <c r="Z1143" s="158"/>
      <c r="AA1143" s="158"/>
    </row>
    <row r="1144" spans="1:27" ht="15.75" customHeight="1" x14ac:dyDescent="0.55000000000000004">
      <c r="A1144" s="159">
        <v>166</v>
      </c>
      <c r="B1144" s="159" t="s">
        <v>1948</v>
      </c>
      <c r="C1144" s="159" t="s">
        <v>1949</v>
      </c>
      <c r="D1144" s="160">
        <v>43488</v>
      </c>
      <c r="E1144" s="120" t="s">
        <v>3614</v>
      </c>
      <c r="F1144" s="131">
        <v>31</v>
      </c>
      <c r="G1144" s="120">
        <v>1</v>
      </c>
      <c r="H1144" s="120">
        <v>0</v>
      </c>
      <c r="I1144" s="120">
        <v>0</v>
      </c>
      <c r="J1144" s="133" t="s">
        <v>853</v>
      </c>
      <c r="K1144" s="133">
        <v>0</v>
      </c>
      <c r="L1144" s="117">
        <v>79.400000000000006</v>
      </c>
      <c r="M1144" s="133">
        <f t="shared" si="33"/>
        <v>48.400000000000006</v>
      </c>
      <c r="N1144" s="157"/>
      <c r="O1144" s="158"/>
      <c r="P1144" s="158"/>
      <c r="Q1144" s="158"/>
      <c r="R1144" s="158"/>
      <c r="S1144" s="158"/>
      <c r="T1144" s="158"/>
      <c r="U1144" s="158"/>
      <c r="V1144" s="158"/>
      <c r="W1144" s="158"/>
      <c r="X1144" s="158"/>
      <c r="Y1144" s="158"/>
      <c r="Z1144" s="158"/>
      <c r="AA1144" s="158"/>
    </row>
    <row r="1145" spans="1:27" ht="15.75" customHeight="1" x14ac:dyDescent="0.55000000000000004">
      <c r="A1145" s="159">
        <v>166</v>
      </c>
      <c r="B1145" s="159" t="s">
        <v>1948</v>
      </c>
      <c r="C1145" s="159" t="s">
        <v>1949</v>
      </c>
      <c r="D1145" s="160">
        <v>43488</v>
      </c>
      <c r="E1145" s="120" t="s">
        <v>3615</v>
      </c>
      <c r="F1145" s="131">
        <v>38</v>
      </c>
      <c r="G1145" s="120">
        <v>1</v>
      </c>
      <c r="H1145" s="120">
        <v>2</v>
      </c>
      <c r="I1145" s="120">
        <v>0</v>
      </c>
      <c r="J1145" s="133" t="s">
        <v>853</v>
      </c>
      <c r="K1145" s="133">
        <v>0</v>
      </c>
      <c r="L1145" s="117">
        <v>77.400000000000006</v>
      </c>
      <c r="M1145" s="133">
        <f t="shared" si="33"/>
        <v>39.400000000000006</v>
      </c>
      <c r="N1145" s="157"/>
      <c r="O1145" s="158"/>
      <c r="P1145" s="158"/>
      <c r="Q1145" s="158"/>
      <c r="R1145" s="158"/>
      <c r="S1145" s="158"/>
      <c r="T1145" s="158"/>
      <c r="U1145" s="158"/>
      <c r="V1145" s="158"/>
      <c r="W1145" s="158"/>
      <c r="X1145" s="158"/>
      <c r="Y1145" s="158"/>
      <c r="Z1145" s="158"/>
      <c r="AA1145" s="158"/>
    </row>
    <row r="1146" spans="1:27" ht="15.75" customHeight="1" x14ac:dyDescent="0.55000000000000004">
      <c r="A1146" s="159">
        <v>166</v>
      </c>
      <c r="B1146" s="159" t="s">
        <v>1948</v>
      </c>
      <c r="C1146" s="159" t="s">
        <v>1949</v>
      </c>
      <c r="D1146" s="160">
        <v>43488</v>
      </c>
      <c r="E1146" s="120" t="s">
        <v>3616</v>
      </c>
      <c r="F1146" s="131">
        <v>65</v>
      </c>
      <c r="G1146" s="131">
        <v>1</v>
      </c>
      <c r="H1146" s="131">
        <v>0</v>
      </c>
      <c r="I1146" s="120">
        <v>0</v>
      </c>
      <c r="J1146" s="133" t="s">
        <v>853</v>
      </c>
      <c r="K1146" s="133">
        <v>0</v>
      </c>
      <c r="L1146" s="183">
        <v>72.2</v>
      </c>
      <c r="M1146" s="133">
        <f t="shared" si="33"/>
        <v>7.2000000000000028</v>
      </c>
      <c r="N1146" s="157"/>
      <c r="O1146" s="158"/>
      <c r="P1146" s="158"/>
      <c r="Q1146" s="158"/>
      <c r="R1146" s="158"/>
      <c r="S1146" s="158"/>
      <c r="T1146" s="158"/>
      <c r="U1146" s="158"/>
      <c r="V1146" s="158"/>
      <c r="W1146" s="158"/>
      <c r="X1146" s="158"/>
      <c r="Y1146" s="158"/>
      <c r="Z1146" s="158"/>
      <c r="AA1146" s="158"/>
    </row>
    <row r="1147" spans="1:27" ht="15.75" customHeight="1" x14ac:dyDescent="0.55000000000000004">
      <c r="A1147" s="162">
        <v>167</v>
      </c>
      <c r="B1147" s="162" t="s">
        <v>1953</v>
      </c>
      <c r="C1147" s="162" t="s">
        <v>1954</v>
      </c>
      <c r="D1147" s="163">
        <v>43511</v>
      </c>
      <c r="E1147" s="120" t="s">
        <v>3617</v>
      </c>
      <c r="F1147" s="131">
        <v>47</v>
      </c>
      <c r="G1147" s="120">
        <v>0</v>
      </c>
      <c r="H1147" s="131">
        <v>0</v>
      </c>
      <c r="I1147" s="131">
        <v>1</v>
      </c>
      <c r="J1147" s="133" t="s">
        <v>2387</v>
      </c>
      <c r="K1147" s="133">
        <v>3</v>
      </c>
      <c r="L1147" s="117">
        <v>68</v>
      </c>
      <c r="M1147" s="133">
        <f t="shared" si="33"/>
        <v>21</v>
      </c>
      <c r="N1147" s="157"/>
      <c r="O1147" s="158"/>
      <c r="P1147" s="158"/>
      <c r="Q1147" s="158"/>
      <c r="R1147" s="158"/>
      <c r="S1147" s="158"/>
      <c r="T1147" s="158"/>
      <c r="U1147" s="158"/>
      <c r="V1147" s="158"/>
      <c r="W1147" s="158"/>
      <c r="X1147" s="158"/>
      <c r="Y1147" s="158"/>
      <c r="Z1147" s="158"/>
      <c r="AA1147" s="158"/>
    </row>
    <row r="1148" spans="1:27" ht="15.75" customHeight="1" x14ac:dyDescent="0.55000000000000004">
      <c r="A1148" s="162">
        <v>167</v>
      </c>
      <c r="B1148" s="162" t="s">
        <v>1953</v>
      </c>
      <c r="C1148" s="162" t="s">
        <v>1954</v>
      </c>
      <c r="D1148" s="163">
        <v>43511</v>
      </c>
      <c r="E1148" s="120" t="s">
        <v>3618</v>
      </c>
      <c r="F1148" s="131">
        <v>32</v>
      </c>
      <c r="G1148" s="120">
        <v>0</v>
      </c>
      <c r="H1148" s="131">
        <v>0</v>
      </c>
      <c r="I1148" s="131">
        <v>1</v>
      </c>
      <c r="J1148" s="133" t="s">
        <v>2391</v>
      </c>
      <c r="K1148" s="133">
        <v>3</v>
      </c>
      <c r="L1148" s="117">
        <v>72.7</v>
      </c>
      <c r="M1148" s="133">
        <f t="shared" si="33"/>
        <v>40.700000000000003</v>
      </c>
      <c r="N1148" s="157"/>
      <c r="O1148" s="158"/>
      <c r="P1148" s="158"/>
      <c r="Q1148" s="158"/>
      <c r="R1148" s="158"/>
      <c r="S1148" s="158"/>
      <c r="T1148" s="158"/>
      <c r="U1148" s="158"/>
      <c r="V1148" s="158"/>
      <c r="W1148" s="158"/>
      <c r="X1148" s="158"/>
      <c r="Y1148" s="158"/>
      <c r="Z1148" s="158"/>
      <c r="AA1148" s="158"/>
    </row>
    <row r="1149" spans="1:27" ht="15.75" customHeight="1" x14ac:dyDescent="0.55000000000000004">
      <c r="A1149" s="162">
        <v>167</v>
      </c>
      <c r="B1149" s="162" t="s">
        <v>1953</v>
      </c>
      <c r="C1149" s="162" t="s">
        <v>1954</v>
      </c>
      <c r="D1149" s="163">
        <v>43511</v>
      </c>
      <c r="E1149" s="120" t="s">
        <v>3619</v>
      </c>
      <c r="F1149" s="131">
        <v>54</v>
      </c>
      <c r="G1149" s="120">
        <v>0</v>
      </c>
      <c r="H1149" s="131">
        <v>2</v>
      </c>
      <c r="I1149" s="131">
        <v>1</v>
      </c>
      <c r="J1149" s="133" t="s">
        <v>2387</v>
      </c>
      <c r="K1149" s="133">
        <v>3</v>
      </c>
      <c r="L1149" s="117">
        <v>67.099999999999994</v>
      </c>
      <c r="M1149" s="133">
        <f t="shared" si="33"/>
        <v>13.099999999999994</v>
      </c>
      <c r="N1149" s="157"/>
      <c r="O1149" s="158"/>
      <c r="P1149" s="158"/>
      <c r="Q1149" s="158"/>
      <c r="R1149" s="158"/>
      <c r="S1149" s="158"/>
      <c r="T1149" s="158"/>
      <c r="U1149" s="158"/>
      <c r="V1149" s="158"/>
      <c r="W1149" s="158"/>
      <c r="X1149" s="158"/>
      <c r="Y1149" s="158"/>
      <c r="Z1149" s="158"/>
      <c r="AA1149" s="158"/>
    </row>
    <row r="1150" spans="1:27" ht="15.75" customHeight="1" x14ac:dyDescent="0.55000000000000004">
      <c r="A1150" s="162">
        <v>167</v>
      </c>
      <c r="B1150" s="162" t="s">
        <v>1953</v>
      </c>
      <c r="C1150" s="162" t="s">
        <v>1954</v>
      </c>
      <c r="D1150" s="163">
        <v>43511</v>
      </c>
      <c r="E1150" s="120" t="s">
        <v>3620</v>
      </c>
      <c r="F1150" s="131">
        <v>37</v>
      </c>
      <c r="G1150" s="120">
        <v>0</v>
      </c>
      <c r="H1150" s="131">
        <v>0</v>
      </c>
      <c r="I1150" s="131">
        <v>1</v>
      </c>
      <c r="J1150" s="133" t="s">
        <v>2391</v>
      </c>
      <c r="K1150" s="133">
        <v>3</v>
      </c>
      <c r="L1150" s="117">
        <v>70.7</v>
      </c>
      <c r="M1150" s="133">
        <f t="shared" si="33"/>
        <v>33.700000000000003</v>
      </c>
      <c r="N1150" s="157"/>
      <c r="O1150" s="158"/>
      <c r="P1150" s="158"/>
      <c r="Q1150" s="158"/>
      <c r="R1150" s="158"/>
      <c r="S1150" s="158"/>
      <c r="T1150" s="158"/>
      <c r="U1150" s="158"/>
      <c r="V1150" s="158"/>
      <c r="W1150" s="158"/>
      <c r="X1150" s="158"/>
      <c r="Y1150" s="158"/>
      <c r="Z1150" s="158"/>
      <c r="AA1150" s="158"/>
    </row>
    <row r="1151" spans="1:27" ht="15.75" customHeight="1" x14ac:dyDescent="0.55000000000000004">
      <c r="A1151" s="162">
        <v>167</v>
      </c>
      <c r="B1151" s="162" t="s">
        <v>1953</v>
      </c>
      <c r="C1151" s="162" t="s">
        <v>1954</v>
      </c>
      <c r="D1151" s="163">
        <v>43511</v>
      </c>
      <c r="E1151" s="120" t="s">
        <v>3621</v>
      </c>
      <c r="F1151" s="131">
        <v>21</v>
      </c>
      <c r="G1151" s="120">
        <v>0</v>
      </c>
      <c r="H1151" s="131">
        <v>0</v>
      </c>
      <c r="I1151" s="131">
        <v>0</v>
      </c>
      <c r="J1151" s="133" t="s">
        <v>3622</v>
      </c>
      <c r="K1151" s="133">
        <v>3</v>
      </c>
      <c r="L1151" s="117">
        <v>74.7</v>
      </c>
      <c r="M1151" s="133">
        <f t="shared" si="33"/>
        <v>53.7</v>
      </c>
      <c r="N1151" s="157"/>
      <c r="O1151" s="158"/>
      <c r="P1151" s="158"/>
      <c r="Q1151" s="158"/>
      <c r="R1151" s="158"/>
      <c r="S1151" s="158"/>
      <c r="T1151" s="158"/>
      <c r="U1151" s="158"/>
      <c r="V1151" s="158"/>
      <c r="W1151" s="158"/>
      <c r="X1151" s="158"/>
      <c r="Y1151" s="158"/>
      <c r="Z1151" s="158"/>
      <c r="AA1151" s="158"/>
    </row>
    <row r="1152" spans="1:27" ht="15.75" customHeight="1" x14ac:dyDescent="0.55000000000000004">
      <c r="A1152" s="164">
        <v>168</v>
      </c>
      <c r="B1152" s="164" t="s">
        <v>1957</v>
      </c>
      <c r="C1152" s="164" t="s">
        <v>1958</v>
      </c>
      <c r="D1152" s="165">
        <v>43616</v>
      </c>
      <c r="E1152" s="120" t="s">
        <v>3623</v>
      </c>
      <c r="F1152" s="131">
        <v>39</v>
      </c>
      <c r="G1152" s="120">
        <v>1</v>
      </c>
      <c r="H1152" s="131">
        <v>1</v>
      </c>
      <c r="I1152" s="120">
        <v>1</v>
      </c>
      <c r="J1152" s="133" t="s">
        <v>2387</v>
      </c>
      <c r="K1152" s="133">
        <v>3</v>
      </c>
      <c r="L1152" s="117">
        <v>72.5</v>
      </c>
      <c r="M1152" s="133">
        <f t="shared" si="33"/>
        <v>33.5</v>
      </c>
      <c r="N1152" s="157"/>
      <c r="O1152" s="158"/>
      <c r="P1152" s="158"/>
      <c r="Q1152" s="158"/>
      <c r="R1152" s="158"/>
      <c r="S1152" s="158"/>
      <c r="T1152" s="158"/>
      <c r="U1152" s="158"/>
      <c r="V1152" s="158"/>
      <c r="W1152" s="158"/>
      <c r="X1152" s="158"/>
      <c r="Y1152" s="158"/>
      <c r="Z1152" s="158"/>
      <c r="AA1152" s="158"/>
    </row>
    <row r="1153" spans="1:27" ht="15.75" customHeight="1" x14ac:dyDescent="0.55000000000000004">
      <c r="A1153" s="164">
        <v>168</v>
      </c>
      <c r="B1153" s="164" t="s">
        <v>1957</v>
      </c>
      <c r="C1153" s="164" t="s">
        <v>1958</v>
      </c>
      <c r="D1153" s="165">
        <v>43616</v>
      </c>
      <c r="E1153" s="120" t="s">
        <v>3624</v>
      </c>
      <c r="F1153" s="131">
        <v>50</v>
      </c>
      <c r="G1153" s="120">
        <v>0</v>
      </c>
      <c r="H1153" s="131">
        <v>1</v>
      </c>
      <c r="I1153" s="120">
        <v>1</v>
      </c>
      <c r="J1153" s="133" t="s">
        <v>2387</v>
      </c>
      <c r="K1153" s="133">
        <v>3</v>
      </c>
      <c r="L1153" s="117">
        <v>60</v>
      </c>
      <c r="M1153" s="133">
        <f t="shared" si="33"/>
        <v>10</v>
      </c>
      <c r="N1153" s="157"/>
      <c r="O1153" s="158"/>
      <c r="P1153" s="158"/>
      <c r="Q1153" s="158"/>
      <c r="R1153" s="158"/>
      <c r="S1153" s="158"/>
      <c r="T1153" s="158"/>
      <c r="U1153" s="158"/>
      <c r="V1153" s="158"/>
      <c r="W1153" s="158"/>
      <c r="X1153" s="158"/>
      <c r="Y1153" s="158"/>
      <c r="Z1153" s="158"/>
      <c r="AA1153" s="158"/>
    </row>
    <row r="1154" spans="1:27" ht="15.75" customHeight="1" x14ac:dyDescent="0.55000000000000004">
      <c r="A1154" s="164">
        <v>168</v>
      </c>
      <c r="B1154" s="164" t="s">
        <v>1957</v>
      </c>
      <c r="C1154" s="164" t="s">
        <v>1958</v>
      </c>
      <c r="D1154" s="165">
        <v>43616</v>
      </c>
      <c r="E1154" s="120" t="s">
        <v>3625</v>
      </c>
      <c r="F1154" s="131">
        <v>39</v>
      </c>
      <c r="G1154" s="120">
        <v>1</v>
      </c>
      <c r="H1154" s="131">
        <v>0</v>
      </c>
      <c r="I1154" s="120">
        <v>1</v>
      </c>
      <c r="J1154" s="133" t="s">
        <v>2387</v>
      </c>
      <c r="K1154" s="133">
        <v>3</v>
      </c>
      <c r="L1154" s="117">
        <v>78.099999999999994</v>
      </c>
      <c r="M1154" s="133">
        <f t="shared" si="33"/>
        <v>39.099999999999994</v>
      </c>
      <c r="N1154" s="157"/>
      <c r="O1154" s="158"/>
      <c r="P1154" s="158"/>
      <c r="Q1154" s="158"/>
      <c r="R1154" s="158"/>
      <c r="S1154" s="158"/>
      <c r="T1154" s="158"/>
      <c r="U1154" s="158"/>
      <c r="V1154" s="158"/>
      <c r="W1154" s="158"/>
      <c r="X1154" s="158"/>
      <c r="Y1154" s="158"/>
      <c r="Z1154" s="158"/>
      <c r="AA1154" s="158"/>
    </row>
    <row r="1155" spans="1:27" ht="15.75" customHeight="1" x14ac:dyDescent="0.55000000000000004">
      <c r="A1155" s="164">
        <v>168</v>
      </c>
      <c r="B1155" s="164" t="s">
        <v>1957</v>
      </c>
      <c r="C1155" s="164" t="s">
        <v>1958</v>
      </c>
      <c r="D1155" s="165">
        <v>43616</v>
      </c>
      <c r="E1155" s="120" t="s">
        <v>3626</v>
      </c>
      <c r="F1155" s="131">
        <v>65</v>
      </c>
      <c r="G1155" s="120">
        <v>1</v>
      </c>
      <c r="H1155" s="131">
        <v>0</v>
      </c>
      <c r="I1155" s="120">
        <v>1</v>
      </c>
      <c r="J1155" s="133" t="s">
        <v>2387</v>
      </c>
      <c r="K1155" s="133">
        <v>3</v>
      </c>
      <c r="L1155" s="183">
        <v>72.2</v>
      </c>
      <c r="M1155" s="133">
        <f t="shared" si="33"/>
        <v>7.2000000000000028</v>
      </c>
      <c r="N1155" s="157"/>
      <c r="O1155" s="158"/>
      <c r="P1155" s="158"/>
      <c r="Q1155" s="158"/>
      <c r="R1155" s="158"/>
      <c r="S1155" s="158"/>
      <c r="T1155" s="158"/>
      <c r="U1155" s="158"/>
      <c r="V1155" s="158"/>
      <c r="W1155" s="158"/>
      <c r="X1155" s="158"/>
      <c r="Y1155" s="158"/>
      <c r="Z1155" s="158"/>
      <c r="AA1155" s="158"/>
    </row>
    <row r="1156" spans="1:27" ht="15.75" customHeight="1" x14ac:dyDescent="0.55000000000000004">
      <c r="A1156" s="164">
        <v>168</v>
      </c>
      <c r="B1156" s="164" t="s">
        <v>1957</v>
      </c>
      <c r="C1156" s="164" t="s">
        <v>1958</v>
      </c>
      <c r="D1156" s="165">
        <v>43616</v>
      </c>
      <c r="E1156" s="120" t="s">
        <v>3627</v>
      </c>
      <c r="F1156" s="131">
        <v>35</v>
      </c>
      <c r="G1156" s="120">
        <v>0</v>
      </c>
      <c r="H1156" s="131">
        <v>0</v>
      </c>
      <c r="I1156" s="120">
        <v>1</v>
      </c>
      <c r="J1156" s="133" t="s">
        <v>2387</v>
      </c>
      <c r="K1156" s="133">
        <v>3</v>
      </c>
      <c r="L1156" s="117">
        <v>70.7</v>
      </c>
      <c r="M1156" s="133">
        <f t="shared" si="33"/>
        <v>35.700000000000003</v>
      </c>
      <c r="N1156" s="157"/>
      <c r="O1156" s="158"/>
      <c r="P1156" s="158"/>
      <c r="Q1156" s="158"/>
      <c r="R1156" s="158"/>
      <c r="S1156" s="158"/>
      <c r="T1156" s="158"/>
      <c r="U1156" s="158"/>
      <c r="V1156" s="158"/>
      <c r="W1156" s="158"/>
      <c r="X1156" s="158"/>
      <c r="Y1156" s="158"/>
      <c r="Z1156" s="158"/>
      <c r="AA1156" s="158"/>
    </row>
    <row r="1157" spans="1:27" ht="15.75" customHeight="1" x14ac:dyDescent="0.55000000000000004">
      <c r="A1157" s="164">
        <v>168</v>
      </c>
      <c r="B1157" s="164" t="s">
        <v>1957</v>
      </c>
      <c r="C1157" s="164" t="s">
        <v>1958</v>
      </c>
      <c r="D1157" s="165">
        <v>43616</v>
      </c>
      <c r="E1157" s="120" t="s">
        <v>3628</v>
      </c>
      <c r="F1157" s="131">
        <v>52</v>
      </c>
      <c r="G1157" s="120">
        <v>0</v>
      </c>
      <c r="H1157" s="131">
        <v>1</v>
      </c>
      <c r="I1157" s="120">
        <v>1</v>
      </c>
      <c r="J1157" s="133" t="s">
        <v>2387</v>
      </c>
      <c r="K1157" s="133">
        <v>3</v>
      </c>
      <c r="L1157" s="117">
        <v>60</v>
      </c>
      <c r="M1157" s="133">
        <f t="shared" si="33"/>
        <v>8</v>
      </c>
      <c r="N1157" s="157"/>
      <c r="O1157" s="158"/>
      <c r="P1157" s="158"/>
      <c r="Q1157" s="158"/>
      <c r="R1157" s="158"/>
      <c r="S1157" s="158"/>
      <c r="T1157" s="158"/>
      <c r="U1157" s="158"/>
      <c r="V1157" s="158"/>
      <c r="W1157" s="158"/>
      <c r="X1157" s="158"/>
      <c r="Y1157" s="158"/>
      <c r="Z1157" s="158"/>
      <c r="AA1157" s="158"/>
    </row>
    <row r="1158" spans="1:27" ht="15.75" customHeight="1" x14ac:dyDescent="0.55000000000000004">
      <c r="A1158" s="164">
        <v>168</v>
      </c>
      <c r="B1158" s="164" t="s">
        <v>1957</v>
      </c>
      <c r="C1158" s="164" t="s">
        <v>1958</v>
      </c>
      <c r="D1158" s="165">
        <v>43616</v>
      </c>
      <c r="E1158" s="120" t="s">
        <v>3629</v>
      </c>
      <c r="F1158" s="131">
        <v>60</v>
      </c>
      <c r="G1158" s="120">
        <v>1</v>
      </c>
      <c r="H1158" s="131">
        <v>0</v>
      </c>
      <c r="I1158" s="120">
        <v>1</v>
      </c>
      <c r="J1158" s="133" t="s">
        <v>2387</v>
      </c>
      <c r="K1158" s="133">
        <v>3</v>
      </c>
      <c r="L1158" s="117">
        <v>74.099999999999994</v>
      </c>
      <c r="M1158" s="133">
        <f t="shared" si="33"/>
        <v>14.099999999999994</v>
      </c>
      <c r="N1158" s="157"/>
      <c r="O1158" s="158"/>
      <c r="P1158" s="158"/>
      <c r="Q1158" s="158"/>
      <c r="R1158" s="158"/>
      <c r="S1158" s="158"/>
      <c r="T1158" s="158"/>
      <c r="U1158" s="158"/>
      <c r="V1158" s="158"/>
      <c r="W1158" s="158"/>
      <c r="X1158" s="158"/>
      <c r="Y1158" s="158"/>
      <c r="Z1158" s="158"/>
      <c r="AA1158" s="158"/>
    </row>
    <row r="1159" spans="1:27" ht="15.75" customHeight="1" x14ac:dyDescent="0.55000000000000004">
      <c r="A1159" s="164">
        <v>168</v>
      </c>
      <c r="B1159" s="164" t="s">
        <v>1957</v>
      </c>
      <c r="C1159" s="164" t="s">
        <v>1958</v>
      </c>
      <c r="D1159" s="165">
        <v>43616</v>
      </c>
      <c r="E1159" s="120" t="s">
        <v>3630</v>
      </c>
      <c r="F1159" s="131">
        <v>65</v>
      </c>
      <c r="G1159" s="120">
        <v>0</v>
      </c>
      <c r="H1159" s="131">
        <v>3</v>
      </c>
      <c r="I1159" s="120">
        <v>1</v>
      </c>
      <c r="J1159" s="133" t="s">
        <v>2387</v>
      </c>
      <c r="K1159" s="133">
        <v>3</v>
      </c>
      <c r="L1159" s="117">
        <v>65.599999999999994</v>
      </c>
      <c r="M1159" s="133">
        <f t="shared" si="33"/>
        <v>0.59999999999999432</v>
      </c>
      <c r="N1159" s="157"/>
      <c r="O1159" s="158"/>
      <c r="P1159" s="158"/>
      <c r="Q1159" s="158"/>
      <c r="R1159" s="158"/>
      <c r="S1159" s="158"/>
      <c r="T1159" s="158"/>
      <c r="U1159" s="158"/>
      <c r="V1159" s="158"/>
      <c r="W1159" s="158"/>
      <c r="X1159" s="158"/>
      <c r="Y1159" s="158"/>
      <c r="Z1159" s="158"/>
      <c r="AA1159" s="158"/>
    </row>
    <row r="1160" spans="1:27" ht="15.75" customHeight="1" x14ac:dyDescent="0.55000000000000004">
      <c r="A1160" s="164">
        <v>168</v>
      </c>
      <c r="B1160" s="164" t="s">
        <v>1957</v>
      </c>
      <c r="C1160" s="164" t="s">
        <v>1958</v>
      </c>
      <c r="D1160" s="165">
        <v>43616</v>
      </c>
      <c r="E1160" s="120" t="s">
        <v>3631</v>
      </c>
      <c r="F1160" s="131">
        <v>42</v>
      </c>
      <c r="G1160" s="120">
        <v>1</v>
      </c>
      <c r="H1160" s="131">
        <v>0</v>
      </c>
      <c r="I1160" s="120">
        <v>1</v>
      </c>
      <c r="J1160" s="133" t="s">
        <v>2387</v>
      </c>
      <c r="K1160" s="133">
        <v>3</v>
      </c>
      <c r="L1160" s="117">
        <v>77.3</v>
      </c>
      <c r="M1160" s="133">
        <f t="shared" si="33"/>
        <v>35.299999999999997</v>
      </c>
      <c r="N1160" s="157"/>
      <c r="O1160" s="158"/>
      <c r="P1160" s="158"/>
      <c r="Q1160" s="158"/>
      <c r="R1160" s="158"/>
      <c r="S1160" s="158"/>
      <c r="T1160" s="158"/>
      <c r="U1160" s="158"/>
      <c r="V1160" s="158"/>
      <c r="W1160" s="158"/>
      <c r="X1160" s="158"/>
      <c r="Y1160" s="158"/>
      <c r="Z1160" s="158"/>
      <c r="AA1160" s="158"/>
    </row>
    <row r="1161" spans="1:27" ht="15.75" customHeight="1" x14ac:dyDescent="0.55000000000000004">
      <c r="A1161" s="164">
        <v>168</v>
      </c>
      <c r="B1161" s="164" t="s">
        <v>1957</v>
      </c>
      <c r="C1161" s="164" t="s">
        <v>1958</v>
      </c>
      <c r="D1161" s="165">
        <v>43616</v>
      </c>
      <c r="E1161" s="120" t="s">
        <v>3632</v>
      </c>
      <c r="F1161" s="131">
        <v>54</v>
      </c>
      <c r="G1161" s="120">
        <v>0</v>
      </c>
      <c r="H1161" s="131">
        <v>0</v>
      </c>
      <c r="I1161" s="120">
        <v>1</v>
      </c>
      <c r="J1161" s="133" t="s">
        <v>2387</v>
      </c>
      <c r="K1161" s="133">
        <v>3</v>
      </c>
      <c r="L1161" s="117">
        <v>68</v>
      </c>
      <c r="M1161" s="133">
        <f t="shared" si="33"/>
        <v>14</v>
      </c>
      <c r="N1161" s="157"/>
      <c r="O1161" s="158"/>
      <c r="P1161" s="158"/>
      <c r="Q1161" s="158"/>
      <c r="R1161" s="158"/>
      <c r="S1161" s="158"/>
      <c r="T1161" s="158"/>
      <c r="U1161" s="158"/>
      <c r="V1161" s="158"/>
      <c r="W1161" s="158"/>
      <c r="X1161" s="158"/>
      <c r="Y1161" s="158"/>
      <c r="Z1161" s="158"/>
      <c r="AA1161" s="158"/>
    </row>
    <row r="1162" spans="1:27" ht="15.75" customHeight="1" x14ac:dyDescent="0.55000000000000004">
      <c r="A1162" s="164">
        <v>168</v>
      </c>
      <c r="B1162" s="164" t="s">
        <v>1957</v>
      </c>
      <c r="C1162" s="164" t="s">
        <v>1958</v>
      </c>
      <c r="D1162" s="165">
        <v>43616</v>
      </c>
      <c r="E1162" s="120" t="s">
        <v>3633</v>
      </c>
      <c r="F1162" s="131">
        <v>57</v>
      </c>
      <c r="G1162" s="120">
        <v>0</v>
      </c>
      <c r="H1162" s="131">
        <v>0</v>
      </c>
      <c r="I1162" s="131">
        <v>0</v>
      </c>
      <c r="J1162" s="133" t="s">
        <v>853</v>
      </c>
      <c r="K1162" s="133">
        <v>0</v>
      </c>
      <c r="L1162" s="117">
        <v>67.400000000000006</v>
      </c>
      <c r="M1162" s="133">
        <f t="shared" si="33"/>
        <v>10.400000000000006</v>
      </c>
      <c r="N1162" s="157"/>
      <c r="O1162" s="158"/>
      <c r="P1162" s="158"/>
      <c r="Q1162" s="158"/>
      <c r="R1162" s="158"/>
      <c r="S1162" s="158"/>
      <c r="T1162" s="158"/>
      <c r="U1162" s="158"/>
      <c r="V1162" s="158"/>
      <c r="W1162" s="158"/>
      <c r="X1162" s="158"/>
      <c r="Y1162" s="158"/>
      <c r="Z1162" s="158"/>
      <c r="AA1162" s="158"/>
    </row>
    <row r="1163" spans="1:27" ht="15.75" customHeight="1" x14ac:dyDescent="0.55000000000000004">
      <c r="A1163" s="164">
        <v>168</v>
      </c>
      <c r="B1163" s="164" t="s">
        <v>1957</v>
      </c>
      <c r="C1163" s="164" t="s">
        <v>1958</v>
      </c>
      <c r="D1163" s="165">
        <v>43616</v>
      </c>
      <c r="E1163" s="120" t="s">
        <v>3634</v>
      </c>
      <c r="F1163" s="131">
        <v>72</v>
      </c>
      <c r="G1163" s="120">
        <v>0</v>
      </c>
      <c r="H1163" s="131">
        <v>0</v>
      </c>
      <c r="I1163" s="120">
        <v>1</v>
      </c>
      <c r="J1163" s="133" t="s">
        <v>2387</v>
      </c>
      <c r="K1163" s="133">
        <v>3</v>
      </c>
      <c r="L1163" s="183">
        <v>83</v>
      </c>
      <c r="M1163" s="133">
        <f t="shared" si="33"/>
        <v>11</v>
      </c>
      <c r="N1163" s="157"/>
      <c r="O1163" s="158"/>
      <c r="P1163" s="158"/>
      <c r="Q1163" s="158"/>
      <c r="R1163" s="158"/>
      <c r="S1163" s="158"/>
      <c r="T1163" s="158"/>
      <c r="U1163" s="158"/>
      <c r="V1163" s="158"/>
      <c r="W1163" s="158"/>
      <c r="X1163" s="158"/>
      <c r="Y1163" s="158"/>
      <c r="Z1163" s="158"/>
      <c r="AA1163" s="158"/>
    </row>
    <row r="1164" spans="1:27" ht="15.75" customHeight="1" x14ac:dyDescent="0.55000000000000004">
      <c r="A1164" s="166">
        <v>169</v>
      </c>
      <c r="B1164" s="166" t="s">
        <v>1963</v>
      </c>
      <c r="C1164" s="166" t="s">
        <v>1082</v>
      </c>
      <c r="D1164" s="167">
        <v>43680</v>
      </c>
      <c r="E1164" s="120" t="s">
        <v>3635</v>
      </c>
      <c r="F1164" s="131">
        <v>25</v>
      </c>
      <c r="G1164" s="120">
        <v>1</v>
      </c>
      <c r="H1164" s="131">
        <v>0</v>
      </c>
      <c r="I1164" s="120">
        <v>0</v>
      </c>
      <c r="J1164" s="133" t="s">
        <v>853</v>
      </c>
      <c r="K1164" s="133">
        <v>0</v>
      </c>
      <c r="L1164" s="117">
        <v>79.599999999999994</v>
      </c>
      <c r="M1164" s="133">
        <f t="shared" si="33"/>
        <v>54.599999999999994</v>
      </c>
      <c r="N1164" s="157"/>
      <c r="O1164" s="158"/>
      <c r="P1164" s="158"/>
      <c r="Q1164" s="158"/>
      <c r="R1164" s="158"/>
      <c r="S1164" s="158"/>
      <c r="T1164" s="158"/>
      <c r="U1164" s="158"/>
      <c r="V1164" s="158"/>
      <c r="W1164" s="158"/>
      <c r="X1164" s="158"/>
      <c r="Y1164" s="158"/>
      <c r="Z1164" s="158"/>
      <c r="AA1164" s="158"/>
    </row>
    <row r="1165" spans="1:27" ht="15.75" customHeight="1" x14ac:dyDescent="0.55000000000000004">
      <c r="A1165" s="166">
        <v>169</v>
      </c>
      <c r="B1165" s="166" t="s">
        <v>1963</v>
      </c>
      <c r="C1165" s="166" t="s">
        <v>1082</v>
      </c>
      <c r="D1165" s="167">
        <v>43680</v>
      </c>
      <c r="E1165" s="120" t="s">
        <v>3636</v>
      </c>
      <c r="F1165" s="131">
        <v>23</v>
      </c>
      <c r="G1165" s="120">
        <v>0</v>
      </c>
      <c r="H1165" s="131">
        <v>2</v>
      </c>
      <c r="I1165" s="120">
        <v>0</v>
      </c>
      <c r="J1165" s="133" t="s">
        <v>853</v>
      </c>
      <c r="K1165" s="133">
        <v>0</v>
      </c>
      <c r="L1165" s="117">
        <v>72.5</v>
      </c>
      <c r="M1165" s="133">
        <f t="shared" si="33"/>
        <v>49.5</v>
      </c>
      <c r="N1165" s="157"/>
      <c r="O1165" s="158"/>
      <c r="P1165" s="158"/>
      <c r="Q1165" s="158"/>
      <c r="R1165" s="158"/>
      <c r="S1165" s="158"/>
      <c r="T1165" s="158"/>
      <c r="U1165" s="158"/>
      <c r="V1165" s="158"/>
      <c r="W1165" s="158"/>
      <c r="X1165" s="158"/>
      <c r="Y1165" s="158"/>
      <c r="Z1165" s="158"/>
      <c r="AA1165" s="158"/>
    </row>
    <row r="1166" spans="1:27" ht="15.75" customHeight="1" x14ac:dyDescent="0.55000000000000004">
      <c r="A1166" s="166">
        <v>169</v>
      </c>
      <c r="B1166" s="166" t="s">
        <v>1963</v>
      </c>
      <c r="C1166" s="166" t="s">
        <v>1082</v>
      </c>
      <c r="D1166" s="167">
        <v>43680</v>
      </c>
      <c r="E1166" s="120" t="s">
        <v>3637</v>
      </c>
      <c r="F1166" s="131">
        <v>60</v>
      </c>
      <c r="G1166" s="120">
        <v>0</v>
      </c>
      <c r="H1166" s="131">
        <v>2</v>
      </c>
      <c r="I1166" s="120">
        <v>0</v>
      </c>
      <c r="J1166" s="133" t="s">
        <v>853</v>
      </c>
      <c r="K1166" s="133">
        <v>0</v>
      </c>
      <c r="L1166" s="117">
        <v>66.599999999999994</v>
      </c>
      <c r="M1166" s="133">
        <f t="shared" si="33"/>
        <v>6.5999999999999943</v>
      </c>
      <c r="N1166" s="157"/>
      <c r="O1166" s="158"/>
      <c r="P1166" s="158"/>
      <c r="Q1166" s="158"/>
      <c r="R1166" s="158"/>
      <c r="S1166" s="158"/>
      <c r="T1166" s="158"/>
      <c r="U1166" s="158"/>
      <c r="V1166" s="158"/>
      <c r="W1166" s="158"/>
      <c r="X1166" s="158"/>
      <c r="Y1166" s="158"/>
      <c r="Z1166" s="158"/>
      <c r="AA1166" s="158"/>
    </row>
    <row r="1167" spans="1:27" ht="15.75" customHeight="1" x14ac:dyDescent="0.55000000000000004">
      <c r="A1167" s="166">
        <v>169</v>
      </c>
      <c r="B1167" s="166" t="s">
        <v>1963</v>
      </c>
      <c r="C1167" s="166" t="s">
        <v>1082</v>
      </c>
      <c r="D1167" s="167">
        <v>43680</v>
      </c>
      <c r="E1167" s="120" t="s">
        <v>3638</v>
      </c>
      <c r="F1167" s="131">
        <v>41</v>
      </c>
      <c r="G1167" s="120">
        <v>0</v>
      </c>
      <c r="H1167" s="131">
        <v>2</v>
      </c>
      <c r="I1167" s="120">
        <v>0</v>
      </c>
      <c r="J1167" s="133" t="s">
        <v>853</v>
      </c>
      <c r="K1167" s="133">
        <v>0</v>
      </c>
      <c r="L1167" s="117">
        <v>70</v>
      </c>
      <c r="M1167" s="133">
        <f t="shared" si="33"/>
        <v>29</v>
      </c>
      <c r="N1167" s="157"/>
      <c r="O1167" s="158"/>
      <c r="P1167" s="158"/>
      <c r="Q1167" s="158"/>
      <c r="R1167" s="158"/>
      <c r="S1167" s="158"/>
      <c r="T1167" s="158"/>
      <c r="U1167" s="158"/>
      <c r="V1167" s="158"/>
      <c r="W1167" s="158"/>
      <c r="X1167" s="158"/>
      <c r="Y1167" s="158"/>
      <c r="Z1167" s="158"/>
      <c r="AA1167" s="158"/>
    </row>
    <row r="1168" spans="1:27" ht="15.75" customHeight="1" x14ac:dyDescent="0.55000000000000004">
      <c r="A1168" s="166">
        <v>169</v>
      </c>
      <c r="B1168" s="166" t="s">
        <v>1963</v>
      </c>
      <c r="C1168" s="166" t="s">
        <v>1082</v>
      </c>
      <c r="D1168" s="167">
        <v>43680</v>
      </c>
      <c r="E1168" s="120" t="s">
        <v>3639</v>
      </c>
      <c r="F1168" s="131">
        <v>56</v>
      </c>
      <c r="G1168" s="120">
        <v>1</v>
      </c>
      <c r="H1168" s="131">
        <v>2</v>
      </c>
      <c r="I1168" s="120">
        <v>0</v>
      </c>
      <c r="J1168" s="133" t="s">
        <v>853</v>
      </c>
      <c r="K1168" s="133">
        <v>0</v>
      </c>
      <c r="L1168" s="117">
        <v>73.099999999999994</v>
      </c>
      <c r="M1168" s="133">
        <f t="shared" si="33"/>
        <v>17.099999999999994</v>
      </c>
      <c r="N1168" s="157"/>
      <c r="O1168" s="158"/>
      <c r="P1168" s="158"/>
      <c r="Q1168" s="158"/>
      <c r="R1168" s="158"/>
      <c r="S1168" s="158"/>
      <c r="T1168" s="158"/>
      <c r="U1168" s="158"/>
      <c r="V1168" s="158"/>
      <c r="W1168" s="158"/>
      <c r="X1168" s="158"/>
      <c r="Y1168" s="158"/>
      <c r="Z1168" s="158"/>
      <c r="AA1168" s="158"/>
    </row>
    <row r="1169" spans="1:27" ht="15.75" customHeight="1" x14ac:dyDescent="0.55000000000000004">
      <c r="A1169" s="166">
        <v>169</v>
      </c>
      <c r="B1169" s="166" t="s">
        <v>1963</v>
      </c>
      <c r="C1169" s="166" t="s">
        <v>1082</v>
      </c>
      <c r="D1169" s="167">
        <v>43680</v>
      </c>
      <c r="E1169" s="120" t="s">
        <v>3640</v>
      </c>
      <c r="F1169" s="131">
        <v>77</v>
      </c>
      <c r="G1169" s="120">
        <v>0</v>
      </c>
      <c r="H1169" s="131">
        <v>2</v>
      </c>
      <c r="I1169" s="120">
        <v>0</v>
      </c>
      <c r="J1169" s="133" t="s">
        <v>853</v>
      </c>
      <c r="K1169" s="133">
        <v>0</v>
      </c>
      <c r="L1169" s="117">
        <v>83.7</v>
      </c>
      <c r="M1169" s="133">
        <f t="shared" si="33"/>
        <v>6.7000000000000028</v>
      </c>
      <c r="N1169" s="157"/>
      <c r="O1169" s="158"/>
      <c r="P1169" s="158"/>
      <c r="Q1169" s="158"/>
      <c r="R1169" s="158"/>
      <c r="S1169" s="158"/>
      <c r="T1169" s="158"/>
      <c r="U1169" s="158"/>
      <c r="V1169" s="158"/>
      <c r="W1169" s="158"/>
      <c r="X1169" s="158"/>
      <c r="Y1169" s="158"/>
      <c r="Z1169" s="158"/>
      <c r="AA1169" s="158"/>
    </row>
    <row r="1170" spans="1:27" ht="15.75" customHeight="1" x14ac:dyDescent="0.55000000000000004">
      <c r="A1170" s="166">
        <v>169</v>
      </c>
      <c r="B1170" s="166" t="s">
        <v>1963</v>
      </c>
      <c r="C1170" s="166" t="s">
        <v>1082</v>
      </c>
      <c r="D1170" s="167">
        <v>43680</v>
      </c>
      <c r="E1170" s="120" t="s">
        <v>3641</v>
      </c>
      <c r="F1170" s="131">
        <v>86</v>
      </c>
      <c r="G1170" s="120">
        <v>1</v>
      </c>
      <c r="H1170" s="131">
        <v>2</v>
      </c>
      <c r="I1170" s="120">
        <v>0</v>
      </c>
      <c r="J1170" s="133" t="s">
        <v>853</v>
      </c>
      <c r="K1170" s="133">
        <v>0</v>
      </c>
      <c r="L1170" s="117">
        <v>88.8</v>
      </c>
      <c r="M1170" s="133">
        <f t="shared" si="33"/>
        <v>2.7999999999999972</v>
      </c>
      <c r="N1170" s="157"/>
      <c r="O1170" s="158"/>
      <c r="P1170" s="158"/>
      <c r="Q1170" s="158"/>
      <c r="R1170" s="158"/>
      <c r="S1170" s="158"/>
      <c r="T1170" s="158"/>
      <c r="U1170" s="158"/>
      <c r="V1170" s="158"/>
      <c r="W1170" s="158"/>
      <c r="X1170" s="158"/>
      <c r="Y1170" s="158"/>
      <c r="Z1170" s="158"/>
      <c r="AA1170" s="158"/>
    </row>
    <row r="1171" spans="1:27" ht="15.75" customHeight="1" x14ac:dyDescent="0.55000000000000004">
      <c r="A1171" s="166">
        <v>169</v>
      </c>
      <c r="B1171" s="166" t="s">
        <v>1963</v>
      </c>
      <c r="C1171" s="166" t="s">
        <v>1082</v>
      </c>
      <c r="D1171" s="167">
        <v>43680</v>
      </c>
      <c r="E1171" s="120" t="s">
        <v>3642</v>
      </c>
      <c r="F1171" s="131">
        <v>66</v>
      </c>
      <c r="G1171" s="120">
        <v>0</v>
      </c>
      <c r="H1171" s="131">
        <v>0</v>
      </c>
      <c r="I1171" s="120">
        <v>0</v>
      </c>
      <c r="J1171" s="133" t="s">
        <v>853</v>
      </c>
      <c r="K1171" s="133">
        <v>0</v>
      </c>
      <c r="L1171" s="183">
        <v>66.5</v>
      </c>
      <c r="M1171" s="133">
        <f t="shared" si="33"/>
        <v>0.5</v>
      </c>
      <c r="N1171" s="157"/>
      <c r="O1171" s="158"/>
      <c r="P1171" s="158"/>
      <c r="Q1171" s="158"/>
      <c r="R1171" s="158"/>
      <c r="S1171" s="158"/>
      <c r="T1171" s="158"/>
      <c r="U1171" s="158"/>
      <c r="V1171" s="158"/>
      <c r="W1171" s="158"/>
      <c r="X1171" s="158"/>
      <c r="Y1171" s="158"/>
      <c r="Z1171" s="158"/>
      <c r="AA1171" s="158"/>
    </row>
    <row r="1172" spans="1:27" ht="15.75" customHeight="1" x14ac:dyDescent="0.55000000000000004">
      <c r="A1172" s="166">
        <v>169</v>
      </c>
      <c r="B1172" s="166" t="s">
        <v>1963</v>
      </c>
      <c r="C1172" s="166" t="s">
        <v>1082</v>
      </c>
      <c r="D1172" s="167">
        <v>43680</v>
      </c>
      <c r="E1172" s="120" t="s">
        <v>3643</v>
      </c>
      <c r="F1172" s="131">
        <v>63</v>
      </c>
      <c r="G1172" s="120">
        <v>0</v>
      </c>
      <c r="H1172" s="131">
        <v>0</v>
      </c>
      <c r="I1172" s="120">
        <v>0</v>
      </c>
      <c r="J1172" s="133" t="s">
        <v>853</v>
      </c>
      <c r="K1172" s="133">
        <v>0</v>
      </c>
      <c r="L1172" s="117">
        <v>67.400000000000006</v>
      </c>
      <c r="M1172" s="133">
        <f t="shared" si="33"/>
        <v>4.4000000000000057</v>
      </c>
      <c r="N1172" s="157"/>
      <c r="O1172" s="158"/>
      <c r="P1172" s="158"/>
      <c r="Q1172" s="158"/>
      <c r="R1172" s="158"/>
      <c r="S1172" s="158"/>
      <c r="T1172" s="158"/>
      <c r="U1172" s="158"/>
      <c r="V1172" s="158"/>
      <c r="W1172" s="158"/>
      <c r="X1172" s="158"/>
      <c r="Y1172" s="158"/>
      <c r="Z1172" s="158"/>
      <c r="AA1172" s="158"/>
    </row>
    <row r="1173" spans="1:27" ht="15.75" customHeight="1" x14ac:dyDescent="0.55000000000000004">
      <c r="A1173" s="166">
        <v>169</v>
      </c>
      <c r="B1173" s="166" t="s">
        <v>1963</v>
      </c>
      <c r="C1173" s="166" t="s">
        <v>1082</v>
      </c>
      <c r="D1173" s="167">
        <v>43680</v>
      </c>
      <c r="E1173" s="120" t="s">
        <v>3644</v>
      </c>
      <c r="F1173" s="131">
        <v>90</v>
      </c>
      <c r="G1173" s="120">
        <v>0</v>
      </c>
      <c r="H1173" s="131">
        <v>2</v>
      </c>
      <c r="I1173" s="120">
        <v>0</v>
      </c>
      <c r="J1173" s="133" t="s">
        <v>853</v>
      </c>
      <c r="K1173" s="133">
        <v>0</v>
      </c>
      <c r="L1173" s="117">
        <v>86.7</v>
      </c>
      <c r="M1173" s="133">
        <v>0</v>
      </c>
      <c r="N1173" s="157"/>
      <c r="O1173" s="158"/>
      <c r="P1173" s="158"/>
      <c r="Q1173" s="158"/>
      <c r="R1173" s="158"/>
      <c r="S1173" s="158"/>
      <c r="T1173" s="158"/>
      <c r="U1173" s="158"/>
      <c r="V1173" s="158"/>
      <c r="W1173" s="158"/>
      <c r="X1173" s="158"/>
      <c r="Y1173" s="158"/>
      <c r="Z1173" s="158"/>
      <c r="AA1173" s="158"/>
    </row>
    <row r="1174" spans="1:27" ht="15.75" customHeight="1" x14ac:dyDescent="0.55000000000000004">
      <c r="A1174" s="166">
        <v>169</v>
      </c>
      <c r="B1174" s="166" t="s">
        <v>1963</v>
      </c>
      <c r="C1174" s="166" t="s">
        <v>1082</v>
      </c>
      <c r="D1174" s="167">
        <v>43680</v>
      </c>
      <c r="E1174" s="131" t="s">
        <v>3645</v>
      </c>
      <c r="F1174" s="131">
        <v>61</v>
      </c>
      <c r="G1174" s="120">
        <v>1</v>
      </c>
      <c r="H1174" s="131">
        <v>2</v>
      </c>
      <c r="I1174" s="120">
        <v>0</v>
      </c>
      <c r="J1174" s="133" t="s">
        <v>853</v>
      </c>
      <c r="K1174" s="133">
        <v>0</v>
      </c>
      <c r="L1174" s="117">
        <v>73.099999999999994</v>
      </c>
      <c r="M1174" s="133">
        <f t="shared" ref="M1174:M1182" si="34">L1174-F1174</f>
        <v>12.099999999999994</v>
      </c>
      <c r="N1174" s="157"/>
      <c r="O1174" s="158"/>
      <c r="P1174" s="158"/>
      <c r="Q1174" s="158"/>
      <c r="R1174" s="158"/>
      <c r="S1174" s="158"/>
      <c r="T1174" s="158"/>
      <c r="U1174" s="158"/>
      <c r="V1174" s="158"/>
      <c r="W1174" s="158"/>
      <c r="X1174" s="158"/>
      <c r="Y1174" s="158"/>
      <c r="Z1174" s="158"/>
      <c r="AA1174" s="158"/>
    </row>
    <row r="1175" spans="1:27" ht="15.75" customHeight="1" x14ac:dyDescent="0.55000000000000004">
      <c r="A1175" s="166">
        <v>169</v>
      </c>
      <c r="B1175" s="166" t="s">
        <v>1963</v>
      </c>
      <c r="C1175" s="166" t="s">
        <v>1082</v>
      </c>
      <c r="D1175" s="167">
        <v>43680</v>
      </c>
      <c r="E1175" s="131" t="s">
        <v>3646</v>
      </c>
      <c r="F1175" s="131">
        <v>46</v>
      </c>
      <c r="G1175" s="120">
        <v>0</v>
      </c>
      <c r="H1175" s="131">
        <v>2</v>
      </c>
      <c r="I1175" s="120">
        <v>0</v>
      </c>
      <c r="J1175" s="133" t="s">
        <v>853</v>
      </c>
      <c r="K1175" s="133">
        <v>0</v>
      </c>
      <c r="L1175" s="117">
        <v>68.8</v>
      </c>
      <c r="M1175" s="133">
        <f t="shared" si="34"/>
        <v>22.799999999999997</v>
      </c>
      <c r="N1175" s="157"/>
      <c r="O1175" s="158"/>
      <c r="P1175" s="158"/>
      <c r="Q1175" s="158"/>
      <c r="R1175" s="158"/>
      <c r="S1175" s="158"/>
      <c r="T1175" s="158"/>
      <c r="U1175" s="158"/>
      <c r="V1175" s="158"/>
      <c r="W1175" s="158"/>
      <c r="X1175" s="158"/>
      <c r="Y1175" s="158"/>
      <c r="Z1175" s="158"/>
      <c r="AA1175" s="158"/>
    </row>
    <row r="1176" spans="1:27" ht="15.75" customHeight="1" x14ac:dyDescent="0.55000000000000004">
      <c r="A1176" s="166">
        <v>169</v>
      </c>
      <c r="B1176" s="166" t="s">
        <v>1963</v>
      </c>
      <c r="C1176" s="166" t="s">
        <v>1082</v>
      </c>
      <c r="D1176" s="167">
        <v>43680</v>
      </c>
      <c r="E1176" s="120" t="s">
        <v>3647</v>
      </c>
      <c r="F1176" s="131">
        <v>57</v>
      </c>
      <c r="G1176" s="120">
        <v>1</v>
      </c>
      <c r="H1176" s="131">
        <v>2</v>
      </c>
      <c r="I1176" s="120">
        <v>0</v>
      </c>
      <c r="J1176" s="133" t="s">
        <v>853</v>
      </c>
      <c r="K1176" s="133">
        <v>0</v>
      </c>
      <c r="L1176" s="117">
        <v>73.099999999999994</v>
      </c>
      <c r="M1176" s="133">
        <f t="shared" si="34"/>
        <v>16.099999999999994</v>
      </c>
      <c r="N1176" s="157"/>
      <c r="O1176" s="158"/>
      <c r="P1176" s="158"/>
      <c r="Q1176" s="158"/>
      <c r="R1176" s="158"/>
      <c r="S1176" s="158"/>
      <c r="T1176" s="158"/>
      <c r="U1176" s="158"/>
      <c r="V1176" s="158"/>
      <c r="W1176" s="158"/>
      <c r="X1176" s="158"/>
      <c r="Y1176" s="158"/>
      <c r="Z1176" s="158"/>
      <c r="AA1176" s="158"/>
    </row>
    <row r="1177" spans="1:27" ht="15.75" customHeight="1" x14ac:dyDescent="0.55000000000000004">
      <c r="A1177" s="166">
        <v>169</v>
      </c>
      <c r="B1177" s="166" t="s">
        <v>1963</v>
      </c>
      <c r="C1177" s="166" t="s">
        <v>1082</v>
      </c>
      <c r="D1177" s="167">
        <v>43680</v>
      </c>
      <c r="E1177" s="120" t="s">
        <v>3648</v>
      </c>
      <c r="F1177" s="131">
        <v>66</v>
      </c>
      <c r="G1177" s="120">
        <v>1</v>
      </c>
      <c r="H1177" s="131">
        <v>2</v>
      </c>
      <c r="I1177" s="120">
        <v>0</v>
      </c>
      <c r="J1177" s="133" t="s">
        <v>853</v>
      </c>
      <c r="K1177" s="133">
        <v>0</v>
      </c>
      <c r="L1177" s="117">
        <v>71.099999999999994</v>
      </c>
      <c r="M1177" s="133">
        <f t="shared" si="34"/>
        <v>5.0999999999999943</v>
      </c>
      <c r="N1177" s="157"/>
      <c r="O1177" s="158"/>
      <c r="P1177" s="158"/>
      <c r="Q1177" s="158"/>
      <c r="R1177" s="158"/>
      <c r="S1177" s="158"/>
      <c r="T1177" s="158"/>
      <c r="U1177" s="158"/>
      <c r="V1177" s="158"/>
      <c r="W1177" s="158"/>
      <c r="X1177" s="158"/>
      <c r="Y1177" s="158"/>
      <c r="Z1177" s="158"/>
      <c r="AA1177" s="158"/>
    </row>
    <row r="1178" spans="1:27" ht="15.75" customHeight="1" x14ac:dyDescent="0.55000000000000004">
      <c r="A1178" s="166">
        <v>169</v>
      </c>
      <c r="B1178" s="166" t="s">
        <v>1963</v>
      </c>
      <c r="C1178" s="166" t="s">
        <v>1082</v>
      </c>
      <c r="D1178" s="167">
        <v>43680</v>
      </c>
      <c r="E1178" s="120" t="s">
        <v>3649</v>
      </c>
      <c r="F1178" s="131">
        <v>63</v>
      </c>
      <c r="G1178" s="120">
        <v>1</v>
      </c>
      <c r="H1178" s="131">
        <v>0</v>
      </c>
      <c r="I1178" s="120">
        <v>0</v>
      </c>
      <c r="J1178" s="133" t="s">
        <v>853</v>
      </c>
      <c r="K1178" s="133">
        <v>0</v>
      </c>
      <c r="L1178" s="117">
        <v>74.099999999999994</v>
      </c>
      <c r="M1178" s="133">
        <f t="shared" si="34"/>
        <v>11.099999999999994</v>
      </c>
      <c r="N1178" s="157"/>
      <c r="O1178" s="158"/>
      <c r="P1178" s="158"/>
      <c r="Q1178" s="158"/>
      <c r="R1178" s="158"/>
      <c r="S1178" s="158"/>
      <c r="T1178" s="158"/>
      <c r="U1178" s="158"/>
      <c r="V1178" s="158"/>
      <c r="W1178" s="158"/>
      <c r="X1178" s="158"/>
      <c r="Y1178" s="158"/>
      <c r="Z1178" s="158"/>
      <c r="AA1178" s="158"/>
    </row>
    <row r="1179" spans="1:27" ht="15.75" customHeight="1" x14ac:dyDescent="0.55000000000000004">
      <c r="A1179" s="166">
        <v>169</v>
      </c>
      <c r="B1179" s="166" t="s">
        <v>1963</v>
      </c>
      <c r="C1179" s="166" t="s">
        <v>1082</v>
      </c>
      <c r="D1179" s="167">
        <v>43680</v>
      </c>
      <c r="E1179" s="120" t="s">
        <v>3650</v>
      </c>
      <c r="F1179" s="131">
        <v>15</v>
      </c>
      <c r="G1179" s="120">
        <v>0</v>
      </c>
      <c r="H1179" s="131">
        <v>2</v>
      </c>
      <c r="I1179" s="120">
        <v>0</v>
      </c>
      <c r="J1179" s="133" t="s">
        <v>853</v>
      </c>
      <c r="K1179" s="133">
        <v>0</v>
      </c>
      <c r="L1179" s="117">
        <v>75</v>
      </c>
      <c r="M1179" s="133">
        <f t="shared" si="34"/>
        <v>60</v>
      </c>
      <c r="N1179" s="157"/>
      <c r="O1179" s="158"/>
      <c r="P1179" s="158"/>
      <c r="Q1179" s="158"/>
      <c r="R1179" s="158"/>
      <c r="S1179" s="158"/>
      <c r="T1179" s="158"/>
      <c r="U1179" s="158"/>
      <c r="V1179" s="158"/>
      <c r="W1179" s="158"/>
      <c r="X1179" s="158"/>
      <c r="Y1179" s="158"/>
      <c r="Z1179" s="158"/>
      <c r="AA1179" s="158"/>
    </row>
    <row r="1180" spans="1:27" ht="15.75" customHeight="1" x14ac:dyDescent="0.55000000000000004">
      <c r="A1180" s="166">
        <v>169</v>
      </c>
      <c r="B1180" s="166" t="s">
        <v>1963</v>
      </c>
      <c r="C1180" s="166" t="s">
        <v>1082</v>
      </c>
      <c r="D1180" s="167">
        <v>43680</v>
      </c>
      <c r="E1180" s="120" t="s">
        <v>3651</v>
      </c>
      <c r="F1180" s="131">
        <v>58</v>
      </c>
      <c r="G1180" s="120">
        <v>1</v>
      </c>
      <c r="H1180" s="131">
        <v>2</v>
      </c>
      <c r="I1180" s="120">
        <v>0</v>
      </c>
      <c r="J1180" s="133" t="s">
        <v>853</v>
      </c>
      <c r="K1180" s="133">
        <v>0</v>
      </c>
      <c r="L1180" s="117">
        <v>73.099999999999994</v>
      </c>
      <c r="M1180" s="133">
        <f t="shared" si="34"/>
        <v>15.099999999999994</v>
      </c>
      <c r="N1180" s="157"/>
      <c r="O1180" s="158"/>
      <c r="P1180" s="158"/>
      <c r="Q1180" s="158"/>
      <c r="R1180" s="158"/>
      <c r="S1180" s="158"/>
      <c r="T1180" s="158"/>
      <c r="U1180" s="158"/>
      <c r="V1180" s="158"/>
      <c r="W1180" s="158"/>
      <c r="X1180" s="158"/>
      <c r="Y1180" s="158"/>
      <c r="Z1180" s="158"/>
      <c r="AA1180" s="158"/>
    </row>
    <row r="1181" spans="1:27" ht="15.75" customHeight="1" x14ac:dyDescent="0.55000000000000004">
      <c r="A1181" s="166">
        <v>169</v>
      </c>
      <c r="B1181" s="166" t="s">
        <v>1963</v>
      </c>
      <c r="C1181" s="166" t="s">
        <v>1082</v>
      </c>
      <c r="D1181" s="167">
        <v>43680</v>
      </c>
      <c r="E1181" s="131" t="s">
        <v>3652</v>
      </c>
      <c r="F1181" s="131">
        <v>82</v>
      </c>
      <c r="G1181" s="120">
        <v>1</v>
      </c>
      <c r="H1181" s="131">
        <v>2</v>
      </c>
      <c r="I1181" s="120">
        <v>0</v>
      </c>
      <c r="J1181" s="133" t="s">
        <v>853</v>
      </c>
      <c r="K1181" s="133">
        <v>0</v>
      </c>
      <c r="L1181" s="117">
        <v>89.2</v>
      </c>
      <c r="M1181" s="133">
        <f t="shared" si="34"/>
        <v>7.2000000000000028</v>
      </c>
      <c r="N1181" s="157"/>
      <c r="O1181" s="158"/>
      <c r="P1181" s="158"/>
      <c r="Q1181" s="158"/>
      <c r="R1181" s="158"/>
      <c r="S1181" s="158"/>
      <c r="T1181" s="158"/>
      <c r="U1181" s="158"/>
      <c r="V1181" s="158"/>
      <c r="W1181" s="158"/>
      <c r="X1181" s="158"/>
      <c r="Y1181" s="158"/>
      <c r="Z1181" s="158"/>
      <c r="AA1181" s="158"/>
    </row>
    <row r="1182" spans="1:27" ht="15.75" customHeight="1" x14ac:dyDescent="0.55000000000000004">
      <c r="A1182" s="166">
        <v>169</v>
      </c>
      <c r="B1182" s="166" t="s">
        <v>1963</v>
      </c>
      <c r="C1182" s="166" t="s">
        <v>1082</v>
      </c>
      <c r="D1182" s="167">
        <v>43680</v>
      </c>
      <c r="E1182" s="131" t="s">
        <v>3653</v>
      </c>
      <c r="F1182" s="131">
        <v>61</v>
      </c>
      <c r="G1182" s="120">
        <v>0</v>
      </c>
      <c r="H1182" s="131">
        <v>2</v>
      </c>
      <c r="I1182" s="120">
        <v>0</v>
      </c>
      <c r="J1182" s="133" t="s">
        <v>853</v>
      </c>
      <c r="K1182" s="133">
        <v>0</v>
      </c>
      <c r="L1182" s="117">
        <v>66.599999999999994</v>
      </c>
      <c r="M1182" s="133">
        <f t="shared" si="34"/>
        <v>5.5999999999999943</v>
      </c>
      <c r="N1182" s="157"/>
      <c r="O1182" s="158"/>
      <c r="P1182" s="158"/>
      <c r="Q1182" s="158"/>
      <c r="R1182" s="158"/>
      <c r="S1182" s="158"/>
      <c r="T1182" s="158"/>
      <c r="U1182" s="158"/>
      <c r="V1182" s="158"/>
      <c r="W1182" s="158"/>
      <c r="X1182" s="158"/>
      <c r="Y1182" s="158"/>
      <c r="Z1182" s="158"/>
      <c r="AA1182" s="158"/>
    </row>
    <row r="1183" spans="1:27" ht="15.75" customHeight="1" x14ac:dyDescent="0.55000000000000004">
      <c r="A1183" s="166">
        <v>169</v>
      </c>
      <c r="B1183" s="166" t="s">
        <v>1963</v>
      </c>
      <c r="C1183" s="166" t="s">
        <v>1082</v>
      </c>
      <c r="D1183" s="167">
        <v>43680</v>
      </c>
      <c r="E1183" s="131" t="s">
        <v>3654</v>
      </c>
      <c r="F1183" s="131">
        <v>68</v>
      </c>
      <c r="G1183" s="120">
        <v>0</v>
      </c>
      <c r="H1183" s="131">
        <v>2</v>
      </c>
      <c r="I1183" s="120">
        <v>0</v>
      </c>
      <c r="J1183" s="133" t="s">
        <v>853</v>
      </c>
      <c r="K1183" s="133">
        <v>0</v>
      </c>
      <c r="L1183" s="117">
        <v>65.599999999999994</v>
      </c>
      <c r="M1183" s="133">
        <v>0</v>
      </c>
      <c r="N1183" s="157"/>
      <c r="O1183" s="158"/>
      <c r="P1183" s="158"/>
      <c r="Q1183" s="158"/>
      <c r="R1183" s="158"/>
      <c r="S1183" s="158"/>
      <c r="T1183" s="158"/>
      <c r="U1183" s="158"/>
      <c r="V1183" s="158"/>
      <c r="W1183" s="158"/>
      <c r="X1183" s="158"/>
      <c r="Y1183" s="158"/>
      <c r="Z1183" s="158"/>
      <c r="AA1183" s="158"/>
    </row>
    <row r="1184" spans="1:27" ht="15.75" customHeight="1" x14ac:dyDescent="0.55000000000000004">
      <c r="A1184" s="166">
        <v>169</v>
      </c>
      <c r="B1184" s="166" t="s">
        <v>1963</v>
      </c>
      <c r="C1184" s="166" t="s">
        <v>1082</v>
      </c>
      <c r="D1184" s="167">
        <v>43680</v>
      </c>
      <c r="E1184" s="120" t="s">
        <v>3655</v>
      </c>
      <c r="F1184" s="131">
        <v>83</v>
      </c>
      <c r="G1184" s="120">
        <v>0</v>
      </c>
      <c r="H1184" s="131">
        <v>2</v>
      </c>
      <c r="I1184" s="120">
        <v>0</v>
      </c>
      <c r="J1184" s="133" t="s">
        <v>853</v>
      </c>
      <c r="K1184" s="133">
        <v>0</v>
      </c>
      <c r="L1184" s="117">
        <v>87.3</v>
      </c>
      <c r="M1184" s="133">
        <f t="shared" ref="M1184:M1215" si="35">L1184-F1184</f>
        <v>4.2999999999999972</v>
      </c>
      <c r="N1184" s="157"/>
      <c r="O1184" s="158"/>
      <c r="P1184" s="158"/>
      <c r="Q1184" s="158"/>
      <c r="R1184" s="158"/>
      <c r="S1184" s="158"/>
      <c r="T1184" s="158"/>
      <c r="U1184" s="158"/>
      <c r="V1184" s="158"/>
      <c r="W1184" s="158"/>
      <c r="X1184" s="158"/>
      <c r="Y1184" s="158"/>
      <c r="Z1184" s="158"/>
      <c r="AA1184" s="158"/>
    </row>
    <row r="1185" spans="1:27" ht="15.75" customHeight="1" x14ac:dyDescent="0.55000000000000004">
      <c r="A1185" s="166">
        <v>169</v>
      </c>
      <c r="B1185" s="166" t="s">
        <v>1963</v>
      </c>
      <c r="C1185" s="166" t="s">
        <v>1082</v>
      </c>
      <c r="D1185" s="167">
        <v>43680</v>
      </c>
      <c r="E1185" s="120" t="s">
        <v>3656</v>
      </c>
      <c r="F1185" s="131">
        <v>77</v>
      </c>
      <c r="G1185" s="120">
        <v>1</v>
      </c>
      <c r="H1185" s="131">
        <v>2</v>
      </c>
      <c r="I1185" s="120">
        <v>0</v>
      </c>
      <c r="J1185" s="133" t="s">
        <v>853</v>
      </c>
      <c r="K1185" s="133">
        <v>0</v>
      </c>
      <c r="L1185" s="117">
        <v>86.7</v>
      </c>
      <c r="M1185" s="133">
        <f t="shared" si="35"/>
        <v>9.7000000000000028</v>
      </c>
      <c r="N1185" s="157"/>
      <c r="O1185" s="158"/>
      <c r="P1185" s="158"/>
      <c r="Q1185" s="158"/>
      <c r="R1185" s="158"/>
      <c r="S1185" s="158"/>
      <c r="T1185" s="158"/>
      <c r="U1185" s="158"/>
      <c r="V1185" s="158"/>
      <c r="W1185" s="158"/>
      <c r="X1185" s="158"/>
      <c r="Y1185" s="158"/>
      <c r="Z1185" s="158"/>
      <c r="AA1185" s="158"/>
    </row>
    <row r="1186" spans="1:27" ht="15.75" customHeight="1" x14ac:dyDescent="0.55000000000000004">
      <c r="A1186" s="166">
        <v>169</v>
      </c>
      <c r="B1186" s="166" t="s">
        <v>1963</v>
      </c>
      <c r="C1186" s="166" t="s">
        <v>1082</v>
      </c>
      <c r="D1186" s="167">
        <v>43680</v>
      </c>
      <c r="E1186" s="120" t="s">
        <v>3657</v>
      </c>
      <c r="F1186" s="161" t="str">
        <f>HYPERLINK("https://www.nytimes.com/2020/04/27/us/el-paso-shooting-guillermo-memo-garcia.html","36")</f>
        <v>36</v>
      </c>
      <c r="G1186" s="120">
        <v>0</v>
      </c>
      <c r="H1186" s="131">
        <v>2</v>
      </c>
      <c r="I1186" s="120">
        <v>0</v>
      </c>
      <c r="J1186" s="133" t="s">
        <v>853</v>
      </c>
      <c r="K1186" s="133">
        <v>0</v>
      </c>
      <c r="L1186" s="117">
        <v>70</v>
      </c>
      <c r="M1186" s="133">
        <f t="shared" si="35"/>
        <v>34</v>
      </c>
      <c r="N1186" s="157"/>
      <c r="O1186" s="158"/>
      <c r="P1186" s="158"/>
      <c r="Q1186" s="158"/>
      <c r="R1186" s="158"/>
      <c r="S1186" s="158"/>
      <c r="T1186" s="158"/>
      <c r="U1186" s="158"/>
      <c r="V1186" s="158"/>
      <c r="W1186" s="158"/>
      <c r="X1186" s="158"/>
      <c r="Y1186" s="158"/>
      <c r="Z1186" s="158"/>
      <c r="AA1186" s="158"/>
    </row>
    <row r="1187" spans="1:27" ht="15.75" customHeight="1" x14ac:dyDescent="0.55000000000000004">
      <c r="A1187" s="162">
        <v>170</v>
      </c>
      <c r="B1187" s="162" t="s">
        <v>1965</v>
      </c>
      <c r="C1187" s="162" t="s">
        <v>1966</v>
      </c>
      <c r="D1187" s="163">
        <v>43681</v>
      </c>
      <c r="E1187" s="120" t="s">
        <v>3658</v>
      </c>
      <c r="F1187" s="131">
        <v>22</v>
      </c>
      <c r="G1187" s="120">
        <v>0</v>
      </c>
      <c r="H1187" s="131">
        <v>0</v>
      </c>
      <c r="I1187" s="120">
        <v>1</v>
      </c>
      <c r="J1187" s="133" t="s">
        <v>3659</v>
      </c>
      <c r="K1187" s="133">
        <v>1</v>
      </c>
      <c r="L1187" s="117">
        <v>73.400000000000006</v>
      </c>
      <c r="M1187" s="133">
        <f t="shared" si="35"/>
        <v>51.400000000000006</v>
      </c>
      <c r="N1187" s="157"/>
      <c r="O1187" s="158"/>
      <c r="P1187" s="158"/>
      <c r="Q1187" s="158"/>
      <c r="R1187" s="158"/>
      <c r="S1187" s="158"/>
      <c r="T1187" s="158"/>
      <c r="U1187" s="158"/>
      <c r="V1187" s="158"/>
      <c r="W1187" s="158"/>
      <c r="X1187" s="158"/>
      <c r="Y1187" s="158"/>
      <c r="Z1187" s="158"/>
      <c r="AA1187" s="158"/>
    </row>
    <row r="1188" spans="1:27" ht="15.75" customHeight="1" x14ac:dyDescent="0.55000000000000004">
      <c r="A1188" s="162">
        <v>170</v>
      </c>
      <c r="B1188" s="162" t="s">
        <v>1965</v>
      </c>
      <c r="C1188" s="162" t="s">
        <v>1966</v>
      </c>
      <c r="D1188" s="163">
        <v>43681</v>
      </c>
      <c r="E1188" s="120" t="s">
        <v>3660</v>
      </c>
      <c r="F1188" s="131">
        <v>39</v>
      </c>
      <c r="G1188" s="120">
        <v>1</v>
      </c>
      <c r="H1188" s="131">
        <v>1</v>
      </c>
      <c r="I1188" s="120">
        <v>0</v>
      </c>
      <c r="J1188" s="133" t="s">
        <v>853</v>
      </c>
      <c r="K1188" s="133">
        <v>0</v>
      </c>
      <c r="L1188" s="117">
        <v>72.5</v>
      </c>
      <c r="M1188" s="133">
        <f t="shared" si="35"/>
        <v>33.5</v>
      </c>
      <c r="N1188" s="157"/>
      <c r="O1188" s="158"/>
      <c r="P1188" s="158"/>
      <c r="Q1188" s="158"/>
      <c r="R1188" s="158"/>
      <c r="S1188" s="158"/>
      <c r="T1188" s="158"/>
      <c r="U1188" s="158"/>
      <c r="V1188" s="158"/>
      <c r="W1188" s="158"/>
      <c r="X1188" s="158"/>
      <c r="Y1188" s="158"/>
      <c r="Z1188" s="158"/>
      <c r="AA1188" s="158"/>
    </row>
    <row r="1189" spans="1:27" ht="15.75" customHeight="1" x14ac:dyDescent="0.55000000000000004">
      <c r="A1189" s="162">
        <v>170</v>
      </c>
      <c r="B1189" s="162" t="s">
        <v>1965</v>
      </c>
      <c r="C1189" s="162" t="s">
        <v>1966</v>
      </c>
      <c r="D1189" s="163">
        <v>43681</v>
      </c>
      <c r="E1189" s="120" t="s">
        <v>3661</v>
      </c>
      <c r="F1189" s="131">
        <v>25</v>
      </c>
      <c r="G1189" s="120">
        <v>0</v>
      </c>
      <c r="H1189" s="120">
        <v>0</v>
      </c>
      <c r="I1189" s="120">
        <v>0</v>
      </c>
      <c r="J1189" s="133" t="s">
        <v>853</v>
      </c>
      <c r="K1189" s="133">
        <v>0</v>
      </c>
      <c r="L1189" s="117">
        <v>73.400000000000006</v>
      </c>
      <c r="M1189" s="133">
        <f t="shared" si="35"/>
        <v>48.400000000000006</v>
      </c>
      <c r="N1189" s="157"/>
      <c r="O1189" s="158"/>
      <c r="P1189" s="158"/>
      <c r="Q1189" s="158"/>
      <c r="R1189" s="158"/>
      <c r="S1189" s="158"/>
      <c r="T1189" s="158"/>
      <c r="U1189" s="158"/>
      <c r="V1189" s="158"/>
      <c r="W1189" s="158"/>
      <c r="X1189" s="158"/>
      <c r="Y1189" s="158"/>
      <c r="Z1189" s="158"/>
      <c r="AA1189" s="158"/>
    </row>
    <row r="1190" spans="1:27" ht="15.75" customHeight="1" x14ac:dyDescent="0.55000000000000004">
      <c r="A1190" s="162">
        <v>170</v>
      </c>
      <c r="B1190" s="162" t="s">
        <v>1965</v>
      </c>
      <c r="C1190" s="162" t="s">
        <v>1966</v>
      </c>
      <c r="D1190" s="163">
        <v>43681</v>
      </c>
      <c r="E1190" s="120" t="s">
        <v>3662</v>
      </c>
      <c r="F1190" s="131">
        <v>57</v>
      </c>
      <c r="G1190" s="120">
        <v>0</v>
      </c>
      <c r="H1190" s="131">
        <v>1</v>
      </c>
      <c r="I1190" s="120">
        <v>0</v>
      </c>
      <c r="J1190" s="133" t="s">
        <v>853</v>
      </c>
      <c r="K1190" s="133">
        <v>0</v>
      </c>
      <c r="L1190" s="117">
        <v>61.1</v>
      </c>
      <c r="M1190" s="133">
        <f t="shared" si="35"/>
        <v>4.1000000000000014</v>
      </c>
      <c r="N1190" s="157"/>
      <c r="O1190" s="158"/>
      <c r="P1190" s="158"/>
      <c r="Q1190" s="158"/>
      <c r="R1190" s="158"/>
      <c r="S1190" s="158"/>
      <c r="T1190" s="158"/>
      <c r="U1190" s="158"/>
      <c r="V1190" s="158"/>
      <c r="W1190" s="158"/>
      <c r="X1190" s="158"/>
      <c r="Y1190" s="158"/>
      <c r="Z1190" s="158"/>
      <c r="AA1190" s="158"/>
    </row>
    <row r="1191" spans="1:27" ht="15.75" customHeight="1" x14ac:dyDescent="0.55000000000000004">
      <c r="A1191" s="162">
        <v>170</v>
      </c>
      <c r="B1191" s="162" t="s">
        <v>1965</v>
      </c>
      <c r="C1191" s="162" t="s">
        <v>1966</v>
      </c>
      <c r="D1191" s="163">
        <v>43681</v>
      </c>
      <c r="E1191" s="120" t="s">
        <v>3663</v>
      </c>
      <c r="F1191" s="131">
        <v>25</v>
      </c>
      <c r="G1191" s="120">
        <v>0</v>
      </c>
      <c r="H1191" s="120">
        <v>1</v>
      </c>
      <c r="I1191" s="120">
        <v>0</v>
      </c>
      <c r="J1191" s="133" t="s">
        <v>853</v>
      </c>
      <c r="K1191" s="133">
        <v>0</v>
      </c>
      <c r="L1191" s="117">
        <v>65.2</v>
      </c>
      <c r="M1191" s="133">
        <f t="shared" si="35"/>
        <v>40.200000000000003</v>
      </c>
      <c r="N1191" s="157"/>
      <c r="O1191" s="158"/>
      <c r="P1191" s="158"/>
      <c r="Q1191" s="158"/>
      <c r="R1191" s="158"/>
      <c r="S1191" s="158"/>
      <c r="T1191" s="158"/>
      <c r="U1191" s="158"/>
      <c r="V1191" s="158"/>
      <c r="W1191" s="158"/>
      <c r="X1191" s="158"/>
      <c r="Y1191" s="158"/>
      <c r="Z1191" s="158"/>
      <c r="AA1191" s="158"/>
    </row>
    <row r="1192" spans="1:27" ht="15.75" customHeight="1" x14ac:dyDescent="0.55000000000000004">
      <c r="A1192" s="162">
        <v>170</v>
      </c>
      <c r="B1192" s="162" t="s">
        <v>1965</v>
      </c>
      <c r="C1192" s="162" t="s">
        <v>1966</v>
      </c>
      <c r="D1192" s="163">
        <v>43681</v>
      </c>
      <c r="E1192" s="120" t="s">
        <v>3664</v>
      </c>
      <c r="F1192" s="131">
        <v>27</v>
      </c>
      <c r="G1192" s="120">
        <v>1</v>
      </c>
      <c r="H1192" s="120">
        <v>1</v>
      </c>
      <c r="I1192" s="120">
        <v>0</v>
      </c>
      <c r="J1192" s="133" t="s">
        <v>853</v>
      </c>
      <c r="K1192" s="133">
        <v>0</v>
      </c>
      <c r="L1192" s="117">
        <v>73.599999999999994</v>
      </c>
      <c r="M1192" s="133">
        <f t="shared" si="35"/>
        <v>46.599999999999994</v>
      </c>
      <c r="N1192" s="157"/>
      <c r="O1192" s="158"/>
      <c r="P1192" s="158"/>
      <c r="Q1192" s="158"/>
      <c r="R1192" s="158"/>
      <c r="S1192" s="158"/>
      <c r="T1192" s="158"/>
      <c r="U1192" s="158"/>
      <c r="V1192" s="158"/>
      <c r="W1192" s="158"/>
      <c r="X1192" s="158"/>
      <c r="Y1192" s="158"/>
      <c r="Z1192" s="158"/>
      <c r="AA1192" s="158"/>
    </row>
    <row r="1193" spans="1:27" ht="15.75" customHeight="1" x14ac:dyDescent="0.55000000000000004">
      <c r="A1193" s="162">
        <v>170</v>
      </c>
      <c r="B1193" s="162" t="s">
        <v>1965</v>
      </c>
      <c r="C1193" s="162" t="s">
        <v>1966</v>
      </c>
      <c r="D1193" s="163">
        <v>43681</v>
      </c>
      <c r="E1193" s="120" t="s">
        <v>3665</v>
      </c>
      <c r="F1193" s="131">
        <v>38</v>
      </c>
      <c r="G1193" s="120">
        <v>0</v>
      </c>
      <c r="H1193" s="120">
        <v>1</v>
      </c>
      <c r="I1193" s="120">
        <v>0</v>
      </c>
      <c r="J1193" s="133" t="s">
        <v>853</v>
      </c>
      <c r="K1193" s="133">
        <v>0</v>
      </c>
      <c r="L1193" s="117">
        <v>63.8</v>
      </c>
      <c r="M1193" s="133">
        <f t="shared" si="35"/>
        <v>25.799999999999997</v>
      </c>
      <c r="N1193" s="157"/>
      <c r="O1193" s="158"/>
      <c r="P1193" s="158"/>
      <c r="Q1193" s="158"/>
      <c r="R1193" s="158"/>
      <c r="S1193" s="158"/>
      <c r="T1193" s="158"/>
      <c r="U1193" s="158"/>
      <c r="V1193" s="158"/>
      <c r="W1193" s="158"/>
      <c r="X1193" s="158"/>
      <c r="Y1193" s="158"/>
      <c r="Z1193" s="158"/>
      <c r="AA1193" s="158"/>
    </row>
    <row r="1194" spans="1:27" ht="15.75" customHeight="1" x14ac:dyDescent="0.55000000000000004">
      <c r="A1194" s="162">
        <v>170</v>
      </c>
      <c r="B1194" s="162" t="s">
        <v>1965</v>
      </c>
      <c r="C1194" s="162" t="s">
        <v>1966</v>
      </c>
      <c r="D1194" s="163">
        <v>43681</v>
      </c>
      <c r="E1194" s="120" t="s">
        <v>3666</v>
      </c>
      <c r="F1194" s="131">
        <v>30</v>
      </c>
      <c r="G1194" s="120">
        <v>0</v>
      </c>
      <c r="H1194" s="131">
        <v>0</v>
      </c>
      <c r="I1194" s="120">
        <v>0</v>
      </c>
      <c r="J1194" s="133" t="s">
        <v>853</v>
      </c>
      <c r="K1194" s="133">
        <v>0</v>
      </c>
      <c r="L1194" s="117">
        <v>72.7</v>
      </c>
      <c r="M1194" s="133">
        <f t="shared" si="35"/>
        <v>42.7</v>
      </c>
      <c r="N1194" s="157"/>
      <c r="O1194" s="158"/>
      <c r="P1194" s="158"/>
      <c r="Q1194" s="158"/>
      <c r="R1194" s="158"/>
      <c r="S1194" s="158"/>
      <c r="T1194" s="158"/>
      <c r="U1194" s="158"/>
      <c r="V1194" s="158"/>
      <c r="W1194" s="158"/>
      <c r="X1194" s="158"/>
      <c r="Y1194" s="158"/>
      <c r="Z1194" s="158"/>
      <c r="AA1194" s="158"/>
    </row>
    <row r="1195" spans="1:27" ht="15.75" customHeight="1" x14ac:dyDescent="0.55000000000000004">
      <c r="A1195" s="162">
        <v>170</v>
      </c>
      <c r="B1195" s="162" t="s">
        <v>1965</v>
      </c>
      <c r="C1195" s="162" t="s">
        <v>1966</v>
      </c>
      <c r="D1195" s="163">
        <v>43681</v>
      </c>
      <c r="E1195" s="120" t="s">
        <v>3667</v>
      </c>
      <c r="F1195" s="131">
        <v>36</v>
      </c>
      <c r="G1195" s="120">
        <v>1</v>
      </c>
      <c r="H1195" s="120">
        <v>1</v>
      </c>
      <c r="I1195" s="120">
        <v>0</v>
      </c>
      <c r="J1195" s="133" t="s">
        <v>853</v>
      </c>
      <c r="K1195" s="133">
        <v>0</v>
      </c>
      <c r="L1195" s="117">
        <v>72.5</v>
      </c>
      <c r="M1195" s="133">
        <f t="shared" si="35"/>
        <v>36.5</v>
      </c>
      <c r="N1195" s="157"/>
      <c r="O1195" s="158"/>
      <c r="P1195" s="158"/>
      <c r="Q1195" s="158"/>
      <c r="R1195" s="158"/>
      <c r="S1195" s="158"/>
      <c r="T1195" s="158"/>
      <c r="U1195" s="158"/>
      <c r="V1195" s="158"/>
      <c r="W1195" s="158"/>
      <c r="X1195" s="158"/>
      <c r="Y1195" s="158"/>
      <c r="Z1195" s="158"/>
      <c r="AA1195" s="158"/>
    </row>
    <row r="1196" spans="1:27" ht="15.75" customHeight="1" x14ac:dyDescent="0.55000000000000004">
      <c r="A1196" s="164">
        <v>171</v>
      </c>
      <c r="B1196" s="164" t="s">
        <v>1975</v>
      </c>
      <c r="C1196" s="164" t="s">
        <v>1976</v>
      </c>
      <c r="D1196" s="165">
        <v>43708</v>
      </c>
      <c r="E1196" s="120" t="s">
        <v>3668</v>
      </c>
      <c r="F1196" s="131">
        <v>57</v>
      </c>
      <c r="G1196" s="120">
        <v>0</v>
      </c>
      <c r="H1196" s="131">
        <v>0</v>
      </c>
      <c r="I1196" s="120">
        <v>0</v>
      </c>
      <c r="J1196" s="133" t="s">
        <v>853</v>
      </c>
      <c r="K1196" s="133">
        <v>0</v>
      </c>
      <c r="L1196" s="117">
        <v>67.400000000000006</v>
      </c>
      <c r="M1196" s="133">
        <f t="shared" si="35"/>
        <v>10.400000000000006</v>
      </c>
      <c r="N1196" s="157"/>
      <c r="O1196" s="158"/>
      <c r="P1196" s="158"/>
      <c r="Q1196" s="158"/>
      <c r="R1196" s="158"/>
      <c r="S1196" s="158"/>
      <c r="T1196" s="158"/>
      <c r="U1196" s="158"/>
      <c r="V1196" s="158"/>
      <c r="W1196" s="158"/>
      <c r="X1196" s="158"/>
      <c r="Y1196" s="158"/>
      <c r="Z1196" s="158"/>
      <c r="AA1196" s="158"/>
    </row>
    <row r="1197" spans="1:27" ht="15.75" customHeight="1" x14ac:dyDescent="0.55000000000000004">
      <c r="A1197" s="164">
        <v>171</v>
      </c>
      <c r="B1197" s="164" t="s">
        <v>1975</v>
      </c>
      <c r="C1197" s="164" t="s">
        <v>1976</v>
      </c>
      <c r="D1197" s="165">
        <v>43708</v>
      </c>
      <c r="E1197" s="120" t="s">
        <v>3669</v>
      </c>
      <c r="F1197" s="131">
        <v>30</v>
      </c>
      <c r="G1197" s="120">
        <v>0</v>
      </c>
      <c r="H1197" s="120">
        <v>1</v>
      </c>
      <c r="I1197" s="120">
        <v>0</v>
      </c>
      <c r="J1197" s="133" t="s">
        <v>853</v>
      </c>
      <c r="K1197" s="133">
        <v>0</v>
      </c>
      <c r="L1197" s="117">
        <v>64.5</v>
      </c>
      <c r="M1197" s="133">
        <f t="shared" si="35"/>
        <v>34.5</v>
      </c>
      <c r="N1197" s="157"/>
      <c r="O1197" s="158"/>
      <c r="P1197" s="158"/>
      <c r="Q1197" s="158"/>
      <c r="R1197" s="158"/>
      <c r="S1197" s="158"/>
      <c r="T1197" s="158"/>
      <c r="U1197" s="158"/>
      <c r="V1197" s="158"/>
      <c r="W1197" s="158"/>
      <c r="X1197" s="158"/>
      <c r="Y1197" s="158"/>
      <c r="Z1197" s="158"/>
      <c r="AA1197" s="158"/>
    </row>
    <row r="1198" spans="1:27" ht="15.75" customHeight="1" x14ac:dyDescent="0.55000000000000004">
      <c r="A1198" s="164">
        <v>171</v>
      </c>
      <c r="B1198" s="164" t="s">
        <v>1975</v>
      </c>
      <c r="C1198" s="164" t="s">
        <v>1976</v>
      </c>
      <c r="D1198" s="165">
        <v>43708</v>
      </c>
      <c r="E1198" s="120" t="s">
        <v>3670</v>
      </c>
      <c r="F1198" s="131">
        <v>35</v>
      </c>
      <c r="G1198" s="120">
        <v>0</v>
      </c>
      <c r="H1198" s="131">
        <v>2</v>
      </c>
      <c r="I1198" s="120">
        <v>0</v>
      </c>
      <c r="J1198" s="133" t="s">
        <v>853</v>
      </c>
      <c r="K1198" s="133">
        <v>0</v>
      </c>
      <c r="L1198" s="117">
        <v>70</v>
      </c>
      <c r="M1198" s="133">
        <f t="shared" si="35"/>
        <v>35</v>
      </c>
      <c r="N1198" s="157"/>
      <c r="O1198" s="158"/>
      <c r="P1198" s="158"/>
      <c r="Q1198" s="158"/>
      <c r="R1198" s="158"/>
      <c r="S1198" s="158"/>
      <c r="T1198" s="158"/>
      <c r="U1198" s="158"/>
      <c r="V1198" s="158"/>
      <c r="W1198" s="158"/>
      <c r="X1198" s="158"/>
      <c r="Y1198" s="158"/>
      <c r="Z1198" s="158"/>
      <c r="AA1198" s="158"/>
    </row>
    <row r="1199" spans="1:27" ht="15.75" customHeight="1" x14ac:dyDescent="0.55000000000000004">
      <c r="A1199" s="164">
        <v>171</v>
      </c>
      <c r="B1199" s="164" t="s">
        <v>1975</v>
      </c>
      <c r="C1199" s="164" t="s">
        <v>1976</v>
      </c>
      <c r="D1199" s="165">
        <v>43708</v>
      </c>
      <c r="E1199" s="120" t="s">
        <v>3671</v>
      </c>
      <c r="F1199" s="131">
        <v>29</v>
      </c>
      <c r="G1199" s="120">
        <v>1</v>
      </c>
      <c r="H1199" s="131">
        <v>2</v>
      </c>
      <c r="I1199" s="120">
        <v>0</v>
      </c>
      <c r="J1199" s="133" t="s">
        <v>853</v>
      </c>
      <c r="K1199" s="133">
        <v>0</v>
      </c>
      <c r="L1199" s="117">
        <v>78.8</v>
      </c>
      <c r="M1199" s="133">
        <f t="shared" si="35"/>
        <v>49.8</v>
      </c>
      <c r="N1199" s="157"/>
      <c r="O1199" s="158"/>
      <c r="P1199" s="158"/>
      <c r="Q1199" s="158"/>
      <c r="R1199" s="158"/>
      <c r="S1199" s="158"/>
      <c r="T1199" s="158"/>
      <c r="U1199" s="158"/>
      <c r="V1199" s="158"/>
      <c r="W1199" s="158"/>
      <c r="X1199" s="158"/>
      <c r="Y1199" s="158"/>
      <c r="Z1199" s="158"/>
      <c r="AA1199" s="158"/>
    </row>
    <row r="1200" spans="1:27" ht="15.75" customHeight="1" x14ac:dyDescent="0.55000000000000004">
      <c r="A1200" s="164">
        <v>171</v>
      </c>
      <c r="B1200" s="164" t="s">
        <v>1975</v>
      </c>
      <c r="C1200" s="164" t="s">
        <v>1976</v>
      </c>
      <c r="D1200" s="165">
        <v>43708</v>
      </c>
      <c r="E1200" s="120" t="s">
        <v>3672</v>
      </c>
      <c r="F1200" s="131">
        <v>40</v>
      </c>
      <c r="G1200" s="120">
        <v>0</v>
      </c>
      <c r="H1200" s="131">
        <v>0</v>
      </c>
      <c r="I1200" s="120">
        <v>0</v>
      </c>
      <c r="J1200" s="133" t="s">
        <v>853</v>
      </c>
      <c r="K1200" s="133">
        <v>0</v>
      </c>
      <c r="L1200" s="117">
        <v>70.7</v>
      </c>
      <c r="M1200" s="133">
        <f t="shared" si="35"/>
        <v>30.700000000000003</v>
      </c>
      <c r="N1200" s="157"/>
      <c r="O1200" s="158"/>
      <c r="P1200" s="158"/>
      <c r="Q1200" s="158"/>
      <c r="R1200" s="158"/>
      <c r="S1200" s="158"/>
      <c r="T1200" s="158"/>
      <c r="U1200" s="158"/>
      <c r="V1200" s="158"/>
      <c r="W1200" s="158"/>
      <c r="X1200" s="158"/>
      <c r="Y1200" s="158"/>
      <c r="Z1200" s="158"/>
      <c r="AA1200" s="158"/>
    </row>
    <row r="1201" spans="1:27" ht="15.75" customHeight="1" x14ac:dyDescent="0.55000000000000004">
      <c r="A1201" s="164">
        <v>171</v>
      </c>
      <c r="B1201" s="164" t="s">
        <v>1975</v>
      </c>
      <c r="C1201" s="164" t="s">
        <v>1976</v>
      </c>
      <c r="D1201" s="165">
        <v>43708</v>
      </c>
      <c r="E1201" s="120" t="s">
        <v>3673</v>
      </c>
      <c r="F1201" s="131">
        <v>15</v>
      </c>
      <c r="G1201" s="120">
        <v>1</v>
      </c>
      <c r="H1201" s="131">
        <v>2</v>
      </c>
      <c r="I1201" s="120">
        <v>0</v>
      </c>
      <c r="J1201" s="133" t="s">
        <v>853</v>
      </c>
      <c r="K1201" s="133">
        <v>0</v>
      </c>
      <c r="L1201" s="117">
        <v>80.099999999999994</v>
      </c>
      <c r="M1201" s="133">
        <f t="shared" si="35"/>
        <v>65.099999999999994</v>
      </c>
      <c r="N1201" s="157"/>
      <c r="O1201" s="158"/>
      <c r="P1201" s="158"/>
      <c r="Q1201" s="158"/>
      <c r="R1201" s="158"/>
      <c r="S1201" s="158"/>
      <c r="T1201" s="158"/>
      <c r="U1201" s="158"/>
      <c r="V1201" s="158"/>
      <c r="W1201" s="158"/>
      <c r="X1201" s="158"/>
      <c r="Y1201" s="158"/>
      <c r="Z1201" s="158"/>
      <c r="AA1201" s="158"/>
    </row>
    <row r="1202" spans="1:27" ht="15.75" customHeight="1" x14ac:dyDescent="0.55000000000000004">
      <c r="A1202" s="164">
        <v>171</v>
      </c>
      <c r="B1202" s="164" t="s">
        <v>1975</v>
      </c>
      <c r="C1202" s="164" t="s">
        <v>1976</v>
      </c>
      <c r="D1202" s="165">
        <v>43708</v>
      </c>
      <c r="E1202" s="120" t="s">
        <v>3674</v>
      </c>
      <c r="F1202" s="131">
        <v>25</v>
      </c>
      <c r="G1202" s="120">
        <v>0</v>
      </c>
      <c r="H1202" s="131">
        <v>2</v>
      </c>
      <c r="I1202" s="120">
        <v>0</v>
      </c>
      <c r="J1202" s="133" t="s">
        <v>853</v>
      </c>
      <c r="K1202" s="133">
        <v>0</v>
      </c>
      <c r="L1202" s="117">
        <v>72.5</v>
      </c>
      <c r="M1202" s="133">
        <f t="shared" si="35"/>
        <v>47.5</v>
      </c>
      <c r="N1202" s="157"/>
      <c r="O1202" s="158"/>
      <c r="P1202" s="158"/>
      <c r="Q1202" s="158"/>
      <c r="R1202" s="158"/>
      <c r="S1202" s="158"/>
      <c r="T1202" s="158"/>
      <c r="U1202" s="158"/>
      <c r="V1202" s="158"/>
      <c r="W1202" s="158"/>
      <c r="X1202" s="158"/>
      <c r="Y1202" s="158"/>
      <c r="Z1202" s="158"/>
      <c r="AA1202" s="158"/>
    </row>
    <row r="1203" spans="1:27" ht="15.75" customHeight="1" x14ac:dyDescent="0.55000000000000004">
      <c r="A1203" s="177" t="s">
        <v>2339</v>
      </c>
      <c r="B1203" s="177" t="s">
        <v>2340</v>
      </c>
      <c r="C1203" s="177" t="s">
        <v>2341</v>
      </c>
      <c r="D1203" s="178">
        <v>43809</v>
      </c>
      <c r="E1203" s="120" t="s">
        <v>3675</v>
      </c>
      <c r="F1203" s="131">
        <v>33</v>
      </c>
      <c r="G1203" s="120">
        <v>1</v>
      </c>
      <c r="H1203" s="120">
        <v>0</v>
      </c>
      <c r="I1203" s="120">
        <v>0</v>
      </c>
      <c r="J1203" s="133" t="s">
        <v>853</v>
      </c>
      <c r="K1203" s="133">
        <v>0</v>
      </c>
      <c r="L1203" s="117">
        <v>79.400000000000006</v>
      </c>
      <c r="M1203" s="133">
        <f t="shared" si="35"/>
        <v>46.400000000000006</v>
      </c>
      <c r="N1203" s="157"/>
      <c r="O1203" s="158"/>
      <c r="P1203" s="158"/>
      <c r="Q1203" s="158"/>
      <c r="R1203" s="158"/>
      <c r="S1203" s="158"/>
      <c r="T1203" s="158"/>
      <c r="U1203" s="158"/>
      <c r="V1203" s="158"/>
      <c r="W1203" s="158"/>
      <c r="X1203" s="158"/>
      <c r="Y1203" s="158"/>
      <c r="Z1203" s="158"/>
      <c r="AA1203" s="158"/>
    </row>
    <row r="1204" spans="1:27" ht="15.75" customHeight="1" x14ac:dyDescent="0.55000000000000004">
      <c r="A1204" s="177" t="s">
        <v>2339</v>
      </c>
      <c r="B1204" s="177" t="s">
        <v>2340</v>
      </c>
      <c r="C1204" s="177" t="s">
        <v>2341</v>
      </c>
      <c r="D1204" s="178">
        <v>43809</v>
      </c>
      <c r="E1204" s="120" t="s">
        <v>3676</v>
      </c>
      <c r="F1204" s="131">
        <v>49</v>
      </c>
      <c r="G1204" s="120">
        <v>0</v>
      </c>
      <c r="H1204" s="131">
        <v>2</v>
      </c>
      <c r="I1204" s="120">
        <v>0</v>
      </c>
      <c r="J1204" s="133" t="s">
        <v>853</v>
      </c>
      <c r="K1204" s="133">
        <v>0</v>
      </c>
      <c r="L1204" s="117">
        <v>67.099999999999994</v>
      </c>
      <c r="M1204" s="133">
        <f t="shared" si="35"/>
        <v>18.099999999999994</v>
      </c>
      <c r="N1204" s="157"/>
      <c r="O1204" s="158"/>
      <c r="P1204" s="158"/>
      <c r="Q1204" s="158"/>
      <c r="R1204" s="158"/>
      <c r="S1204" s="158"/>
      <c r="T1204" s="158"/>
      <c r="U1204" s="158"/>
      <c r="V1204" s="158"/>
      <c r="W1204" s="158"/>
      <c r="X1204" s="158"/>
      <c r="Y1204" s="158"/>
      <c r="Z1204" s="158"/>
      <c r="AA1204" s="158"/>
    </row>
    <row r="1205" spans="1:27" ht="15.75" customHeight="1" x14ac:dyDescent="0.55000000000000004">
      <c r="A1205" s="177" t="s">
        <v>2339</v>
      </c>
      <c r="B1205" s="177" t="s">
        <v>2340</v>
      </c>
      <c r="C1205" s="177" t="s">
        <v>2341</v>
      </c>
      <c r="D1205" s="178">
        <v>43809</v>
      </c>
      <c r="E1205" s="120" t="s">
        <v>3677</v>
      </c>
      <c r="F1205" s="131">
        <v>24</v>
      </c>
      <c r="G1205" s="120">
        <v>0</v>
      </c>
      <c r="H1205" s="120">
        <v>0</v>
      </c>
      <c r="I1205" s="120">
        <v>0</v>
      </c>
      <c r="J1205" s="133" t="s">
        <v>853</v>
      </c>
      <c r="K1205" s="133">
        <v>0</v>
      </c>
      <c r="L1205" s="117">
        <v>73.400000000000006</v>
      </c>
      <c r="M1205" s="133">
        <f t="shared" si="35"/>
        <v>49.400000000000006</v>
      </c>
      <c r="N1205" s="157"/>
      <c r="O1205" s="158"/>
      <c r="P1205" s="158"/>
      <c r="Q1205" s="158"/>
      <c r="R1205" s="158"/>
      <c r="S1205" s="158"/>
      <c r="T1205" s="158"/>
      <c r="U1205" s="158"/>
      <c r="V1205" s="158"/>
      <c r="W1205" s="158"/>
      <c r="X1205" s="158"/>
      <c r="Y1205" s="158"/>
      <c r="Z1205" s="158"/>
      <c r="AA1205" s="158"/>
    </row>
    <row r="1206" spans="1:27" ht="15.75" customHeight="1" x14ac:dyDescent="0.55000000000000004">
      <c r="A1206" s="177" t="s">
        <v>2339</v>
      </c>
      <c r="B1206" s="177" t="s">
        <v>2340</v>
      </c>
      <c r="C1206" s="177" t="s">
        <v>2341</v>
      </c>
      <c r="D1206" s="178">
        <v>43809</v>
      </c>
      <c r="E1206" s="120" t="s">
        <v>3678</v>
      </c>
      <c r="F1206" s="131">
        <v>39</v>
      </c>
      <c r="G1206" s="120">
        <v>0</v>
      </c>
      <c r="H1206" s="131">
        <v>0</v>
      </c>
      <c r="I1206" s="120">
        <v>0</v>
      </c>
      <c r="J1206" s="133" t="s">
        <v>853</v>
      </c>
      <c r="K1206" s="133">
        <v>0</v>
      </c>
      <c r="L1206" s="117">
        <v>70.7</v>
      </c>
      <c r="M1206" s="133">
        <f t="shared" si="35"/>
        <v>31.700000000000003</v>
      </c>
      <c r="N1206" s="157"/>
      <c r="O1206" s="158"/>
      <c r="P1206" s="158"/>
      <c r="Q1206" s="158"/>
      <c r="R1206" s="158"/>
      <c r="S1206" s="158"/>
      <c r="T1206" s="158"/>
      <c r="U1206" s="158"/>
      <c r="V1206" s="158"/>
      <c r="W1206" s="158"/>
      <c r="X1206" s="158"/>
      <c r="Y1206" s="158"/>
      <c r="Z1206" s="158"/>
      <c r="AA1206" s="158"/>
    </row>
    <row r="1207" spans="1:27" ht="15.75" customHeight="1" x14ac:dyDescent="0.55000000000000004">
      <c r="A1207" s="175">
        <v>174</v>
      </c>
      <c r="B1207" s="175" t="s">
        <v>1991</v>
      </c>
      <c r="C1207" s="175" t="s">
        <v>1524</v>
      </c>
      <c r="D1207" s="176">
        <v>43887</v>
      </c>
      <c r="E1207" s="120" t="s">
        <v>3679</v>
      </c>
      <c r="F1207" s="131">
        <v>33</v>
      </c>
      <c r="G1207" s="120">
        <v>0</v>
      </c>
      <c r="H1207" s="131">
        <v>2</v>
      </c>
      <c r="I1207" s="120">
        <v>1</v>
      </c>
      <c r="J1207" s="133" t="s">
        <v>2387</v>
      </c>
      <c r="K1207" s="133">
        <v>3</v>
      </c>
      <c r="L1207" s="117">
        <v>71.8</v>
      </c>
      <c r="M1207" s="133">
        <f t="shared" si="35"/>
        <v>38.799999999999997</v>
      </c>
      <c r="N1207" s="157"/>
      <c r="O1207" s="158"/>
      <c r="P1207" s="158"/>
      <c r="Q1207" s="158"/>
      <c r="R1207" s="158"/>
      <c r="S1207" s="158"/>
      <c r="T1207" s="158"/>
      <c r="U1207" s="158"/>
      <c r="V1207" s="158"/>
      <c r="W1207" s="158"/>
      <c r="X1207" s="158"/>
      <c r="Y1207" s="158"/>
      <c r="Z1207" s="158"/>
      <c r="AA1207" s="158"/>
    </row>
    <row r="1208" spans="1:27" ht="15.75" customHeight="1" x14ac:dyDescent="0.55000000000000004">
      <c r="A1208" s="175">
        <v>174</v>
      </c>
      <c r="B1208" s="175" t="s">
        <v>1991</v>
      </c>
      <c r="C1208" s="175" t="s">
        <v>1524</v>
      </c>
      <c r="D1208" s="176">
        <v>43887</v>
      </c>
      <c r="E1208" s="120" t="s">
        <v>3680</v>
      </c>
      <c r="F1208" s="131">
        <v>61</v>
      </c>
      <c r="G1208" s="120">
        <v>0</v>
      </c>
      <c r="H1208" s="131">
        <v>0</v>
      </c>
      <c r="I1208" s="120">
        <v>1</v>
      </c>
      <c r="J1208" s="133" t="s">
        <v>2387</v>
      </c>
      <c r="K1208" s="133">
        <v>3</v>
      </c>
      <c r="L1208" s="117">
        <v>74.099999999999994</v>
      </c>
      <c r="M1208" s="133">
        <f t="shared" si="35"/>
        <v>13.099999999999994</v>
      </c>
      <c r="N1208" s="157"/>
      <c r="O1208" s="158"/>
      <c r="P1208" s="158"/>
      <c r="Q1208" s="158"/>
      <c r="R1208" s="158"/>
      <c r="S1208" s="158"/>
      <c r="T1208" s="158"/>
      <c r="U1208" s="158"/>
      <c r="V1208" s="158"/>
      <c r="W1208" s="158"/>
      <c r="X1208" s="158"/>
      <c r="Y1208" s="158"/>
      <c r="Z1208" s="158"/>
      <c r="AA1208" s="158"/>
    </row>
    <row r="1209" spans="1:27" ht="15.75" customHeight="1" x14ac:dyDescent="0.55000000000000004">
      <c r="A1209" s="175">
        <v>174</v>
      </c>
      <c r="B1209" s="175" t="s">
        <v>1991</v>
      </c>
      <c r="C1209" s="175" t="s">
        <v>1524</v>
      </c>
      <c r="D1209" s="176">
        <v>43887</v>
      </c>
      <c r="E1209" s="120" t="s">
        <v>3681</v>
      </c>
      <c r="F1209" s="131">
        <v>33</v>
      </c>
      <c r="G1209" s="120">
        <v>0</v>
      </c>
      <c r="H1209" s="131">
        <v>0</v>
      </c>
      <c r="I1209" s="120">
        <v>1</v>
      </c>
      <c r="J1209" s="133" t="s">
        <v>2387</v>
      </c>
      <c r="K1209" s="133">
        <v>3</v>
      </c>
      <c r="L1209" s="117">
        <v>72.7</v>
      </c>
      <c r="M1209" s="133">
        <f t="shared" si="35"/>
        <v>39.700000000000003</v>
      </c>
      <c r="N1209" s="157"/>
      <c r="O1209" s="158"/>
      <c r="P1209" s="158"/>
      <c r="Q1209" s="158"/>
      <c r="R1209" s="158"/>
      <c r="S1209" s="158"/>
      <c r="T1209" s="158"/>
      <c r="U1209" s="158"/>
      <c r="V1209" s="158"/>
      <c r="W1209" s="158"/>
      <c r="X1209" s="158"/>
      <c r="Y1209" s="158"/>
      <c r="Z1209" s="158"/>
      <c r="AA1209" s="158"/>
    </row>
    <row r="1210" spans="1:27" ht="15.75" customHeight="1" x14ac:dyDescent="0.55000000000000004">
      <c r="A1210" s="175">
        <v>174</v>
      </c>
      <c r="B1210" s="175" t="s">
        <v>1991</v>
      </c>
      <c r="C1210" s="175" t="s">
        <v>1524</v>
      </c>
      <c r="D1210" s="176">
        <v>43887</v>
      </c>
      <c r="E1210" s="120" t="s">
        <v>3682</v>
      </c>
      <c r="F1210" s="131">
        <v>57</v>
      </c>
      <c r="G1210" s="120">
        <v>0</v>
      </c>
      <c r="H1210" s="131">
        <v>0</v>
      </c>
      <c r="I1210" s="120">
        <v>1</v>
      </c>
      <c r="J1210" s="133" t="s">
        <v>2387</v>
      </c>
      <c r="K1210" s="133">
        <v>3</v>
      </c>
      <c r="L1210" s="117">
        <v>67.400000000000006</v>
      </c>
      <c r="M1210" s="133">
        <f t="shared" si="35"/>
        <v>10.400000000000006</v>
      </c>
      <c r="N1210" s="157"/>
      <c r="O1210" s="158"/>
      <c r="P1210" s="158"/>
      <c r="Q1210" s="158"/>
      <c r="R1210" s="158"/>
      <c r="S1210" s="158"/>
      <c r="T1210" s="158"/>
      <c r="U1210" s="158"/>
      <c r="V1210" s="158"/>
      <c r="W1210" s="158"/>
      <c r="X1210" s="158"/>
      <c r="Y1210" s="158"/>
      <c r="Z1210" s="158"/>
      <c r="AA1210" s="158"/>
    </row>
    <row r="1211" spans="1:27" ht="15.75" customHeight="1" x14ac:dyDescent="0.55000000000000004">
      <c r="A1211" s="175">
        <v>174</v>
      </c>
      <c r="B1211" s="175" t="s">
        <v>1991</v>
      </c>
      <c r="C1211" s="175" t="s">
        <v>1524</v>
      </c>
      <c r="D1211" s="176">
        <v>43887</v>
      </c>
      <c r="E1211" s="120" t="s">
        <v>3683</v>
      </c>
      <c r="F1211" s="131">
        <v>60</v>
      </c>
      <c r="G1211" s="120">
        <v>0</v>
      </c>
      <c r="H1211" s="131">
        <v>0</v>
      </c>
      <c r="I1211" s="120">
        <v>1</v>
      </c>
      <c r="J1211" s="133" t="s">
        <v>2387</v>
      </c>
      <c r="K1211" s="133">
        <v>3</v>
      </c>
      <c r="L1211" s="117">
        <v>67.400000000000006</v>
      </c>
      <c r="M1211" s="133">
        <f t="shared" si="35"/>
        <v>7.4000000000000057</v>
      </c>
      <c r="N1211" s="157"/>
      <c r="O1211" s="158"/>
      <c r="P1211" s="158"/>
      <c r="Q1211" s="158"/>
      <c r="R1211" s="158"/>
      <c r="S1211" s="158"/>
      <c r="T1211" s="158"/>
      <c r="U1211" s="158"/>
      <c r="V1211" s="158"/>
      <c r="W1211" s="158"/>
      <c r="X1211" s="158"/>
      <c r="Y1211" s="158"/>
      <c r="Z1211" s="158"/>
      <c r="AA1211" s="158"/>
    </row>
    <row r="1212" spans="1:27" ht="15.75" customHeight="1" x14ac:dyDescent="0.55000000000000004">
      <c r="A1212" s="159">
        <v>175</v>
      </c>
      <c r="B1212" s="159" t="s">
        <v>1997</v>
      </c>
      <c r="C1212" s="159" t="s">
        <v>1998</v>
      </c>
      <c r="D1212" s="160">
        <v>43905</v>
      </c>
      <c r="E1212" s="120" t="s">
        <v>3684</v>
      </c>
      <c r="F1212" s="131">
        <v>57</v>
      </c>
      <c r="G1212" s="120">
        <v>0</v>
      </c>
      <c r="H1212" s="120">
        <v>0</v>
      </c>
      <c r="I1212" s="120">
        <v>0</v>
      </c>
      <c r="J1212" s="133" t="s">
        <v>853</v>
      </c>
      <c r="K1212" s="133">
        <v>0</v>
      </c>
      <c r="L1212" s="117">
        <v>67.400000000000006</v>
      </c>
      <c r="M1212" s="120">
        <f t="shared" si="35"/>
        <v>10.400000000000006</v>
      </c>
      <c r="N1212" s="184"/>
      <c r="O1212" s="185"/>
      <c r="P1212" s="185"/>
      <c r="Q1212" s="185"/>
      <c r="R1212" s="185"/>
      <c r="S1212" s="185"/>
      <c r="T1212" s="185"/>
      <c r="U1212" s="185"/>
      <c r="V1212" s="185"/>
      <c r="W1212" s="185"/>
      <c r="X1212" s="185"/>
      <c r="Y1212" s="185"/>
      <c r="Z1212" s="185"/>
      <c r="AA1212" s="185"/>
    </row>
    <row r="1213" spans="1:27" ht="15.75" customHeight="1" x14ac:dyDescent="0.55000000000000004">
      <c r="A1213" s="159">
        <v>175</v>
      </c>
      <c r="B1213" s="159" t="s">
        <v>1997</v>
      </c>
      <c r="C1213" s="159" t="s">
        <v>1998</v>
      </c>
      <c r="D1213" s="160">
        <v>43905</v>
      </c>
      <c r="E1213" s="120" t="s">
        <v>3685</v>
      </c>
      <c r="F1213" s="131">
        <v>46</v>
      </c>
      <c r="G1213" s="120">
        <v>0</v>
      </c>
      <c r="H1213" s="120">
        <v>0</v>
      </c>
      <c r="I1213" s="120">
        <v>0</v>
      </c>
      <c r="J1213" s="133" t="s">
        <v>853</v>
      </c>
      <c r="K1213" s="133">
        <v>0</v>
      </c>
      <c r="L1213" s="117">
        <v>69.5</v>
      </c>
      <c r="M1213" s="120">
        <f t="shared" si="35"/>
        <v>23.5</v>
      </c>
      <c r="N1213" s="184"/>
      <c r="O1213" s="185"/>
      <c r="P1213" s="185"/>
      <c r="Q1213" s="185"/>
      <c r="R1213" s="185"/>
      <c r="S1213" s="185"/>
      <c r="T1213" s="185"/>
      <c r="U1213" s="185"/>
      <c r="V1213" s="185"/>
      <c r="W1213" s="185"/>
      <c r="X1213" s="185"/>
      <c r="Y1213" s="185"/>
      <c r="Z1213" s="185"/>
      <c r="AA1213" s="185"/>
    </row>
    <row r="1214" spans="1:27" ht="15.75" customHeight="1" x14ac:dyDescent="0.55000000000000004">
      <c r="A1214" s="159">
        <v>175</v>
      </c>
      <c r="B1214" s="159" t="s">
        <v>1997</v>
      </c>
      <c r="C1214" s="159" t="s">
        <v>1998</v>
      </c>
      <c r="D1214" s="160">
        <v>43905</v>
      </c>
      <c r="E1214" s="120" t="s">
        <v>3686</v>
      </c>
      <c r="F1214" s="131">
        <v>22</v>
      </c>
      <c r="G1214" s="120">
        <v>0</v>
      </c>
      <c r="H1214" s="120">
        <v>0</v>
      </c>
      <c r="I1214" s="120">
        <v>0</v>
      </c>
      <c r="J1214" s="133" t="s">
        <v>853</v>
      </c>
      <c r="K1214" s="133">
        <v>0</v>
      </c>
      <c r="L1214" s="117">
        <v>74.7</v>
      </c>
      <c r="M1214" s="120">
        <f t="shared" si="35"/>
        <v>52.7</v>
      </c>
      <c r="N1214" s="184"/>
      <c r="O1214" s="185"/>
      <c r="P1214" s="185"/>
      <c r="Q1214" s="185"/>
      <c r="R1214" s="185"/>
      <c r="S1214" s="185"/>
      <c r="T1214" s="185"/>
      <c r="U1214" s="185"/>
      <c r="V1214" s="185"/>
      <c r="W1214" s="185"/>
      <c r="X1214" s="185"/>
      <c r="Y1214" s="185"/>
      <c r="Z1214" s="185"/>
      <c r="AA1214" s="185"/>
    </row>
    <row r="1215" spans="1:27" ht="15.75" customHeight="1" x14ac:dyDescent="0.55000000000000004">
      <c r="A1215" s="159">
        <v>175</v>
      </c>
      <c r="B1215" s="159" t="s">
        <v>1997</v>
      </c>
      <c r="C1215" s="159" t="s">
        <v>1998</v>
      </c>
      <c r="D1215" s="160">
        <v>43905</v>
      </c>
      <c r="E1215" s="120" t="s">
        <v>3687</v>
      </c>
      <c r="F1215" s="131">
        <v>32</v>
      </c>
      <c r="G1215" s="120">
        <v>0</v>
      </c>
      <c r="H1215" s="120">
        <v>0</v>
      </c>
      <c r="I1215" s="120">
        <v>0</v>
      </c>
      <c r="J1215" s="133" t="s">
        <v>853</v>
      </c>
      <c r="K1215" s="133">
        <v>0</v>
      </c>
      <c r="L1215" s="117">
        <v>72.7</v>
      </c>
      <c r="M1215" s="120">
        <f t="shared" si="35"/>
        <v>40.700000000000003</v>
      </c>
      <c r="N1215" s="184"/>
      <c r="O1215" s="185"/>
      <c r="P1215" s="185"/>
      <c r="Q1215" s="185"/>
      <c r="R1215" s="185"/>
      <c r="S1215" s="185"/>
      <c r="T1215" s="185"/>
      <c r="U1215" s="185"/>
      <c r="V1215" s="185"/>
      <c r="W1215" s="185"/>
      <c r="X1215" s="185"/>
      <c r="Y1215" s="185"/>
      <c r="Z1215" s="185"/>
      <c r="AA1215" s="185"/>
    </row>
    <row r="1216" spans="1:27" ht="15.75" customHeight="1" x14ac:dyDescent="0.55000000000000004">
      <c r="A1216" s="164">
        <v>176</v>
      </c>
      <c r="B1216" s="164" t="s">
        <v>1942</v>
      </c>
      <c r="C1216" s="164" t="s">
        <v>859</v>
      </c>
      <c r="D1216" s="186">
        <v>44271</v>
      </c>
      <c r="E1216" s="131" t="s">
        <v>3688</v>
      </c>
      <c r="F1216" s="120">
        <v>51</v>
      </c>
      <c r="G1216" s="120">
        <v>1</v>
      </c>
      <c r="H1216" s="131">
        <v>3</v>
      </c>
      <c r="I1216" s="131">
        <v>2</v>
      </c>
      <c r="J1216" s="133" t="s">
        <v>3689</v>
      </c>
      <c r="K1216" s="133">
        <v>5</v>
      </c>
      <c r="L1216" s="120">
        <v>74.7</v>
      </c>
      <c r="M1216" s="120">
        <v>23.7</v>
      </c>
      <c r="N1216" s="187"/>
      <c r="O1216" s="188"/>
      <c r="P1216" s="188"/>
      <c r="Q1216" s="188"/>
      <c r="R1216" s="188"/>
      <c r="S1216" s="188"/>
      <c r="T1216" s="188"/>
      <c r="U1216" s="188"/>
      <c r="V1216" s="188"/>
      <c r="W1216" s="188"/>
      <c r="X1216" s="188"/>
      <c r="Y1216" s="188"/>
      <c r="Z1216" s="188"/>
      <c r="AA1216" s="188"/>
    </row>
    <row r="1217" spans="1:27" ht="15.75" customHeight="1" x14ac:dyDescent="0.55000000000000004">
      <c r="A1217" s="164">
        <v>176</v>
      </c>
      <c r="B1217" s="164" t="s">
        <v>1942</v>
      </c>
      <c r="C1217" s="164" t="s">
        <v>859</v>
      </c>
      <c r="D1217" s="186">
        <v>44271</v>
      </c>
      <c r="E1217" s="131" t="s">
        <v>3690</v>
      </c>
      <c r="F1217" s="120">
        <v>49</v>
      </c>
      <c r="G1217" s="131">
        <v>1</v>
      </c>
      <c r="H1217" s="131">
        <v>3</v>
      </c>
      <c r="I1217" s="131">
        <v>2</v>
      </c>
      <c r="J1217" s="133" t="s">
        <v>3691</v>
      </c>
      <c r="K1217" s="133">
        <v>5</v>
      </c>
      <c r="L1217" s="120">
        <v>74.7</v>
      </c>
      <c r="M1217" s="120">
        <v>25.7</v>
      </c>
      <c r="N1217" s="187"/>
      <c r="O1217" s="188"/>
      <c r="P1217" s="188"/>
      <c r="Q1217" s="188"/>
      <c r="R1217" s="188"/>
      <c r="S1217" s="188"/>
      <c r="T1217" s="188"/>
      <c r="U1217" s="188"/>
      <c r="V1217" s="188"/>
      <c r="W1217" s="188"/>
      <c r="X1217" s="188"/>
      <c r="Y1217" s="188"/>
      <c r="Z1217" s="188"/>
      <c r="AA1217" s="188"/>
    </row>
    <row r="1218" spans="1:27" ht="15.75" customHeight="1" x14ac:dyDescent="0.55000000000000004">
      <c r="A1218" s="164">
        <v>176</v>
      </c>
      <c r="B1218" s="164" t="s">
        <v>1942</v>
      </c>
      <c r="C1218" s="164" t="s">
        <v>859</v>
      </c>
      <c r="D1218" s="186">
        <v>44271</v>
      </c>
      <c r="E1218" s="131" t="s">
        <v>3692</v>
      </c>
      <c r="F1218" s="120">
        <v>33</v>
      </c>
      <c r="G1218" s="120">
        <v>1</v>
      </c>
      <c r="H1218" s="131">
        <v>0</v>
      </c>
      <c r="I1218" s="131">
        <v>0</v>
      </c>
      <c r="J1218" s="133" t="s">
        <v>853</v>
      </c>
      <c r="K1218" s="133">
        <v>0</v>
      </c>
      <c r="L1218" s="120">
        <v>79.400000000000006</v>
      </c>
      <c r="M1218" s="120">
        <v>46.4</v>
      </c>
      <c r="N1218" s="187"/>
      <c r="O1218" s="188"/>
      <c r="P1218" s="188"/>
      <c r="Q1218" s="188"/>
      <c r="R1218" s="188"/>
      <c r="S1218" s="188"/>
      <c r="T1218" s="188"/>
      <c r="U1218" s="188"/>
      <c r="V1218" s="188"/>
      <c r="W1218" s="188"/>
      <c r="X1218" s="188"/>
      <c r="Y1218" s="188"/>
      <c r="Z1218" s="188"/>
      <c r="AA1218" s="188"/>
    </row>
    <row r="1219" spans="1:27" ht="15.75" customHeight="1" x14ac:dyDescent="0.55000000000000004">
      <c r="A1219" s="164">
        <v>176</v>
      </c>
      <c r="B1219" s="164" t="s">
        <v>1942</v>
      </c>
      <c r="C1219" s="164" t="s">
        <v>859</v>
      </c>
      <c r="D1219" s="186">
        <v>44271</v>
      </c>
      <c r="E1219" s="131" t="s">
        <v>3693</v>
      </c>
      <c r="F1219" s="120">
        <v>54</v>
      </c>
      <c r="G1219" s="120">
        <v>0</v>
      </c>
      <c r="H1219" s="131">
        <v>0</v>
      </c>
      <c r="I1219" s="131">
        <v>0</v>
      </c>
      <c r="J1219" s="133" t="s">
        <v>853</v>
      </c>
      <c r="K1219" s="133">
        <v>0</v>
      </c>
      <c r="L1219" s="120">
        <v>68</v>
      </c>
      <c r="M1219" s="120">
        <v>14</v>
      </c>
      <c r="N1219" s="187"/>
      <c r="O1219" s="188"/>
      <c r="P1219" s="188"/>
      <c r="Q1219" s="188"/>
      <c r="R1219" s="188"/>
      <c r="S1219" s="188"/>
      <c r="T1219" s="188"/>
      <c r="U1219" s="188"/>
      <c r="V1219" s="188"/>
      <c r="W1219" s="188"/>
      <c r="X1219" s="188"/>
      <c r="Y1219" s="188"/>
      <c r="Z1219" s="188"/>
      <c r="AA1219" s="188"/>
    </row>
    <row r="1220" spans="1:27" ht="15.75" customHeight="1" x14ac:dyDescent="0.55000000000000004">
      <c r="A1220" s="164">
        <v>176</v>
      </c>
      <c r="B1220" s="164" t="s">
        <v>1942</v>
      </c>
      <c r="C1220" s="164" t="s">
        <v>859</v>
      </c>
      <c r="D1220" s="186">
        <v>44271</v>
      </c>
      <c r="E1220" s="131" t="s">
        <v>3694</v>
      </c>
      <c r="F1220" s="120">
        <v>63</v>
      </c>
      <c r="G1220" s="131">
        <v>1</v>
      </c>
      <c r="H1220" s="131">
        <v>3</v>
      </c>
      <c r="I1220" s="131">
        <v>2</v>
      </c>
      <c r="J1220" s="133" t="s">
        <v>3689</v>
      </c>
      <c r="K1220" s="133">
        <v>5</v>
      </c>
      <c r="L1220" s="120">
        <v>73.099999999999994</v>
      </c>
      <c r="M1220" s="120">
        <v>10.1</v>
      </c>
      <c r="N1220" s="187"/>
      <c r="O1220" s="188"/>
      <c r="P1220" s="188"/>
      <c r="Q1220" s="188"/>
      <c r="R1220" s="188"/>
      <c r="S1220" s="188"/>
      <c r="T1220" s="188"/>
      <c r="U1220" s="188"/>
      <c r="V1220" s="188"/>
      <c r="W1220" s="188"/>
      <c r="X1220" s="188"/>
      <c r="Y1220" s="188"/>
      <c r="Z1220" s="188"/>
      <c r="AA1220" s="188"/>
    </row>
    <row r="1221" spans="1:27" ht="15.75" customHeight="1" x14ac:dyDescent="0.55000000000000004">
      <c r="A1221" s="164">
        <v>176</v>
      </c>
      <c r="B1221" s="164" t="s">
        <v>1942</v>
      </c>
      <c r="C1221" s="164" t="s">
        <v>859</v>
      </c>
      <c r="D1221" s="186">
        <v>44271</v>
      </c>
      <c r="E1221" s="131" t="s">
        <v>3695</v>
      </c>
      <c r="F1221" s="120">
        <v>69</v>
      </c>
      <c r="G1221" s="120">
        <v>1</v>
      </c>
      <c r="H1221" s="131">
        <v>3</v>
      </c>
      <c r="I1221" s="131">
        <v>2</v>
      </c>
      <c r="J1221" s="133" t="s">
        <v>3689</v>
      </c>
      <c r="K1221" s="133">
        <v>5</v>
      </c>
      <c r="L1221" s="120">
        <v>71.099999999999994</v>
      </c>
      <c r="M1221" s="120">
        <v>2.1</v>
      </c>
      <c r="N1221" s="187"/>
      <c r="O1221" s="188"/>
      <c r="P1221" s="188"/>
      <c r="Q1221" s="188"/>
      <c r="R1221" s="188"/>
      <c r="S1221" s="188"/>
      <c r="T1221" s="188"/>
      <c r="U1221" s="188"/>
      <c r="V1221" s="188"/>
      <c r="W1221" s="188"/>
      <c r="X1221" s="188"/>
      <c r="Y1221" s="188"/>
      <c r="Z1221" s="188"/>
      <c r="AA1221" s="188"/>
    </row>
    <row r="1222" spans="1:27" ht="15.75" customHeight="1" x14ac:dyDescent="0.55000000000000004">
      <c r="A1222" s="164">
        <v>176</v>
      </c>
      <c r="B1222" s="164" t="s">
        <v>1942</v>
      </c>
      <c r="C1222" s="164" t="s">
        <v>859</v>
      </c>
      <c r="D1222" s="186">
        <v>44271</v>
      </c>
      <c r="E1222" s="131" t="s">
        <v>3696</v>
      </c>
      <c r="F1222" s="120">
        <v>74</v>
      </c>
      <c r="G1222" s="120">
        <v>1</v>
      </c>
      <c r="H1222" s="131">
        <v>3</v>
      </c>
      <c r="I1222" s="131">
        <v>2</v>
      </c>
      <c r="J1222" s="133" t="s">
        <v>3689</v>
      </c>
      <c r="K1222" s="133">
        <v>5</v>
      </c>
      <c r="L1222" s="120">
        <v>71.099999999999994</v>
      </c>
      <c r="M1222" s="120">
        <v>0</v>
      </c>
      <c r="N1222" s="187"/>
      <c r="O1222" s="188"/>
      <c r="P1222" s="188"/>
      <c r="Q1222" s="188"/>
      <c r="R1222" s="188"/>
      <c r="S1222" s="188"/>
      <c r="T1222" s="188"/>
      <c r="U1222" s="188"/>
      <c r="V1222" s="188"/>
      <c r="W1222" s="188"/>
      <c r="X1222" s="188"/>
      <c r="Y1222" s="188"/>
      <c r="Z1222" s="188"/>
      <c r="AA1222" s="188"/>
    </row>
    <row r="1223" spans="1:27" ht="15.75" customHeight="1" x14ac:dyDescent="0.55000000000000004">
      <c r="A1223" s="164">
        <v>176</v>
      </c>
      <c r="B1223" s="164" t="s">
        <v>1942</v>
      </c>
      <c r="C1223" s="164" t="s">
        <v>859</v>
      </c>
      <c r="D1223" s="186">
        <v>44271</v>
      </c>
      <c r="E1223" s="131" t="s">
        <v>3697</v>
      </c>
      <c r="F1223" s="120">
        <v>44</v>
      </c>
      <c r="G1223" s="131">
        <v>1</v>
      </c>
      <c r="H1223" s="131">
        <v>3</v>
      </c>
      <c r="I1223" s="131">
        <v>2</v>
      </c>
      <c r="J1223" s="133" t="s">
        <v>3698</v>
      </c>
      <c r="K1223" s="133">
        <v>5</v>
      </c>
      <c r="L1223" s="120">
        <v>76.599999999999994</v>
      </c>
      <c r="M1223" s="120">
        <v>32.6</v>
      </c>
      <c r="N1223" s="187"/>
      <c r="O1223" s="188"/>
      <c r="P1223" s="188"/>
      <c r="Q1223" s="188"/>
      <c r="R1223" s="188"/>
      <c r="S1223" s="188"/>
      <c r="T1223" s="188"/>
      <c r="U1223" s="188"/>
      <c r="V1223" s="188"/>
      <c r="W1223" s="188"/>
      <c r="X1223" s="188"/>
      <c r="Y1223" s="188"/>
      <c r="Z1223" s="188"/>
      <c r="AA1223" s="188"/>
    </row>
    <row r="1224" spans="1:27" ht="15.75" customHeight="1" x14ac:dyDescent="0.55000000000000004">
      <c r="A1224" s="189">
        <v>177</v>
      </c>
      <c r="B1224" s="189" t="s">
        <v>2005</v>
      </c>
      <c r="C1224" s="162" t="s">
        <v>2006</v>
      </c>
      <c r="D1224" s="190">
        <v>44277</v>
      </c>
      <c r="E1224" s="131" t="s">
        <v>3699</v>
      </c>
      <c r="F1224" s="120">
        <v>51</v>
      </c>
      <c r="G1224" s="120">
        <v>0</v>
      </c>
      <c r="H1224" s="131">
        <v>0</v>
      </c>
      <c r="I1224" s="120">
        <v>0</v>
      </c>
      <c r="J1224" s="133" t="s">
        <v>853</v>
      </c>
      <c r="K1224" s="133">
        <v>0</v>
      </c>
      <c r="L1224" s="120">
        <v>67.099999999999994</v>
      </c>
      <c r="M1224" s="120">
        <v>16.100000000000001</v>
      </c>
      <c r="N1224" s="187"/>
      <c r="O1224" s="188"/>
      <c r="P1224" s="188"/>
      <c r="Q1224" s="188"/>
      <c r="R1224" s="188"/>
      <c r="S1224" s="188"/>
      <c r="T1224" s="188"/>
      <c r="U1224" s="188"/>
      <c r="V1224" s="188"/>
      <c r="W1224" s="188"/>
      <c r="X1224" s="188"/>
      <c r="Y1224" s="188"/>
      <c r="Z1224" s="188"/>
      <c r="AA1224" s="188"/>
    </row>
    <row r="1225" spans="1:27" ht="15.75" customHeight="1" x14ac:dyDescent="0.55000000000000004">
      <c r="A1225" s="189">
        <v>177</v>
      </c>
      <c r="B1225" s="189" t="s">
        <v>2005</v>
      </c>
      <c r="C1225" s="162" t="s">
        <v>2006</v>
      </c>
      <c r="D1225" s="190">
        <v>44277</v>
      </c>
      <c r="E1225" s="131" t="s">
        <v>3700</v>
      </c>
      <c r="F1225" s="120">
        <v>20</v>
      </c>
      <c r="G1225" s="120">
        <v>0</v>
      </c>
      <c r="H1225" s="131">
        <v>0</v>
      </c>
      <c r="I1225" s="120">
        <v>0</v>
      </c>
      <c r="J1225" s="133" t="s">
        <v>853</v>
      </c>
      <c r="K1225" s="133">
        <v>0</v>
      </c>
      <c r="L1225" s="120">
        <v>74.3</v>
      </c>
      <c r="M1225" s="120">
        <v>54.3</v>
      </c>
      <c r="N1225" s="187"/>
      <c r="O1225" s="188"/>
      <c r="P1225" s="188"/>
      <c r="Q1225" s="188"/>
      <c r="R1225" s="188"/>
      <c r="S1225" s="188"/>
      <c r="T1225" s="188"/>
      <c r="U1225" s="188"/>
      <c r="V1225" s="188"/>
      <c r="W1225" s="188"/>
      <c r="X1225" s="188"/>
      <c r="Y1225" s="188"/>
      <c r="Z1225" s="188"/>
      <c r="AA1225" s="188"/>
    </row>
    <row r="1226" spans="1:27" ht="15.75" customHeight="1" x14ac:dyDescent="0.55000000000000004">
      <c r="A1226" s="189">
        <v>177</v>
      </c>
      <c r="B1226" s="189" t="s">
        <v>2005</v>
      </c>
      <c r="C1226" s="162" t="s">
        <v>2006</v>
      </c>
      <c r="D1226" s="190">
        <v>44277</v>
      </c>
      <c r="E1226" s="131" t="s">
        <v>3701</v>
      </c>
      <c r="F1226" s="120">
        <v>23</v>
      </c>
      <c r="G1226" s="120">
        <v>0</v>
      </c>
      <c r="H1226" s="131">
        <v>0</v>
      </c>
      <c r="I1226" s="120">
        <v>0</v>
      </c>
      <c r="J1226" s="133" t="s">
        <v>853</v>
      </c>
      <c r="K1226" s="133">
        <v>0</v>
      </c>
      <c r="L1226" s="120">
        <v>74.099999999999994</v>
      </c>
      <c r="M1226" s="120">
        <v>51.1</v>
      </c>
      <c r="N1226" s="187"/>
      <c r="O1226" s="188"/>
      <c r="P1226" s="188"/>
      <c r="Q1226" s="188"/>
      <c r="R1226" s="188"/>
      <c r="S1226" s="188"/>
      <c r="T1226" s="188"/>
      <c r="U1226" s="188"/>
      <c r="V1226" s="188"/>
      <c r="W1226" s="188"/>
      <c r="X1226" s="188"/>
      <c r="Y1226" s="188"/>
      <c r="Z1226" s="188"/>
      <c r="AA1226" s="188"/>
    </row>
    <row r="1227" spans="1:27" ht="15.75" customHeight="1" x14ac:dyDescent="0.55000000000000004">
      <c r="A1227" s="189">
        <v>177</v>
      </c>
      <c r="B1227" s="189" t="s">
        <v>2005</v>
      </c>
      <c r="C1227" s="162" t="s">
        <v>2006</v>
      </c>
      <c r="D1227" s="190">
        <v>44277</v>
      </c>
      <c r="E1227" s="131" t="s">
        <v>3702</v>
      </c>
      <c r="F1227" s="120">
        <v>25</v>
      </c>
      <c r="G1227" s="120">
        <v>1</v>
      </c>
      <c r="H1227" s="131">
        <v>0</v>
      </c>
      <c r="I1227" s="120">
        <v>0</v>
      </c>
      <c r="J1227" s="133" t="s">
        <v>853</v>
      </c>
      <c r="K1227" s="133">
        <v>0</v>
      </c>
      <c r="L1227" s="120">
        <v>78.900000000000006</v>
      </c>
      <c r="M1227" s="120">
        <v>53.9</v>
      </c>
      <c r="N1227" s="187"/>
      <c r="O1227" s="188"/>
      <c r="P1227" s="188"/>
      <c r="Q1227" s="188"/>
      <c r="R1227" s="188"/>
      <c r="S1227" s="188"/>
      <c r="T1227" s="188"/>
      <c r="U1227" s="188"/>
      <c r="V1227" s="188"/>
      <c r="W1227" s="188"/>
      <c r="X1227" s="188"/>
      <c r="Y1227" s="188"/>
      <c r="Z1227" s="188"/>
      <c r="AA1227" s="188"/>
    </row>
    <row r="1228" spans="1:27" ht="15.75" customHeight="1" x14ac:dyDescent="0.55000000000000004">
      <c r="A1228" s="189">
        <v>177</v>
      </c>
      <c r="B1228" s="189" t="s">
        <v>2005</v>
      </c>
      <c r="C1228" s="162" t="s">
        <v>2006</v>
      </c>
      <c r="D1228" s="190">
        <v>44277</v>
      </c>
      <c r="E1228" s="131" t="s">
        <v>3703</v>
      </c>
      <c r="F1228" s="120">
        <v>49</v>
      </c>
      <c r="G1228" s="120">
        <v>1</v>
      </c>
      <c r="H1228" s="131">
        <v>0</v>
      </c>
      <c r="I1228" s="120">
        <v>0</v>
      </c>
      <c r="J1228" s="133" t="s">
        <v>853</v>
      </c>
      <c r="K1228" s="133">
        <v>0</v>
      </c>
      <c r="L1228" s="120">
        <v>74.7</v>
      </c>
      <c r="M1228" s="120">
        <v>25.7</v>
      </c>
      <c r="N1228" s="187"/>
      <c r="O1228" s="188"/>
      <c r="P1228" s="188"/>
      <c r="Q1228" s="188"/>
      <c r="R1228" s="188"/>
      <c r="S1228" s="188"/>
      <c r="T1228" s="188"/>
      <c r="U1228" s="188"/>
      <c r="V1228" s="188"/>
      <c r="W1228" s="188"/>
      <c r="X1228" s="188"/>
      <c r="Y1228" s="188"/>
      <c r="Z1228" s="188"/>
      <c r="AA1228" s="188"/>
    </row>
    <row r="1229" spans="1:27" ht="15.75" customHeight="1" x14ac:dyDescent="0.55000000000000004">
      <c r="A1229" s="189">
        <v>177</v>
      </c>
      <c r="B1229" s="189" t="s">
        <v>2005</v>
      </c>
      <c r="C1229" s="162" t="s">
        <v>2006</v>
      </c>
      <c r="D1229" s="190">
        <v>44277</v>
      </c>
      <c r="E1229" s="131" t="s">
        <v>3704</v>
      </c>
      <c r="F1229" s="120">
        <v>59</v>
      </c>
      <c r="G1229" s="120">
        <v>1</v>
      </c>
      <c r="H1229" s="131">
        <v>0</v>
      </c>
      <c r="I1229" s="120">
        <v>0</v>
      </c>
      <c r="J1229" s="133" t="s">
        <v>853</v>
      </c>
      <c r="K1229" s="133">
        <v>0</v>
      </c>
      <c r="L1229" s="120">
        <v>73.099999999999994</v>
      </c>
      <c r="M1229" s="120">
        <v>14.1</v>
      </c>
      <c r="N1229" s="187"/>
      <c r="O1229" s="188"/>
      <c r="P1229" s="188"/>
      <c r="Q1229" s="188"/>
      <c r="R1229" s="188"/>
      <c r="S1229" s="188"/>
      <c r="T1229" s="188"/>
      <c r="U1229" s="188"/>
      <c r="V1229" s="188"/>
      <c r="W1229" s="188"/>
      <c r="X1229" s="188"/>
      <c r="Y1229" s="188"/>
      <c r="Z1229" s="188"/>
      <c r="AA1229" s="188"/>
    </row>
    <row r="1230" spans="1:27" ht="15.75" customHeight="1" x14ac:dyDescent="0.55000000000000004">
      <c r="A1230" s="189">
        <v>177</v>
      </c>
      <c r="B1230" s="189" t="s">
        <v>2005</v>
      </c>
      <c r="C1230" s="162" t="s">
        <v>2006</v>
      </c>
      <c r="D1230" s="190">
        <v>44277</v>
      </c>
      <c r="E1230" s="131" t="s">
        <v>3705</v>
      </c>
      <c r="F1230" s="120">
        <v>51</v>
      </c>
      <c r="G1230" s="120">
        <v>1</v>
      </c>
      <c r="H1230" s="131">
        <v>0</v>
      </c>
      <c r="I1230" s="120">
        <v>0</v>
      </c>
      <c r="J1230" s="133" t="s">
        <v>853</v>
      </c>
      <c r="K1230" s="133">
        <v>0</v>
      </c>
      <c r="L1230" s="120">
        <v>74.7</v>
      </c>
      <c r="M1230" s="120">
        <v>23.7</v>
      </c>
      <c r="N1230" s="187"/>
      <c r="O1230" s="188"/>
      <c r="P1230" s="188"/>
      <c r="Q1230" s="188"/>
      <c r="R1230" s="188"/>
      <c r="S1230" s="188"/>
      <c r="T1230" s="188"/>
      <c r="U1230" s="188"/>
      <c r="V1230" s="188"/>
      <c r="W1230" s="188"/>
      <c r="X1230" s="188"/>
      <c r="Y1230" s="188"/>
      <c r="Z1230" s="188"/>
      <c r="AA1230" s="188"/>
    </row>
    <row r="1231" spans="1:27" ht="15.75" customHeight="1" x14ac:dyDescent="0.55000000000000004">
      <c r="A1231" s="189">
        <v>177</v>
      </c>
      <c r="B1231" s="189" t="s">
        <v>2005</v>
      </c>
      <c r="C1231" s="162" t="s">
        <v>2006</v>
      </c>
      <c r="D1231" s="190">
        <v>44277</v>
      </c>
      <c r="E1231" s="131" t="s">
        <v>3706</v>
      </c>
      <c r="F1231" s="120">
        <v>61</v>
      </c>
      <c r="G1231" s="120">
        <v>0</v>
      </c>
      <c r="H1231" s="131">
        <v>0</v>
      </c>
      <c r="I1231" s="120">
        <v>0</v>
      </c>
      <c r="J1231" s="133" t="s">
        <v>853</v>
      </c>
      <c r="K1231" s="133">
        <v>0</v>
      </c>
      <c r="L1231" s="120">
        <v>66.599999999999994</v>
      </c>
      <c r="M1231" s="120">
        <v>5.6</v>
      </c>
      <c r="N1231" s="187"/>
      <c r="O1231" s="188"/>
      <c r="P1231" s="188"/>
      <c r="Q1231" s="188"/>
      <c r="R1231" s="188"/>
      <c r="S1231" s="188"/>
      <c r="T1231" s="188"/>
      <c r="U1231" s="188"/>
      <c r="V1231" s="188"/>
      <c r="W1231" s="188"/>
      <c r="X1231" s="188"/>
      <c r="Y1231" s="188"/>
      <c r="Z1231" s="188"/>
      <c r="AA1231" s="188"/>
    </row>
    <row r="1232" spans="1:27" ht="15.75" customHeight="1" x14ac:dyDescent="0.55000000000000004">
      <c r="A1232" s="189">
        <v>177</v>
      </c>
      <c r="B1232" s="189" t="s">
        <v>2005</v>
      </c>
      <c r="C1232" s="162" t="s">
        <v>2006</v>
      </c>
      <c r="D1232" s="190">
        <v>44277</v>
      </c>
      <c r="E1232" s="131" t="s">
        <v>3707</v>
      </c>
      <c r="F1232" s="120">
        <v>62</v>
      </c>
      <c r="G1232" s="120">
        <v>1</v>
      </c>
      <c r="H1232" s="131">
        <v>0</v>
      </c>
      <c r="I1232" s="120">
        <v>0</v>
      </c>
      <c r="J1232" s="133" t="s">
        <v>853</v>
      </c>
      <c r="K1232" s="133">
        <v>0</v>
      </c>
      <c r="L1232" s="120">
        <v>73.099999999999994</v>
      </c>
      <c r="M1232" s="120">
        <v>11.1</v>
      </c>
      <c r="N1232" s="187"/>
      <c r="O1232" s="188"/>
      <c r="P1232" s="188"/>
      <c r="Q1232" s="188"/>
      <c r="R1232" s="188"/>
      <c r="S1232" s="188"/>
      <c r="T1232" s="188"/>
      <c r="U1232" s="188"/>
      <c r="V1232" s="188"/>
      <c r="W1232" s="188"/>
      <c r="X1232" s="188"/>
      <c r="Y1232" s="188"/>
      <c r="Z1232" s="188"/>
      <c r="AA1232" s="188"/>
    </row>
    <row r="1233" spans="1:27" ht="15.75" customHeight="1" x14ac:dyDescent="0.55000000000000004">
      <c r="A1233" s="189">
        <v>177</v>
      </c>
      <c r="B1233" s="189" t="s">
        <v>2005</v>
      </c>
      <c r="C1233" s="162" t="s">
        <v>2006</v>
      </c>
      <c r="D1233" s="190">
        <v>44277</v>
      </c>
      <c r="E1233" s="131" t="s">
        <v>3708</v>
      </c>
      <c r="F1233" s="120">
        <v>65</v>
      </c>
      <c r="G1233" s="120">
        <v>1</v>
      </c>
      <c r="H1233" s="131">
        <v>0</v>
      </c>
      <c r="I1233" s="120">
        <v>0</v>
      </c>
      <c r="J1233" s="133" t="s">
        <v>853</v>
      </c>
      <c r="K1233" s="133">
        <v>0</v>
      </c>
      <c r="L1233" s="120">
        <v>73.099999999999994</v>
      </c>
      <c r="M1233" s="120">
        <v>8.1</v>
      </c>
      <c r="N1233" s="187"/>
      <c r="O1233" s="188"/>
      <c r="P1233" s="188"/>
      <c r="Q1233" s="188"/>
      <c r="R1233" s="188"/>
      <c r="S1233" s="188"/>
      <c r="T1233" s="188"/>
      <c r="U1233" s="188"/>
      <c r="V1233" s="188"/>
      <c r="W1233" s="188"/>
      <c r="X1233" s="188"/>
      <c r="Y1233" s="188"/>
      <c r="Z1233" s="188"/>
      <c r="AA1233" s="188"/>
    </row>
    <row r="1234" spans="1:27" ht="15.75" customHeight="1" x14ac:dyDescent="0.55000000000000004">
      <c r="A1234" s="191">
        <v>178</v>
      </c>
      <c r="B1234" s="166" t="s">
        <v>2013</v>
      </c>
      <c r="C1234" s="166" t="s">
        <v>2014</v>
      </c>
      <c r="D1234" s="192">
        <v>44286</v>
      </c>
      <c r="E1234" s="131" t="s">
        <v>3709</v>
      </c>
      <c r="F1234" s="120">
        <v>50</v>
      </c>
      <c r="G1234" s="120">
        <v>0</v>
      </c>
      <c r="H1234" s="131">
        <v>2</v>
      </c>
      <c r="I1234" s="120">
        <v>1</v>
      </c>
      <c r="J1234" s="131" t="s">
        <v>3710</v>
      </c>
      <c r="K1234" s="133">
        <v>3</v>
      </c>
      <c r="L1234" s="120">
        <v>67.099999999999994</v>
      </c>
      <c r="M1234" s="120">
        <v>17.100000000000001</v>
      </c>
      <c r="N1234" s="187"/>
      <c r="O1234" s="188"/>
      <c r="P1234" s="188"/>
      <c r="Q1234" s="188"/>
      <c r="R1234" s="188"/>
      <c r="S1234" s="188"/>
      <c r="T1234" s="188"/>
      <c r="U1234" s="188"/>
      <c r="V1234" s="188"/>
      <c r="W1234" s="188"/>
      <c r="X1234" s="188"/>
      <c r="Y1234" s="188"/>
      <c r="Z1234" s="188"/>
      <c r="AA1234" s="188"/>
    </row>
    <row r="1235" spans="1:27" ht="15.75" customHeight="1" x14ac:dyDescent="0.55000000000000004">
      <c r="A1235" s="191">
        <v>178</v>
      </c>
      <c r="B1235" s="166" t="s">
        <v>2013</v>
      </c>
      <c r="C1235" s="166" t="s">
        <v>2014</v>
      </c>
      <c r="D1235" s="192">
        <v>44286</v>
      </c>
      <c r="E1235" s="131" t="s">
        <v>3711</v>
      </c>
      <c r="F1235" s="120">
        <v>58</v>
      </c>
      <c r="G1235" s="120">
        <v>1</v>
      </c>
      <c r="H1235" s="131">
        <v>2</v>
      </c>
      <c r="I1235" s="120">
        <v>1</v>
      </c>
      <c r="J1235" s="131" t="s">
        <v>3710</v>
      </c>
      <c r="K1235" s="133">
        <v>3</v>
      </c>
      <c r="L1235" s="120">
        <v>73.099999999999994</v>
      </c>
      <c r="M1235" s="120" t="s">
        <v>3712</v>
      </c>
      <c r="N1235" s="187"/>
      <c r="O1235" s="188"/>
      <c r="P1235" s="188"/>
      <c r="Q1235" s="188"/>
      <c r="R1235" s="188"/>
      <c r="S1235" s="188"/>
      <c r="T1235" s="188"/>
      <c r="U1235" s="188"/>
      <c r="V1235" s="188"/>
      <c r="W1235" s="188"/>
      <c r="X1235" s="188"/>
      <c r="Y1235" s="188"/>
      <c r="Z1235" s="188"/>
      <c r="AA1235" s="188"/>
    </row>
    <row r="1236" spans="1:27" ht="15.75" customHeight="1" x14ac:dyDescent="0.55000000000000004">
      <c r="A1236" s="191">
        <v>178</v>
      </c>
      <c r="B1236" s="166" t="s">
        <v>2013</v>
      </c>
      <c r="C1236" s="166" t="s">
        <v>2014</v>
      </c>
      <c r="D1236" s="192">
        <v>44286</v>
      </c>
      <c r="E1236" s="131" t="s">
        <v>3713</v>
      </c>
      <c r="F1236" s="120">
        <v>28</v>
      </c>
      <c r="G1236" s="120">
        <v>1</v>
      </c>
      <c r="H1236" s="131">
        <v>2</v>
      </c>
      <c r="I1236" s="120">
        <v>1</v>
      </c>
      <c r="J1236" s="131" t="s">
        <v>3710</v>
      </c>
      <c r="K1236" s="133">
        <v>3</v>
      </c>
      <c r="L1236" s="120">
        <v>78.900000000000006</v>
      </c>
      <c r="M1236" s="120">
        <v>50.9</v>
      </c>
      <c r="N1236" s="187"/>
      <c r="O1236" s="188"/>
      <c r="P1236" s="188"/>
      <c r="Q1236" s="188"/>
      <c r="R1236" s="188"/>
      <c r="S1236" s="188"/>
      <c r="T1236" s="188"/>
      <c r="U1236" s="188"/>
      <c r="V1236" s="188"/>
      <c r="W1236" s="188"/>
      <c r="X1236" s="188"/>
      <c r="Y1236" s="188"/>
      <c r="Z1236" s="188"/>
      <c r="AA1236" s="188"/>
    </row>
    <row r="1237" spans="1:27" ht="15.75" customHeight="1" x14ac:dyDescent="0.55000000000000004">
      <c r="A1237" s="191">
        <v>178</v>
      </c>
      <c r="B1237" s="166" t="s">
        <v>2013</v>
      </c>
      <c r="C1237" s="166" t="s">
        <v>2014</v>
      </c>
      <c r="D1237" s="192">
        <v>44286</v>
      </c>
      <c r="E1237" s="131" t="s">
        <v>3714</v>
      </c>
      <c r="F1237" s="120">
        <v>9</v>
      </c>
      <c r="G1237" s="120">
        <v>0</v>
      </c>
      <c r="H1237" s="131">
        <v>2</v>
      </c>
      <c r="I1237" s="131">
        <v>0</v>
      </c>
      <c r="J1237" s="133" t="s">
        <v>853</v>
      </c>
      <c r="K1237" s="133">
        <v>0</v>
      </c>
      <c r="L1237" s="120">
        <v>76.400000000000006</v>
      </c>
      <c r="M1237" s="120">
        <v>67.400000000000006</v>
      </c>
      <c r="N1237" s="187"/>
      <c r="O1237" s="188"/>
      <c r="P1237" s="188"/>
      <c r="Q1237" s="188"/>
      <c r="R1237" s="188"/>
      <c r="S1237" s="188"/>
      <c r="T1237" s="188"/>
      <c r="U1237" s="188"/>
      <c r="V1237" s="188"/>
      <c r="W1237" s="188"/>
      <c r="X1237" s="188"/>
      <c r="Y1237" s="188"/>
      <c r="Z1237" s="188"/>
      <c r="AA1237" s="188"/>
    </row>
    <row r="1238" spans="1:27" ht="15.75" customHeight="1" x14ac:dyDescent="0.55000000000000004">
      <c r="A1238" s="193">
        <v>179</v>
      </c>
      <c r="B1238" s="193" t="s">
        <v>2017</v>
      </c>
      <c r="C1238" s="193" t="s">
        <v>2018</v>
      </c>
      <c r="D1238" s="194">
        <v>44301</v>
      </c>
      <c r="E1238" s="131" t="s">
        <v>3715</v>
      </c>
      <c r="F1238" s="120">
        <v>32</v>
      </c>
      <c r="G1238" s="120">
        <v>0</v>
      </c>
      <c r="H1238" s="120">
        <v>0</v>
      </c>
      <c r="I1238" s="131">
        <v>2</v>
      </c>
      <c r="J1238" s="133" t="s">
        <v>3716</v>
      </c>
      <c r="K1238" s="133">
        <v>3</v>
      </c>
      <c r="L1238" s="120">
        <v>71.8</v>
      </c>
      <c r="M1238" s="120">
        <v>39.799999999999997</v>
      </c>
      <c r="N1238" s="187"/>
      <c r="O1238" s="188"/>
      <c r="P1238" s="188"/>
      <c r="Q1238" s="188"/>
      <c r="R1238" s="188"/>
      <c r="S1238" s="188"/>
      <c r="T1238" s="188"/>
      <c r="U1238" s="188"/>
      <c r="V1238" s="188"/>
      <c r="W1238" s="188"/>
      <c r="X1238" s="188"/>
      <c r="Y1238" s="188"/>
      <c r="Z1238" s="188"/>
      <c r="AA1238" s="188"/>
    </row>
    <row r="1239" spans="1:27" ht="15.75" customHeight="1" x14ac:dyDescent="0.55000000000000004">
      <c r="A1239" s="193">
        <v>179</v>
      </c>
      <c r="B1239" s="193" t="s">
        <v>2017</v>
      </c>
      <c r="C1239" s="193" t="s">
        <v>2018</v>
      </c>
      <c r="D1239" s="194">
        <v>44301</v>
      </c>
      <c r="E1239" s="131" t="s">
        <v>3717</v>
      </c>
      <c r="F1239" s="120">
        <v>19</v>
      </c>
      <c r="G1239" s="120">
        <v>1</v>
      </c>
      <c r="H1239" s="120">
        <v>0</v>
      </c>
      <c r="I1239" s="131">
        <v>0</v>
      </c>
      <c r="J1239" s="133" t="s">
        <v>853</v>
      </c>
      <c r="K1239" s="133">
        <v>0</v>
      </c>
      <c r="L1239" s="120">
        <v>79.599999999999994</v>
      </c>
      <c r="M1239" s="120">
        <v>60.6</v>
      </c>
      <c r="N1239" s="187"/>
      <c r="O1239" s="188"/>
      <c r="P1239" s="188"/>
      <c r="Q1239" s="188"/>
      <c r="R1239" s="188"/>
      <c r="S1239" s="188"/>
      <c r="T1239" s="188"/>
      <c r="U1239" s="188"/>
      <c r="V1239" s="188"/>
      <c r="W1239" s="188"/>
      <c r="X1239" s="188"/>
      <c r="Y1239" s="188"/>
      <c r="Z1239" s="188"/>
      <c r="AA1239" s="188"/>
    </row>
    <row r="1240" spans="1:27" ht="15.75" customHeight="1" x14ac:dyDescent="0.55000000000000004">
      <c r="A1240" s="193">
        <v>179</v>
      </c>
      <c r="B1240" s="193" t="s">
        <v>2017</v>
      </c>
      <c r="C1240" s="193" t="s">
        <v>2018</v>
      </c>
      <c r="D1240" s="194">
        <v>44301</v>
      </c>
      <c r="E1240" s="131" t="s">
        <v>3718</v>
      </c>
      <c r="F1240" s="120">
        <v>66</v>
      </c>
      <c r="G1240" s="120">
        <v>1</v>
      </c>
      <c r="H1240" s="120">
        <v>3</v>
      </c>
      <c r="I1240" s="120">
        <v>2</v>
      </c>
      <c r="J1240" s="133" t="s">
        <v>3716</v>
      </c>
      <c r="K1240" s="133">
        <v>3</v>
      </c>
      <c r="L1240" s="120">
        <v>73.099999999999994</v>
      </c>
      <c r="M1240" s="120">
        <v>7.1</v>
      </c>
      <c r="N1240" s="187"/>
      <c r="O1240" s="188"/>
      <c r="P1240" s="188"/>
      <c r="Q1240" s="188"/>
      <c r="R1240" s="188"/>
      <c r="S1240" s="188"/>
      <c r="T1240" s="188"/>
      <c r="U1240" s="188"/>
      <c r="V1240" s="188"/>
      <c r="W1240" s="188"/>
      <c r="X1240" s="188"/>
      <c r="Y1240" s="188"/>
      <c r="Z1240" s="188"/>
      <c r="AA1240" s="188"/>
    </row>
    <row r="1241" spans="1:27" ht="15.75" customHeight="1" x14ac:dyDescent="0.55000000000000004">
      <c r="A1241" s="193">
        <v>179</v>
      </c>
      <c r="B1241" s="193" t="s">
        <v>2017</v>
      </c>
      <c r="C1241" s="193" t="s">
        <v>2018</v>
      </c>
      <c r="D1241" s="194">
        <v>44301</v>
      </c>
      <c r="E1241" s="131" t="s">
        <v>3719</v>
      </c>
      <c r="F1241" s="120">
        <v>50</v>
      </c>
      <c r="G1241" s="120">
        <v>1</v>
      </c>
      <c r="H1241" s="120">
        <v>3</v>
      </c>
      <c r="I1241" s="120">
        <v>2</v>
      </c>
      <c r="J1241" s="133" t="s">
        <v>3716</v>
      </c>
      <c r="K1241" s="133">
        <v>3</v>
      </c>
      <c r="L1241" s="120">
        <v>74.7</v>
      </c>
      <c r="M1241" s="120">
        <v>24.7</v>
      </c>
      <c r="N1241" s="187"/>
      <c r="O1241" s="188"/>
      <c r="P1241" s="188"/>
      <c r="Q1241" s="188"/>
      <c r="R1241" s="188"/>
      <c r="S1241" s="188"/>
      <c r="T1241" s="188"/>
      <c r="U1241" s="188"/>
      <c r="V1241" s="188"/>
      <c r="W1241" s="188"/>
      <c r="X1241" s="188"/>
      <c r="Y1241" s="188"/>
      <c r="Z1241" s="188"/>
      <c r="AA1241" s="188"/>
    </row>
    <row r="1242" spans="1:27" ht="15.75" customHeight="1" x14ac:dyDescent="0.55000000000000004">
      <c r="A1242" s="193">
        <v>179</v>
      </c>
      <c r="B1242" s="193" t="s">
        <v>2017</v>
      </c>
      <c r="C1242" s="193" t="s">
        <v>2018</v>
      </c>
      <c r="D1242" s="194">
        <v>44301</v>
      </c>
      <c r="E1242" s="131" t="s">
        <v>3720</v>
      </c>
      <c r="F1242" s="120">
        <v>68</v>
      </c>
      <c r="G1242" s="120">
        <v>0</v>
      </c>
      <c r="H1242" s="120">
        <v>3</v>
      </c>
      <c r="I1242" s="120">
        <v>0</v>
      </c>
      <c r="J1242" s="133" t="s">
        <v>853</v>
      </c>
      <c r="K1242" s="133">
        <v>0</v>
      </c>
      <c r="L1242" s="120">
        <v>65.599999999999994</v>
      </c>
      <c r="M1242" s="120">
        <v>0</v>
      </c>
      <c r="N1242" s="187"/>
      <c r="O1242" s="188"/>
      <c r="P1242" s="188"/>
      <c r="Q1242" s="188"/>
      <c r="R1242" s="188"/>
      <c r="S1242" s="188"/>
      <c r="T1242" s="188"/>
      <c r="U1242" s="188"/>
      <c r="V1242" s="188"/>
      <c r="W1242" s="188"/>
      <c r="X1242" s="188"/>
      <c r="Y1242" s="188"/>
      <c r="Z1242" s="188"/>
      <c r="AA1242" s="188"/>
    </row>
    <row r="1243" spans="1:27" ht="15.75" customHeight="1" x14ac:dyDescent="0.55000000000000004">
      <c r="A1243" s="193">
        <v>179</v>
      </c>
      <c r="B1243" s="193" t="s">
        <v>2017</v>
      </c>
      <c r="C1243" s="193" t="s">
        <v>2018</v>
      </c>
      <c r="D1243" s="194">
        <v>44301</v>
      </c>
      <c r="E1243" s="131" t="s">
        <v>3721</v>
      </c>
      <c r="F1243" s="120">
        <v>48</v>
      </c>
      <c r="G1243" s="120">
        <v>1</v>
      </c>
      <c r="H1243" s="120">
        <v>3</v>
      </c>
      <c r="I1243" s="131">
        <v>0</v>
      </c>
      <c r="J1243" s="133" t="s">
        <v>853</v>
      </c>
      <c r="K1243" s="133">
        <v>0</v>
      </c>
      <c r="L1243" s="120">
        <v>76.599999999999994</v>
      </c>
      <c r="M1243" s="120">
        <v>28.6</v>
      </c>
      <c r="N1243" s="187"/>
      <c r="O1243" s="188"/>
      <c r="P1243" s="188"/>
      <c r="Q1243" s="188"/>
      <c r="R1243" s="188"/>
      <c r="S1243" s="188"/>
      <c r="T1243" s="188"/>
      <c r="U1243" s="188"/>
      <c r="V1243" s="188"/>
      <c r="W1243" s="188"/>
      <c r="X1243" s="188"/>
      <c r="Y1243" s="188"/>
      <c r="Z1243" s="188"/>
      <c r="AA1243" s="188"/>
    </row>
    <row r="1244" spans="1:27" ht="15.75" customHeight="1" x14ac:dyDescent="0.55000000000000004">
      <c r="A1244" s="193">
        <v>179</v>
      </c>
      <c r="B1244" s="193" t="s">
        <v>2017</v>
      </c>
      <c r="C1244" s="193" t="s">
        <v>2018</v>
      </c>
      <c r="D1244" s="194">
        <v>44301</v>
      </c>
      <c r="E1244" s="131" t="s">
        <v>3722</v>
      </c>
      <c r="F1244" s="120">
        <v>19</v>
      </c>
      <c r="G1244" s="120">
        <v>1</v>
      </c>
      <c r="H1244" s="120">
        <v>1</v>
      </c>
      <c r="I1244" s="131">
        <v>0</v>
      </c>
      <c r="J1244" s="133" t="s">
        <v>853</v>
      </c>
      <c r="K1244" s="133">
        <v>0</v>
      </c>
      <c r="L1244" s="120">
        <v>79.599999999999994</v>
      </c>
      <c r="M1244" s="120">
        <v>60.6</v>
      </c>
      <c r="N1244" s="187"/>
      <c r="O1244" s="188"/>
      <c r="P1244" s="188"/>
      <c r="Q1244" s="188"/>
      <c r="R1244" s="188"/>
      <c r="S1244" s="188"/>
      <c r="T1244" s="188"/>
      <c r="U1244" s="188"/>
      <c r="V1244" s="188"/>
      <c r="W1244" s="188"/>
      <c r="X1244" s="188"/>
      <c r="Y1244" s="188"/>
      <c r="Z1244" s="188"/>
      <c r="AA1244" s="188"/>
    </row>
    <row r="1245" spans="1:27" ht="15.75" customHeight="1" x14ac:dyDescent="0.55000000000000004">
      <c r="A1245" s="193">
        <v>179</v>
      </c>
      <c r="B1245" s="193" t="s">
        <v>2017</v>
      </c>
      <c r="C1245" s="193" t="s">
        <v>2018</v>
      </c>
      <c r="D1245" s="194">
        <v>44301</v>
      </c>
      <c r="E1245" s="131" t="s">
        <v>3723</v>
      </c>
      <c r="F1245" s="120">
        <v>74</v>
      </c>
      <c r="G1245" s="120">
        <v>0</v>
      </c>
      <c r="H1245" s="120">
        <v>0</v>
      </c>
      <c r="I1245" s="131">
        <v>2</v>
      </c>
      <c r="J1245" s="133" t="s">
        <v>3716</v>
      </c>
      <c r="K1245" s="133">
        <v>3</v>
      </c>
      <c r="L1245" s="120">
        <v>65.599999999999994</v>
      </c>
      <c r="M1245" s="120">
        <v>0</v>
      </c>
      <c r="N1245" s="187"/>
      <c r="O1245" s="188"/>
      <c r="P1245" s="188"/>
      <c r="Q1245" s="188"/>
      <c r="R1245" s="188"/>
      <c r="S1245" s="188"/>
      <c r="T1245" s="188"/>
      <c r="U1245" s="188"/>
      <c r="V1245" s="188"/>
      <c r="W1245" s="188"/>
      <c r="X1245" s="188"/>
      <c r="Y1245" s="188"/>
      <c r="Z1245" s="188"/>
      <c r="AA1245" s="188"/>
    </row>
    <row r="1246" spans="1:27" ht="15.75" customHeight="1" x14ac:dyDescent="0.55000000000000004">
      <c r="A1246" s="195">
        <v>180</v>
      </c>
      <c r="B1246" s="195" t="s">
        <v>2024</v>
      </c>
      <c r="C1246" s="195" t="s">
        <v>2025</v>
      </c>
      <c r="D1246" s="196">
        <v>44342</v>
      </c>
      <c r="E1246" s="131" t="s">
        <v>3724</v>
      </c>
      <c r="F1246" s="120">
        <v>42</v>
      </c>
      <c r="G1246" s="120">
        <v>0</v>
      </c>
      <c r="H1246" s="120">
        <v>3</v>
      </c>
      <c r="I1246" s="120">
        <v>1</v>
      </c>
      <c r="J1246" s="133" t="s">
        <v>3725</v>
      </c>
      <c r="K1246" s="133">
        <v>3</v>
      </c>
      <c r="L1246" s="120">
        <v>70</v>
      </c>
      <c r="M1246" s="120">
        <v>28</v>
      </c>
      <c r="N1246" s="187"/>
      <c r="O1246" s="188"/>
      <c r="P1246" s="188"/>
      <c r="Q1246" s="188"/>
      <c r="R1246" s="188"/>
      <c r="S1246" s="188"/>
      <c r="T1246" s="188"/>
      <c r="U1246" s="188"/>
      <c r="V1246" s="188"/>
      <c r="W1246" s="188"/>
      <c r="X1246" s="188"/>
      <c r="Y1246" s="188"/>
      <c r="Z1246" s="188"/>
      <c r="AA1246" s="188"/>
    </row>
    <row r="1247" spans="1:27" ht="15.75" customHeight="1" x14ac:dyDescent="0.55000000000000004">
      <c r="A1247" s="195">
        <v>180</v>
      </c>
      <c r="B1247" s="195" t="s">
        <v>2024</v>
      </c>
      <c r="C1247" s="195" t="s">
        <v>2025</v>
      </c>
      <c r="D1247" s="196">
        <v>44342</v>
      </c>
      <c r="E1247" s="131" t="s">
        <v>3726</v>
      </c>
      <c r="F1247" s="120">
        <v>36</v>
      </c>
      <c r="G1247" s="120">
        <v>0</v>
      </c>
      <c r="H1247" s="120">
        <v>3</v>
      </c>
      <c r="I1247" s="120">
        <v>1</v>
      </c>
      <c r="J1247" s="133" t="s">
        <v>3725</v>
      </c>
      <c r="K1247" s="133">
        <v>3</v>
      </c>
      <c r="L1247" s="120">
        <v>70</v>
      </c>
      <c r="M1247" s="120">
        <v>34</v>
      </c>
      <c r="N1247" s="187"/>
      <c r="O1247" s="188"/>
      <c r="P1247" s="188"/>
      <c r="Q1247" s="188"/>
      <c r="R1247" s="188"/>
      <c r="S1247" s="188"/>
      <c r="T1247" s="188"/>
      <c r="U1247" s="188"/>
      <c r="V1247" s="188"/>
      <c r="W1247" s="188"/>
      <c r="X1247" s="188"/>
      <c r="Y1247" s="188"/>
      <c r="Z1247" s="188"/>
      <c r="AA1247" s="188"/>
    </row>
    <row r="1248" spans="1:27" ht="15.75" customHeight="1" x14ac:dyDescent="0.55000000000000004">
      <c r="A1248" s="195">
        <v>180</v>
      </c>
      <c r="B1248" s="195" t="s">
        <v>2024</v>
      </c>
      <c r="C1248" s="195" t="s">
        <v>2025</v>
      </c>
      <c r="D1248" s="196">
        <v>44342</v>
      </c>
      <c r="E1248" s="131" t="s">
        <v>3727</v>
      </c>
      <c r="F1248" s="120">
        <v>29</v>
      </c>
      <c r="G1248" s="120">
        <v>0</v>
      </c>
      <c r="H1248" s="120">
        <v>2</v>
      </c>
      <c r="I1248" s="120">
        <v>1</v>
      </c>
      <c r="J1248" s="133" t="s">
        <v>3725</v>
      </c>
      <c r="K1248" s="133">
        <v>3</v>
      </c>
      <c r="L1248" s="120">
        <v>71.8</v>
      </c>
      <c r="M1248" s="120">
        <v>42.8</v>
      </c>
      <c r="N1248" s="187"/>
      <c r="O1248" s="188"/>
      <c r="P1248" s="188"/>
      <c r="Q1248" s="188"/>
      <c r="R1248" s="188"/>
      <c r="S1248" s="188"/>
      <c r="T1248" s="188"/>
      <c r="U1248" s="188"/>
      <c r="V1248" s="188"/>
      <c r="W1248" s="188"/>
      <c r="X1248" s="188"/>
      <c r="Y1248" s="188"/>
      <c r="Z1248" s="188"/>
      <c r="AA1248" s="188"/>
    </row>
    <row r="1249" spans="1:27" ht="15.75" customHeight="1" x14ac:dyDescent="0.55000000000000004">
      <c r="A1249" s="195">
        <v>180</v>
      </c>
      <c r="B1249" s="195" t="s">
        <v>2024</v>
      </c>
      <c r="C1249" s="195" t="s">
        <v>2025</v>
      </c>
      <c r="D1249" s="196">
        <v>44342</v>
      </c>
      <c r="E1249" s="131" t="s">
        <v>3728</v>
      </c>
      <c r="F1249" s="120">
        <v>35</v>
      </c>
      <c r="G1249" s="120">
        <v>0</v>
      </c>
      <c r="H1249" s="131">
        <v>2</v>
      </c>
      <c r="I1249" s="120">
        <v>1</v>
      </c>
      <c r="J1249" s="133" t="s">
        <v>3725</v>
      </c>
      <c r="K1249" s="133">
        <v>3</v>
      </c>
      <c r="L1249" s="120">
        <v>71.8</v>
      </c>
      <c r="M1249" s="120">
        <v>36.799999999999997</v>
      </c>
      <c r="N1249" s="187"/>
      <c r="O1249" s="188"/>
      <c r="P1249" s="188"/>
      <c r="Q1249" s="188"/>
      <c r="R1249" s="188"/>
      <c r="S1249" s="188"/>
      <c r="T1249" s="188"/>
      <c r="U1249" s="188"/>
      <c r="V1249" s="188"/>
      <c r="W1249" s="188"/>
      <c r="X1249" s="188"/>
      <c r="Y1249" s="188"/>
      <c r="Z1249" s="188"/>
      <c r="AA1249" s="188"/>
    </row>
    <row r="1250" spans="1:27" ht="15.75" customHeight="1" x14ac:dyDescent="0.55000000000000004">
      <c r="A1250" s="195">
        <v>180</v>
      </c>
      <c r="B1250" s="195" t="s">
        <v>2024</v>
      </c>
      <c r="C1250" s="195" t="s">
        <v>2025</v>
      </c>
      <c r="D1250" s="196">
        <v>44342</v>
      </c>
      <c r="E1250" s="131" t="s">
        <v>3729</v>
      </c>
      <c r="F1250" s="120">
        <v>49</v>
      </c>
      <c r="G1250" s="120">
        <v>0</v>
      </c>
      <c r="H1250" s="131">
        <v>0</v>
      </c>
      <c r="I1250" s="120">
        <v>1</v>
      </c>
      <c r="J1250" s="133" t="s">
        <v>3725</v>
      </c>
      <c r="K1250" s="133">
        <v>3</v>
      </c>
      <c r="L1250" s="120">
        <v>67.099999999999994</v>
      </c>
      <c r="M1250" s="120">
        <v>18.100000000000001</v>
      </c>
      <c r="N1250" s="187"/>
      <c r="O1250" s="188"/>
      <c r="P1250" s="188"/>
      <c r="Q1250" s="188"/>
      <c r="R1250" s="188"/>
      <c r="S1250" s="188"/>
      <c r="T1250" s="188"/>
      <c r="U1250" s="188"/>
      <c r="V1250" s="188"/>
      <c r="W1250" s="188"/>
      <c r="X1250" s="188"/>
      <c r="Y1250" s="188"/>
      <c r="Z1250" s="188"/>
      <c r="AA1250" s="188"/>
    </row>
    <row r="1251" spans="1:27" ht="15.75" customHeight="1" x14ac:dyDescent="0.55000000000000004">
      <c r="A1251" s="195">
        <v>180</v>
      </c>
      <c r="B1251" s="195" t="s">
        <v>2024</v>
      </c>
      <c r="C1251" s="195" t="s">
        <v>2025</v>
      </c>
      <c r="D1251" s="196">
        <v>44342</v>
      </c>
      <c r="E1251" s="131" t="s">
        <v>3730</v>
      </c>
      <c r="F1251" s="120">
        <v>40</v>
      </c>
      <c r="G1251" s="120">
        <v>0</v>
      </c>
      <c r="H1251" s="131">
        <v>0</v>
      </c>
      <c r="I1251" s="120">
        <v>1</v>
      </c>
      <c r="J1251" s="133" t="s">
        <v>3725</v>
      </c>
      <c r="K1251" s="133">
        <v>3</v>
      </c>
      <c r="L1251" s="120">
        <v>70</v>
      </c>
      <c r="M1251" s="120">
        <v>30</v>
      </c>
      <c r="N1251" s="187"/>
      <c r="O1251" s="188"/>
      <c r="P1251" s="188"/>
      <c r="Q1251" s="188"/>
      <c r="R1251" s="188"/>
      <c r="S1251" s="188"/>
      <c r="T1251" s="188"/>
      <c r="U1251" s="188"/>
      <c r="V1251" s="188"/>
      <c r="W1251" s="188"/>
      <c r="X1251" s="188"/>
      <c r="Y1251" s="188"/>
      <c r="Z1251" s="188"/>
      <c r="AA1251" s="188"/>
    </row>
    <row r="1252" spans="1:27" ht="15.75" customHeight="1" x14ac:dyDescent="0.55000000000000004">
      <c r="A1252" s="195">
        <v>180</v>
      </c>
      <c r="B1252" s="195" t="s">
        <v>2024</v>
      </c>
      <c r="C1252" s="195" t="s">
        <v>2025</v>
      </c>
      <c r="D1252" s="196">
        <v>44342</v>
      </c>
      <c r="E1252" s="131" t="s">
        <v>3731</v>
      </c>
      <c r="F1252" s="120">
        <v>63</v>
      </c>
      <c r="G1252" s="120">
        <v>0</v>
      </c>
      <c r="H1252" s="120">
        <v>4</v>
      </c>
      <c r="I1252" s="120">
        <v>1</v>
      </c>
      <c r="J1252" s="133" t="s">
        <v>3725</v>
      </c>
      <c r="K1252" s="133">
        <v>3</v>
      </c>
      <c r="L1252" s="120">
        <v>66.599999999999994</v>
      </c>
      <c r="M1252" s="120">
        <v>3.6</v>
      </c>
      <c r="N1252" s="187"/>
      <c r="O1252" s="188"/>
      <c r="P1252" s="188"/>
      <c r="Q1252" s="188"/>
      <c r="R1252" s="188"/>
      <c r="S1252" s="188"/>
      <c r="T1252" s="188"/>
      <c r="U1252" s="188"/>
      <c r="V1252" s="188"/>
      <c r="W1252" s="188"/>
      <c r="X1252" s="188"/>
      <c r="Y1252" s="188"/>
      <c r="Z1252" s="188"/>
      <c r="AA1252" s="188"/>
    </row>
    <row r="1253" spans="1:27" ht="15.75" customHeight="1" x14ac:dyDescent="0.55000000000000004">
      <c r="A1253" s="195">
        <v>180</v>
      </c>
      <c r="B1253" s="195" t="s">
        <v>2024</v>
      </c>
      <c r="C1253" s="195" t="s">
        <v>2025</v>
      </c>
      <c r="D1253" s="196">
        <v>44342</v>
      </c>
      <c r="E1253" s="131" t="s">
        <v>3732</v>
      </c>
      <c r="F1253" s="120">
        <v>63</v>
      </c>
      <c r="G1253" s="120">
        <v>0</v>
      </c>
      <c r="H1253" s="131">
        <v>0</v>
      </c>
      <c r="I1253" s="120">
        <v>1</v>
      </c>
      <c r="J1253" s="133" t="s">
        <v>3725</v>
      </c>
      <c r="K1253" s="133">
        <v>3</v>
      </c>
      <c r="L1253" s="120">
        <v>66.599999999999994</v>
      </c>
      <c r="M1253" s="120">
        <v>3.6</v>
      </c>
      <c r="N1253" s="187"/>
      <c r="O1253" s="188"/>
      <c r="P1253" s="188"/>
      <c r="Q1253" s="188"/>
      <c r="R1253" s="188"/>
      <c r="S1253" s="188"/>
      <c r="T1253" s="188"/>
      <c r="U1253" s="188"/>
      <c r="V1253" s="188"/>
      <c r="W1253" s="188"/>
      <c r="X1253" s="188"/>
      <c r="Y1253" s="188"/>
      <c r="Z1253" s="188"/>
      <c r="AA1253" s="188"/>
    </row>
    <row r="1254" spans="1:27" ht="15.75" customHeight="1" x14ac:dyDescent="0.55000000000000004">
      <c r="A1254" s="195">
        <v>180</v>
      </c>
      <c r="B1254" s="195" t="s">
        <v>2024</v>
      </c>
      <c r="C1254" s="195" t="s">
        <v>2025</v>
      </c>
      <c r="D1254" s="196">
        <v>44342</v>
      </c>
      <c r="E1254" s="131" t="s">
        <v>3733</v>
      </c>
      <c r="F1254" s="120">
        <v>49</v>
      </c>
      <c r="G1254" s="120">
        <v>0</v>
      </c>
      <c r="H1254" s="131">
        <v>0</v>
      </c>
      <c r="I1254" s="120">
        <v>1</v>
      </c>
      <c r="J1254" s="133" t="s">
        <v>3725</v>
      </c>
      <c r="K1254" s="133">
        <v>3</v>
      </c>
      <c r="L1254" s="120">
        <v>67.099999999999994</v>
      </c>
      <c r="M1254" s="120">
        <v>18.100000000000001</v>
      </c>
      <c r="N1254" s="187"/>
      <c r="O1254" s="188"/>
      <c r="P1254" s="188"/>
      <c r="Q1254" s="188"/>
      <c r="R1254" s="188"/>
      <c r="S1254" s="188"/>
      <c r="T1254" s="188"/>
      <c r="U1254" s="188"/>
      <c r="V1254" s="188"/>
      <c r="W1254" s="188"/>
      <c r="X1254" s="188"/>
      <c r="Y1254" s="188"/>
      <c r="Z1254" s="188"/>
      <c r="AA1254" s="188"/>
    </row>
    <row r="1255" spans="1:27" ht="15.75" customHeight="1" x14ac:dyDescent="0.55000000000000004">
      <c r="A1255" s="175">
        <v>181</v>
      </c>
      <c r="B1255" s="175" t="s">
        <v>2031</v>
      </c>
      <c r="C1255" s="175" t="s">
        <v>2032</v>
      </c>
      <c r="D1255" s="197">
        <v>44530</v>
      </c>
      <c r="E1255" s="131" t="s">
        <v>3734</v>
      </c>
      <c r="F1255" s="120">
        <v>16</v>
      </c>
      <c r="G1255" s="120">
        <v>0</v>
      </c>
      <c r="H1255" s="120">
        <v>0</v>
      </c>
      <c r="I1255" s="120">
        <v>2</v>
      </c>
      <c r="J1255" s="133" t="s">
        <v>3735</v>
      </c>
      <c r="K1255" s="133">
        <v>4</v>
      </c>
      <c r="L1255" s="131">
        <v>75.5</v>
      </c>
      <c r="M1255" s="133">
        <v>59.5</v>
      </c>
      <c r="N1255" s="157"/>
      <c r="O1255" s="158"/>
      <c r="P1255" s="158"/>
      <c r="Q1255" s="158"/>
      <c r="R1255" s="158"/>
      <c r="S1255" s="158"/>
      <c r="T1255" s="158"/>
      <c r="U1255" s="158"/>
      <c r="V1255" s="158"/>
      <c r="W1255" s="158"/>
      <c r="X1255" s="158"/>
      <c r="Y1255" s="158"/>
      <c r="Z1255" s="158"/>
      <c r="AA1255" s="158"/>
    </row>
    <row r="1256" spans="1:27" ht="15.75" customHeight="1" x14ac:dyDescent="0.55000000000000004">
      <c r="A1256" s="175">
        <v>181</v>
      </c>
      <c r="B1256" s="175" t="s">
        <v>2031</v>
      </c>
      <c r="C1256" s="175" t="s">
        <v>2032</v>
      </c>
      <c r="D1256" s="197">
        <v>44530</v>
      </c>
      <c r="E1256" s="131" t="s">
        <v>3736</v>
      </c>
      <c r="F1256" s="120">
        <v>14</v>
      </c>
      <c r="G1256" s="120">
        <v>1</v>
      </c>
      <c r="H1256" s="120">
        <v>3</v>
      </c>
      <c r="I1256" s="120">
        <v>2</v>
      </c>
      <c r="J1256" s="133" t="s">
        <v>3735</v>
      </c>
      <c r="K1256" s="133">
        <v>4</v>
      </c>
      <c r="L1256" s="131">
        <v>80.599999999999994</v>
      </c>
      <c r="M1256" s="133">
        <v>66.599999999999994</v>
      </c>
      <c r="N1256" s="157"/>
      <c r="O1256" s="158"/>
      <c r="P1256" s="158"/>
      <c r="Q1256" s="158"/>
      <c r="R1256" s="158"/>
      <c r="S1256" s="158"/>
      <c r="T1256" s="158"/>
      <c r="U1256" s="158"/>
      <c r="V1256" s="158"/>
      <c r="W1256" s="158"/>
      <c r="X1256" s="158"/>
      <c r="Y1256" s="158"/>
      <c r="Z1256" s="158"/>
      <c r="AA1256" s="158"/>
    </row>
    <row r="1257" spans="1:27" ht="15.75" customHeight="1" x14ac:dyDescent="0.55000000000000004">
      <c r="A1257" s="175">
        <v>181</v>
      </c>
      <c r="B1257" s="175" t="s">
        <v>2031</v>
      </c>
      <c r="C1257" s="175" t="s">
        <v>2032</v>
      </c>
      <c r="D1257" s="197">
        <v>44530</v>
      </c>
      <c r="E1257" s="131" t="s">
        <v>3737</v>
      </c>
      <c r="F1257" s="120">
        <v>17</v>
      </c>
      <c r="G1257" s="120">
        <v>1</v>
      </c>
      <c r="H1257" s="120">
        <v>0</v>
      </c>
      <c r="I1257" s="120">
        <v>2</v>
      </c>
      <c r="J1257" s="133" t="s">
        <v>3735</v>
      </c>
      <c r="K1257" s="133">
        <v>4</v>
      </c>
      <c r="L1257" s="131">
        <v>80.5</v>
      </c>
      <c r="M1257" s="133">
        <v>63.5</v>
      </c>
      <c r="N1257" s="157"/>
      <c r="O1257" s="158"/>
      <c r="P1257" s="158"/>
      <c r="Q1257" s="158"/>
      <c r="R1257" s="158"/>
      <c r="S1257" s="158"/>
      <c r="T1257" s="158"/>
      <c r="U1257" s="158"/>
      <c r="V1257" s="158"/>
      <c r="W1257" s="158"/>
      <c r="X1257" s="158"/>
      <c r="Y1257" s="158"/>
      <c r="Z1257" s="158"/>
      <c r="AA1257" s="158"/>
    </row>
    <row r="1258" spans="1:27" ht="15.75" customHeight="1" x14ac:dyDescent="0.55000000000000004">
      <c r="A1258" s="175">
        <v>181</v>
      </c>
      <c r="B1258" s="175" t="s">
        <v>2031</v>
      </c>
      <c r="C1258" s="175" t="s">
        <v>2032</v>
      </c>
      <c r="D1258" s="197">
        <v>44530</v>
      </c>
      <c r="E1258" s="131" t="s">
        <v>3738</v>
      </c>
      <c r="F1258" s="251">
        <v>17</v>
      </c>
      <c r="G1258" s="251">
        <v>0</v>
      </c>
      <c r="H1258" s="251">
        <v>0</v>
      </c>
      <c r="I1258" s="251">
        <v>2</v>
      </c>
      <c r="J1258" s="252" t="s">
        <v>3735</v>
      </c>
      <c r="K1258" s="252">
        <v>4</v>
      </c>
      <c r="L1258" s="131">
        <v>75.5</v>
      </c>
      <c r="M1258" s="133">
        <v>58.5</v>
      </c>
      <c r="N1258" s="157"/>
      <c r="O1258" s="158"/>
      <c r="P1258" s="158"/>
      <c r="Q1258" s="158"/>
      <c r="R1258" s="158"/>
      <c r="S1258" s="158"/>
      <c r="T1258" s="158"/>
      <c r="U1258" s="158"/>
      <c r="V1258" s="158"/>
      <c r="W1258" s="158"/>
      <c r="X1258" s="158"/>
      <c r="Y1258" s="158"/>
      <c r="Z1258" s="158"/>
      <c r="AA1258" s="158"/>
    </row>
    <row r="1259" spans="1:27" ht="15.75" customHeight="1" x14ac:dyDescent="0.55000000000000004">
      <c r="A1259" s="245">
        <v>182</v>
      </c>
      <c r="B1259" s="243" t="s">
        <v>2039</v>
      </c>
      <c r="C1259" s="243" t="s">
        <v>2040</v>
      </c>
      <c r="D1259" s="244">
        <v>44695</v>
      </c>
      <c r="E1259" s="247" t="s">
        <v>3870</v>
      </c>
      <c r="F1259" s="253">
        <v>32</v>
      </c>
      <c r="G1259" s="253">
        <v>1</v>
      </c>
      <c r="H1259" s="253">
        <v>1</v>
      </c>
      <c r="I1259" s="253">
        <v>0</v>
      </c>
      <c r="J1259" s="254" t="s">
        <v>853</v>
      </c>
      <c r="K1259" s="254">
        <v>0</v>
      </c>
      <c r="L1259" s="249"/>
      <c r="M1259" s="200"/>
      <c r="N1259" s="158"/>
      <c r="O1259" s="158"/>
      <c r="P1259" s="158"/>
      <c r="Q1259" s="158"/>
      <c r="R1259" s="158"/>
      <c r="S1259" s="158"/>
      <c r="T1259" s="158"/>
      <c r="U1259" s="158"/>
      <c r="V1259" s="158"/>
      <c r="W1259" s="158"/>
      <c r="X1259" s="158"/>
      <c r="Y1259" s="158"/>
      <c r="Z1259" s="158"/>
      <c r="AA1259" s="158"/>
    </row>
    <row r="1260" spans="1:27" ht="15.75" customHeight="1" x14ac:dyDescent="0.55000000000000004">
      <c r="A1260" s="245">
        <v>182</v>
      </c>
      <c r="B1260" s="243" t="s">
        <v>2039</v>
      </c>
      <c r="C1260" s="243" t="s">
        <v>2040</v>
      </c>
      <c r="D1260" s="246">
        <v>44695</v>
      </c>
      <c r="E1260" s="248" t="s">
        <v>3871</v>
      </c>
      <c r="F1260" s="253">
        <v>52</v>
      </c>
      <c r="G1260" s="253">
        <v>1</v>
      </c>
      <c r="H1260" s="253">
        <v>1</v>
      </c>
      <c r="I1260" s="253">
        <v>0</v>
      </c>
      <c r="J1260" s="254" t="s">
        <v>853</v>
      </c>
      <c r="K1260" s="254">
        <v>0</v>
      </c>
      <c r="L1260" s="250"/>
      <c r="M1260" s="205"/>
      <c r="N1260" s="158"/>
      <c r="O1260" s="158"/>
      <c r="P1260" s="158"/>
      <c r="Q1260" s="158"/>
      <c r="R1260" s="158"/>
      <c r="S1260" s="158"/>
      <c r="T1260" s="158"/>
      <c r="U1260" s="158"/>
      <c r="V1260" s="158"/>
      <c r="W1260" s="158"/>
      <c r="X1260" s="158"/>
      <c r="Y1260" s="158"/>
      <c r="Z1260" s="158"/>
      <c r="AA1260" s="158"/>
    </row>
    <row r="1261" spans="1:27" ht="15.75" customHeight="1" x14ac:dyDescent="0.55000000000000004">
      <c r="A1261" s="245">
        <v>182</v>
      </c>
      <c r="B1261" s="243" t="s">
        <v>2039</v>
      </c>
      <c r="C1261" s="243" t="s">
        <v>2040</v>
      </c>
      <c r="D1261" s="246">
        <v>44695</v>
      </c>
      <c r="E1261" s="248" t="s">
        <v>3872</v>
      </c>
      <c r="F1261" s="253">
        <v>53</v>
      </c>
      <c r="G1261" s="253">
        <v>0</v>
      </c>
      <c r="H1261" s="253">
        <v>1</v>
      </c>
      <c r="I1261" s="253">
        <v>0</v>
      </c>
      <c r="J1261" s="254" t="s">
        <v>853</v>
      </c>
      <c r="K1261" s="254">
        <v>0</v>
      </c>
      <c r="L1261" s="250"/>
      <c r="M1261" s="205"/>
      <c r="N1261" s="158"/>
      <c r="O1261" s="158"/>
      <c r="P1261" s="158"/>
      <c r="Q1261" s="158"/>
      <c r="R1261" s="158"/>
      <c r="S1261" s="158"/>
      <c r="T1261" s="158"/>
      <c r="U1261" s="158"/>
      <c r="V1261" s="158"/>
      <c r="W1261" s="158"/>
      <c r="X1261" s="158"/>
      <c r="Y1261" s="158"/>
      <c r="Z1261" s="158"/>
      <c r="AA1261" s="158"/>
    </row>
    <row r="1262" spans="1:27" ht="15.75" customHeight="1" x14ac:dyDescent="0.55000000000000004">
      <c r="A1262" s="245">
        <v>182</v>
      </c>
      <c r="B1262" s="243" t="s">
        <v>2039</v>
      </c>
      <c r="C1262" s="243" t="s">
        <v>2040</v>
      </c>
      <c r="D1262" s="246">
        <v>44695</v>
      </c>
      <c r="E1262" s="248" t="s">
        <v>3873</v>
      </c>
      <c r="F1262" s="253">
        <v>55</v>
      </c>
      <c r="G1262" s="253">
        <v>0</v>
      </c>
      <c r="H1262" s="253">
        <v>1</v>
      </c>
      <c r="I1262" s="253">
        <v>0</v>
      </c>
      <c r="J1262" s="254" t="s">
        <v>853</v>
      </c>
      <c r="K1262" s="254">
        <v>0</v>
      </c>
      <c r="L1262" s="250"/>
      <c r="M1262" s="205"/>
      <c r="N1262" s="158"/>
      <c r="O1262" s="158"/>
      <c r="P1262" s="158"/>
      <c r="Q1262" s="158"/>
      <c r="R1262" s="158"/>
      <c r="S1262" s="158"/>
      <c r="T1262" s="158"/>
      <c r="U1262" s="158"/>
      <c r="V1262" s="158"/>
      <c r="W1262" s="158"/>
      <c r="X1262" s="158"/>
      <c r="Y1262" s="158"/>
      <c r="Z1262" s="158"/>
      <c r="AA1262" s="158"/>
    </row>
    <row r="1263" spans="1:27" ht="15.75" customHeight="1" x14ac:dyDescent="0.55000000000000004">
      <c r="A1263" s="245">
        <v>182</v>
      </c>
      <c r="B1263" s="243" t="s">
        <v>2039</v>
      </c>
      <c r="C1263" s="243" t="s">
        <v>2040</v>
      </c>
      <c r="D1263" s="246">
        <v>44695</v>
      </c>
      <c r="E1263" s="248" t="s">
        <v>3874</v>
      </c>
      <c r="F1263" s="253">
        <v>62</v>
      </c>
      <c r="G1263" s="253">
        <v>1</v>
      </c>
      <c r="H1263" s="253">
        <v>1</v>
      </c>
      <c r="I1263" s="253">
        <v>0</v>
      </c>
      <c r="J1263" s="254" t="s">
        <v>853</v>
      </c>
      <c r="K1263" s="254">
        <v>0</v>
      </c>
      <c r="L1263" s="250"/>
      <c r="M1263" s="205"/>
      <c r="N1263" s="158"/>
      <c r="O1263" s="158"/>
      <c r="P1263" s="158"/>
      <c r="Q1263" s="158"/>
      <c r="R1263" s="158"/>
      <c r="S1263" s="158"/>
      <c r="T1263" s="158"/>
      <c r="U1263" s="158"/>
      <c r="V1263" s="158"/>
      <c r="W1263" s="158"/>
      <c r="X1263" s="158"/>
      <c r="Y1263" s="158"/>
      <c r="Z1263" s="158"/>
      <c r="AA1263" s="158"/>
    </row>
    <row r="1264" spans="1:27" ht="15.75" customHeight="1" x14ac:dyDescent="0.55000000000000004">
      <c r="A1264" s="245">
        <v>182</v>
      </c>
      <c r="B1264" s="243" t="s">
        <v>2039</v>
      </c>
      <c r="C1264" s="243" t="s">
        <v>2040</v>
      </c>
      <c r="D1264" s="246">
        <v>44695</v>
      </c>
      <c r="E1264" s="248" t="s">
        <v>3875</v>
      </c>
      <c r="F1264" s="253">
        <v>65</v>
      </c>
      <c r="G1264" s="253">
        <v>1</v>
      </c>
      <c r="H1264" s="253">
        <v>1</v>
      </c>
      <c r="I1264" s="253">
        <v>0</v>
      </c>
      <c r="J1264" s="254" t="s">
        <v>853</v>
      </c>
      <c r="K1264" s="254">
        <v>0</v>
      </c>
      <c r="L1264" s="250"/>
      <c r="M1264" s="205"/>
      <c r="N1264" s="158"/>
      <c r="O1264" s="158"/>
      <c r="P1264" s="158"/>
      <c r="Q1264" s="158"/>
      <c r="R1264" s="158"/>
      <c r="S1264" s="158"/>
      <c r="T1264" s="158"/>
      <c r="U1264" s="158"/>
      <c r="V1264" s="158"/>
      <c r="W1264" s="158"/>
      <c r="X1264" s="158"/>
      <c r="Y1264" s="158"/>
      <c r="Z1264" s="158"/>
      <c r="AA1264" s="158"/>
    </row>
    <row r="1265" spans="1:27" ht="15.75" customHeight="1" x14ac:dyDescent="0.55000000000000004">
      <c r="A1265" s="245">
        <v>182</v>
      </c>
      <c r="B1265" s="243" t="s">
        <v>2039</v>
      </c>
      <c r="C1265" s="243" t="s">
        <v>2040</v>
      </c>
      <c r="D1265" s="246">
        <v>44695</v>
      </c>
      <c r="E1265" s="248" t="s">
        <v>3876</v>
      </c>
      <c r="F1265" s="253">
        <v>67</v>
      </c>
      <c r="G1265" s="253">
        <v>0</v>
      </c>
      <c r="H1265" s="253">
        <v>1</v>
      </c>
      <c r="I1265" s="253">
        <v>0</v>
      </c>
      <c r="J1265" s="254" t="s">
        <v>853</v>
      </c>
      <c r="K1265" s="254">
        <v>0</v>
      </c>
      <c r="L1265" s="250"/>
      <c r="M1265" s="205"/>
      <c r="N1265" s="158"/>
      <c r="O1265" s="158"/>
      <c r="P1265" s="158"/>
      <c r="Q1265" s="158"/>
      <c r="R1265" s="158"/>
      <c r="S1265" s="158"/>
      <c r="T1265" s="158"/>
      <c r="U1265" s="158"/>
      <c r="V1265" s="158"/>
      <c r="W1265" s="158"/>
      <c r="X1265" s="158"/>
      <c r="Y1265" s="158"/>
      <c r="Z1265" s="158"/>
      <c r="AA1265" s="158"/>
    </row>
    <row r="1266" spans="1:27" ht="15.75" customHeight="1" x14ac:dyDescent="0.55000000000000004">
      <c r="A1266" s="245">
        <v>182</v>
      </c>
      <c r="B1266" s="243" t="s">
        <v>2039</v>
      </c>
      <c r="C1266" s="243" t="s">
        <v>2040</v>
      </c>
      <c r="D1266" s="246">
        <v>44695</v>
      </c>
      <c r="E1266" s="248" t="s">
        <v>3877</v>
      </c>
      <c r="F1266" s="253">
        <v>72</v>
      </c>
      <c r="G1266" s="253">
        <v>1</v>
      </c>
      <c r="H1266" s="253">
        <v>1</v>
      </c>
      <c r="I1266" s="253">
        <v>0</v>
      </c>
      <c r="J1266" s="254" t="s">
        <v>853</v>
      </c>
      <c r="K1266" s="254">
        <v>0</v>
      </c>
      <c r="L1266" s="250"/>
      <c r="M1266" s="205"/>
      <c r="N1266" s="158"/>
      <c r="O1266" s="158"/>
      <c r="P1266" s="158"/>
      <c r="Q1266" s="158"/>
      <c r="R1266" s="158"/>
      <c r="S1266" s="158"/>
      <c r="T1266" s="158"/>
      <c r="U1266" s="158"/>
      <c r="V1266" s="158"/>
      <c r="W1266" s="158"/>
      <c r="X1266" s="158"/>
      <c r="Y1266" s="158"/>
      <c r="Z1266" s="158"/>
      <c r="AA1266" s="158"/>
    </row>
    <row r="1267" spans="1:27" ht="15.75" customHeight="1" x14ac:dyDescent="0.55000000000000004">
      <c r="A1267" s="245">
        <v>182</v>
      </c>
      <c r="B1267" s="243" t="s">
        <v>2039</v>
      </c>
      <c r="C1267" s="243" t="s">
        <v>2040</v>
      </c>
      <c r="D1267" s="246">
        <v>44695</v>
      </c>
      <c r="E1267" s="248" t="s">
        <v>3878</v>
      </c>
      <c r="F1267" s="253">
        <v>77</v>
      </c>
      <c r="G1267" s="253">
        <v>1</v>
      </c>
      <c r="H1267" s="253">
        <v>1</v>
      </c>
      <c r="I1267" s="253">
        <v>0</v>
      </c>
      <c r="J1267" s="254" t="s">
        <v>853</v>
      </c>
      <c r="K1267" s="254">
        <v>0</v>
      </c>
      <c r="L1267" s="250"/>
      <c r="M1267" s="205"/>
      <c r="N1267" s="158"/>
      <c r="O1267" s="158"/>
      <c r="P1267" s="158"/>
      <c r="Q1267" s="158"/>
      <c r="R1267" s="158"/>
      <c r="S1267" s="158"/>
      <c r="T1267" s="158"/>
      <c r="U1267" s="158"/>
      <c r="V1267" s="158"/>
      <c r="W1267" s="158"/>
      <c r="X1267" s="158"/>
      <c r="Y1267" s="158"/>
      <c r="Z1267" s="158"/>
      <c r="AA1267" s="158"/>
    </row>
    <row r="1268" spans="1:27" ht="15.75" customHeight="1" x14ac:dyDescent="0.55000000000000004">
      <c r="A1268" s="245">
        <v>182</v>
      </c>
      <c r="B1268" s="243" t="s">
        <v>2039</v>
      </c>
      <c r="C1268" s="243" t="s">
        <v>2040</v>
      </c>
      <c r="D1268" s="246">
        <v>44695</v>
      </c>
      <c r="E1268" s="248" t="s">
        <v>3879</v>
      </c>
      <c r="F1268" s="253">
        <v>86</v>
      </c>
      <c r="G1268" s="253">
        <v>1</v>
      </c>
      <c r="H1268" s="253">
        <v>1</v>
      </c>
      <c r="I1268" s="253">
        <v>0</v>
      </c>
      <c r="J1268" s="254" t="s">
        <v>853</v>
      </c>
      <c r="K1268" s="254">
        <v>0</v>
      </c>
      <c r="L1268" s="250"/>
      <c r="M1268" s="205"/>
      <c r="N1268" s="158"/>
      <c r="O1268" s="158"/>
      <c r="P1268" s="158"/>
      <c r="Q1268" s="158"/>
      <c r="R1268" s="158"/>
      <c r="S1268" s="158"/>
      <c r="T1268" s="158"/>
      <c r="U1268" s="158"/>
      <c r="V1268" s="158"/>
      <c r="W1268" s="158"/>
      <c r="X1268" s="158"/>
      <c r="Y1268" s="158"/>
      <c r="Z1268" s="158"/>
      <c r="AA1268" s="158"/>
    </row>
    <row r="1269" spans="1:27" ht="15.75" customHeight="1" x14ac:dyDescent="0.55000000000000004">
      <c r="A1269" s="201"/>
      <c r="B1269" s="201"/>
      <c r="C1269" s="201"/>
      <c r="D1269" s="201"/>
      <c r="E1269" s="198"/>
      <c r="F1269" s="198"/>
      <c r="G1269" s="198"/>
      <c r="H1269" s="198"/>
      <c r="I1269" s="198"/>
      <c r="J1269" s="199"/>
      <c r="K1269" s="199"/>
      <c r="L1269" s="204"/>
      <c r="M1269" s="205"/>
      <c r="N1269" s="158"/>
      <c r="O1269" s="158"/>
      <c r="P1269" s="158"/>
      <c r="Q1269" s="158"/>
      <c r="R1269" s="158"/>
      <c r="S1269" s="158"/>
      <c r="T1269" s="158"/>
      <c r="U1269" s="158"/>
      <c r="V1269" s="158"/>
      <c r="W1269" s="158"/>
      <c r="X1269" s="158"/>
      <c r="Y1269" s="158"/>
      <c r="Z1269" s="158"/>
      <c r="AA1269" s="158"/>
    </row>
    <row r="1270" spans="1:27" ht="15.75" customHeight="1" x14ac:dyDescent="0.55000000000000004">
      <c r="A1270" s="201"/>
      <c r="B1270" s="201"/>
      <c r="C1270" s="201"/>
      <c r="D1270" s="201"/>
      <c r="E1270" s="202"/>
      <c r="F1270" s="202"/>
      <c r="G1270" s="202"/>
      <c r="H1270" s="202"/>
      <c r="I1270" s="202"/>
      <c r="J1270" s="203"/>
      <c r="K1270" s="203"/>
      <c r="L1270" s="204"/>
      <c r="M1270" s="205"/>
      <c r="N1270" s="158"/>
      <c r="O1270" s="158"/>
      <c r="P1270" s="158"/>
      <c r="Q1270" s="158"/>
      <c r="R1270" s="158"/>
      <c r="S1270" s="158"/>
      <c r="T1270" s="158"/>
      <c r="U1270" s="158"/>
      <c r="V1270" s="158"/>
      <c r="W1270" s="158"/>
      <c r="X1270" s="158"/>
      <c r="Y1270" s="158"/>
      <c r="Z1270" s="158"/>
      <c r="AA1270" s="158"/>
    </row>
    <row r="1271" spans="1:27" ht="15.75" customHeight="1" x14ac:dyDescent="0.55000000000000004">
      <c r="A1271" s="201"/>
      <c r="B1271" s="201"/>
      <c r="C1271" s="201"/>
      <c r="D1271" s="201"/>
      <c r="E1271" s="202"/>
      <c r="F1271" s="202"/>
      <c r="G1271" s="202"/>
      <c r="H1271" s="202"/>
      <c r="I1271" s="202"/>
      <c r="J1271" s="203"/>
      <c r="K1271" s="203"/>
      <c r="L1271" s="204"/>
      <c r="M1271" s="205"/>
      <c r="N1271" s="158"/>
      <c r="O1271" s="158"/>
      <c r="P1271" s="158"/>
      <c r="Q1271" s="158"/>
      <c r="R1271" s="158"/>
      <c r="S1271" s="158"/>
      <c r="T1271" s="158"/>
      <c r="U1271" s="158"/>
      <c r="V1271" s="158"/>
      <c r="W1271" s="158"/>
      <c r="X1271" s="158"/>
      <c r="Y1271" s="158"/>
      <c r="Z1271" s="158"/>
      <c r="AA1271" s="158"/>
    </row>
    <row r="1272" spans="1:27" ht="15.75" customHeight="1" x14ac:dyDescent="0.55000000000000004">
      <c r="A1272" s="201"/>
      <c r="B1272" s="201"/>
      <c r="C1272" s="201"/>
      <c r="D1272" s="201"/>
      <c r="E1272" s="202"/>
      <c r="F1272" s="202"/>
      <c r="G1272" s="202"/>
      <c r="H1272" s="202"/>
      <c r="I1272" s="202"/>
      <c r="J1272" s="203"/>
      <c r="K1272" s="203"/>
      <c r="L1272" s="204"/>
      <c r="M1272" s="205"/>
      <c r="N1272" s="158"/>
      <c r="O1272" s="158"/>
      <c r="P1272" s="158"/>
      <c r="Q1272" s="158"/>
      <c r="R1272" s="158"/>
      <c r="S1272" s="158"/>
      <c r="T1272" s="158"/>
      <c r="U1272" s="158"/>
      <c r="V1272" s="158"/>
      <c r="W1272" s="158"/>
      <c r="X1272" s="158"/>
      <c r="Y1272" s="158"/>
      <c r="Z1272" s="158"/>
      <c r="AA1272" s="158"/>
    </row>
    <row r="1273" spans="1:27" ht="15.75" customHeight="1" x14ac:dyDescent="0.55000000000000004">
      <c r="A1273" s="201"/>
      <c r="B1273" s="201"/>
      <c r="C1273" s="201"/>
      <c r="D1273" s="201"/>
      <c r="E1273" s="202"/>
      <c r="F1273" s="202"/>
      <c r="G1273" s="202"/>
      <c r="H1273" s="202"/>
      <c r="I1273" s="202"/>
      <c r="J1273" s="203"/>
      <c r="K1273" s="203"/>
      <c r="L1273" s="204"/>
      <c r="M1273" s="205"/>
      <c r="N1273" s="158"/>
      <c r="O1273" s="158"/>
      <c r="P1273" s="158"/>
      <c r="Q1273" s="158"/>
      <c r="R1273" s="158"/>
      <c r="S1273" s="158"/>
      <c r="T1273" s="158"/>
      <c r="U1273" s="158"/>
      <c r="V1273" s="158"/>
      <c r="W1273" s="158"/>
      <c r="X1273" s="158"/>
      <c r="Y1273" s="158"/>
      <c r="Z1273" s="158"/>
      <c r="AA1273" s="158"/>
    </row>
    <row r="1274" spans="1:27" ht="15.75" customHeight="1" x14ac:dyDescent="0.55000000000000004">
      <c r="A1274" s="201"/>
      <c r="B1274" s="201"/>
      <c r="C1274" s="201"/>
      <c r="D1274" s="201"/>
      <c r="E1274" s="202"/>
      <c r="F1274" s="202"/>
      <c r="G1274" s="202"/>
      <c r="H1274" s="202"/>
      <c r="I1274" s="202"/>
      <c r="J1274" s="203"/>
      <c r="K1274" s="203"/>
      <c r="L1274" s="204"/>
      <c r="M1274" s="205"/>
      <c r="N1274" s="158"/>
      <c r="O1274" s="158"/>
      <c r="P1274" s="158"/>
      <c r="Q1274" s="158"/>
      <c r="R1274" s="158"/>
      <c r="S1274" s="158"/>
      <c r="T1274" s="158"/>
      <c r="U1274" s="158"/>
      <c r="V1274" s="158"/>
      <c r="W1274" s="158"/>
      <c r="X1274" s="158"/>
      <c r="Y1274" s="158"/>
      <c r="Z1274" s="158"/>
      <c r="AA1274" s="158"/>
    </row>
    <row r="1275" spans="1:27" ht="15.75" customHeight="1" x14ac:dyDescent="0.55000000000000004">
      <c r="A1275" s="201"/>
      <c r="B1275" s="201"/>
      <c r="C1275" s="201"/>
      <c r="D1275" s="201"/>
      <c r="E1275" s="202"/>
      <c r="F1275" s="202"/>
      <c r="G1275" s="202"/>
      <c r="H1275" s="202"/>
      <c r="I1275" s="202"/>
      <c r="J1275" s="203"/>
      <c r="K1275" s="203"/>
      <c r="L1275" s="204"/>
      <c r="M1275" s="205"/>
      <c r="N1275" s="158"/>
      <c r="O1275" s="158"/>
      <c r="P1275" s="158"/>
      <c r="Q1275" s="158"/>
      <c r="R1275" s="158"/>
      <c r="S1275" s="158"/>
      <c r="T1275" s="158"/>
      <c r="U1275" s="158"/>
      <c r="V1275" s="158"/>
      <c r="W1275" s="158"/>
      <c r="X1275" s="158"/>
      <c r="Y1275" s="158"/>
      <c r="Z1275" s="158"/>
      <c r="AA1275" s="158"/>
    </row>
    <row r="1276" spans="1:27" ht="15.75" customHeight="1" x14ac:dyDescent="0.55000000000000004">
      <c r="A1276" s="201"/>
      <c r="B1276" s="201"/>
      <c r="C1276" s="201"/>
      <c r="D1276" s="201"/>
      <c r="E1276" s="202"/>
      <c r="F1276" s="202"/>
      <c r="G1276" s="202"/>
      <c r="H1276" s="202"/>
      <c r="I1276" s="202"/>
      <c r="J1276" s="203"/>
      <c r="K1276" s="203"/>
      <c r="L1276" s="204"/>
      <c r="M1276" s="205"/>
      <c r="N1276" s="158"/>
      <c r="O1276" s="158"/>
      <c r="P1276" s="158"/>
      <c r="Q1276" s="158"/>
      <c r="R1276" s="158"/>
      <c r="S1276" s="158"/>
      <c r="T1276" s="158"/>
      <c r="U1276" s="158"/>
      <c r="V1276" s="158"/>
      <c r="W1276" s="158"/>
      <c r="X1276" s="158"/>
      <c r="Y1276" s="158"/>
      <c r="Z1276" s="158"/>
      <c r="AA1276" s="158"/>
    </row>
    <row r="1277" spans="1:27" ht="15.75" customHeight="1" x14ac:dyDescent="0.55000000000000004">
      <c r="A1277" s="201"/>
      <c r="B1277" s="201"/>
      <c r="C1277" s="201"/>
      <c r="D1277" s="201"/>
      <c r="E1277" s="202"/>
      <c r="F1277" s="202"/>
      <c r="G1277" s="202"/>
      <c r="H1277" s="202"/>
      <c r="I1277" s="202"/>
      <c r="J1277" s="203"/>
      <c r="K1277" s="203"/>
      <c r="L1277" s="204"/>
      <c r="M1277" s="205"/>
      <c r="N1277" s="158"/>
      <c r="O1277" s="158"/>
      <c r="P1277" s="158"/>
      <c r="Q1277" s="158"/>
      <c r="R1277" s="158"/>
      <c r="S1277" s="158"/>
      <c r="T1277" s="158"/>
      <c r="U1277" s="158"/>
      <c r="V1277" s="158"/>
      <c r="W1277" s="158"/>
      <c r="X1277" s="158"/>
      <c r="Y1277" s="158"/>
      <c r="Z1277" s="158"/>
      <c r="AA1277" s="158"/>
    </row>
    <row r="1278" spans="1:27" ht="15.75" customHeight="1" x14ac:dyDescent="0.55000000000000004">
      <c r="A1278" s="201"/>
      <c r="B1278" s="201"/>
      <c r="C1278" s="201"/>
      <c r="D1278" s="201"/>
      <c r="E1278" s="202"/>
      <c r="F1278" s="202"/>
      <c r="G1278" s="202"/>
      <c r="H1278" s="202"/>
      <c r="I1278" s="202"/>
      <c r="J1278" s="203"/>
      <c r="K1278" s="203"/>
      <c r="L1278" s="204"/>
      <c r="M1278" s="205"/>
      <c r="N1278" s="158"/>
      <c r="O1278" s="158"/>
      <c r="P1278" s="158"/>
      <c r="Q1278" s="158"/>
      <c r="R1278" s="158"/>
      <c r="S1278" s="158"/>
      <c r="T1278" s="158"/>
      <c r="U1278" s="158"/>
      <c r="V1278" s="158"/>
      <c r="W1278" s="158"/>
      <c r="X1278" s="158"/>
      <c r="Y1278" s="158"/>
      <c r="Z1278" s="158"/>
      <c r="AA1278" s="158"/>
    </row>
    <row r="1279" spans="1:27" ht="15.75" customHeight="1" x14ac:dyDescent="0.55000000000000004">
      <c r="A1279" s="201"/>
      <c r="B1279" s="201"/>
      <c r="C1279" s="201"/>
      <c r="D1279" s="201"/>
      <c r="E1279" s="202"/>
      <c r="F1279" s="202"/>
      <c r="G1279" s="202"/>
      <c r="H1279" s="202"/>
      <c r="I1279" s="202"/>
      <c r="J1279" s="203"/>
      <c r="K1279" s="203"/>
      <c r="L1279" s="204"/>
      <c r="M1279" s="205"/>
      <c r="N1279" s="158"/>
      <c r="O1279" s="158"/>
      <c r="P1279" s="158"/>
      <c r="Q1279" s="158"/>
      <c r="R1279" s="158"/>
      <c r="S1279" s="158"/>
      <c r="T1279" s="158"/>
      <c r="U1279" s="158"/>
      <c r="V1279" s="158"/>
      <c r="W1279" s="158"/>
      <c r="X1279" s="158"/>
      <c r="Y1279" s="158"/>
      <c r="Z1279" s="158"/>
      <c r="AA1279" s="158"/>
    </row>
    <row r="1280" spans="1:27" ht="15.75" customHeight="1" x14ac:dyDescent="0.55000000000000004">
      <c r="A1280" s="201"/>
      <c r="B1280" s="201"/>
      <c r="C1280" s="201"/>
      <c r="D1280" s="201"/>
      <c r="E1280" s="202"/>
      <c r="F1280" s="202"/>
      <c r="G1280" s="202"/>
      <c r="H1280" s="202"/>
      <c r="I1280" s="202"/>
      <c r="J1280" s="203"/>
      <c r="K1280" s="203"/>
      <c r="L1280" s="204"/>
      <c r="M1280" s="205"/>
      <c r="N1280" s="158"/>
      <c r="O1280" s="158"/>
      <c r="P1280" s="158"/>
      <c r="Q1280" s="158"/>
      <c r="R1280" s="158"/>
      <c r="S1280" s="158"/>
      <c r="T1280" s="158"/>
      <c r="U1280" s="158"/>
      <c r="V1280" s="158"/>
      <c r="W1280" s="158"/>
      <c r="X1280" s="158"/>
      <c r="Y1280" s="158"/>
      <c r="Z1280" s="158"/>
      <c r="AA1280" s="158"/>
    </row>
    <row r="1281" spans="1:27" ht="15.75" customHeight="1" x14ac:dyDescent="0.55000000000000004">
      <c r="A1281" s="201"/>
      <c r="B1281" s="201"/>
      <c r="C1281" s="201"/>
      <c r="D1281" s="201"/>
      <c r="E1281" s="202"/>
      <c r="F1281" s="202"/>
      <c r="G1281" s="202"/>
      <c r="H1281" s="202"/>
      <c r="I1281" s="202"/>
      <c r="J1281" s="203"/>
      <c r="K1281" s="203"/>
      <c r="L1281" s="204"/>
      <c r="M1281" s="205"/>
      <c r="N1281" s="158"/>
      <c r="O1281" s="158"/>
      <c r="P1281" s="158"/>
      <c r="Q1281" s="158"/>
      <c r="R1281" s="158"/>
      <c r="S1281" s="158"/>
      <c r="T1281" s="158"/>
      <c r="U1281" s="158"/>
      <c r="V1281" s="158"/>
      <c r="W1281" s="158"/>
      <c r="X1281" s="158"/>
      <c r="Y1281" s="158"/>
      <c r="Z1281" s="158"/>
      <c r="AA1281" s="158"/>
    </row>
    <row r="1282" spans="1:27" ht="15.75" customHeight="1" x14ac:dyDescent="0.55000000000000004">
      <c r="A1282" s="201"/>
      <c r="B1282" s="201"/>
      <c r="C1282" s="201"/>
      <c r="D1282" s="201"/>
      <c r="E1282" s="202"/>
      <c r="F1282" s="202"/>
      <c r="G1282" s="202"/>
      <c r="H1282" s="202"/>
      <c r="I1282" s="202"/>
      <c r="J1282" s="203"/>
      <c r="K1282" s="203"/>
      <c r="L1282" s="204"/>
      <c r="M1282" s="205"/>
      <c r="N1282" s="158"/>
      <c r="O1282" s="158"/>
      <c r="P1282" s="158"/>
      <c r="Q1282" s="158"/>
      <c r="R1282" s="158"/>
      <c r="S1282" s="158"/>
      <c r="T1282" s="158"/>
      <c r="U1282" s="158"/>
      <c r="V1282" s="158"/>
      <c r="W1282" s="158"/>
      <c r="X1282" s="158"/>
      <c r="Y1282" s="158"/>
      <c r="Z1282" s="158"/>
      <c r="AA1282" s="158"/>
    </row>
    <row r="1283" spans="1:27" ht="15.75" customHeight="1" x14ac:dyDescent="0.55000000000000004">
      <c r="A1283" s="201"/>
      <c r="B1283" s="201"/>
      <c r="C1283" s="201"/>
      <c r="D1283" s="201"/>
      <c r="E1283" s="202"/>
      <c r="F1283" s="202"/>
      <c r="G1283" s="202"/>
      <c r="H1283" s="202"/>
      <c r="I1283" s="202"/>
      <c r="J1283" s="203"/>
      <c r="K1283" s="203"/>
      <c r="L1283" s="204"/>
      <c r="M1283" s="205"/>
      <c r="N1283" s="158"/>
      <c r="O1283" s="158"/>
      <c r="P1283" s="158"/>
      <c r="Q1283" s="158"/>
      <c r="R1283" s="158"/>
      <c r="S1283" s="158"/>
      <c r="T1283" s="158"/>
      <c r="U1283" s="158"/>
      <c r="V1283" s="158"/>
      <c r="W1283" s="158"/>
      <c r="X1283" s="158"/>
      <c r="Y1283" s="158"/>
      <c r="Z1283" s="158"/>
      <c r="AA1283" s="158"/>
    </row>
    <row r="1284" spans="1:27" ht="15.75" customHeight="1" x14ac:dyDescent="0.55000000000000004">
      <c r="A1284" s="201"/>
      <c r="B1284" s="201"/>
      <c r="C1284" s="201"/>
      <c r="D1284" s="201"/>
      <c r="E1284" s="202"/>
      <c r="F1284" s="202"/>
      <c r="G1284" s="202"/>
      <c r="H1284" s="202"/>
      <c r="I1284" s="202"/>
      <c r="J1284" s="203"/>
      <c r="K1284" s="203"/>
      <c r="L1284" s="204"/>
      <c r="M1284" s="205"/>
      <c r="N1284" s="158"/>
      <c r="O1284" s="158"/>
      <c r="P1284" s="158"/>
      <c r="Q1284" s="158"/>
      <c r="R1284" s="158"/>
      <c r="S1284" s="158"/>
      <c r="T1284" s="158"/>
      <c r="U1284" s="158"/>
      <c r="V1284" s="158"/>
      <c r="W1284" s="158"/>
      <c r="X1284" s="158"/>
      <c r="Y1284" s="158"/>
      <c r="Z1284" s="158"/>
      <c r="AA1284" s="158"/>
    </row>
    <row r="1285" spans="1:27" ht="15.75" customHeight="1" x14ac:dyDescent="0.55000000000000004">
      <c r="A1285" s="201"/>
      <c r="B1285" s="201"/>
      <c r="C1285" s="201"/>
      <c r="D1285" s="201"/>
      <c r="E1285" s="202"/>
      <c r="F1285" s="202"/>
      <c r="G1285" s="202"/>
      <c r="H1285" s="202"/>
      <c r="I1285" s="202"/>
      <c r="J1285" s="203"/>
      <c r="K1285" s="203"/>
      <c r="L1285" s="204"/>
      <c r="M1285" s="205"/>
      <c r="N1285" s="158"/>
      <c r="O1285" s="158"/>
      <c r="P1285" s="158"/>
      <c r="Q1285" s="158"/>
      <c r="R1285" s="158"/>
      <c r="S1285" s="158"/>
      <c r="T1285" s="158"/>
      <c r="U1285" s="158"/>
      <c r="V1285" s="158"/>
      <c r="W1285" s="158"/>
      <c r="X1285" s="158"/>
      <c r="Y1285" s="158"/>
      <c r="Z1285" s="158"/>
      <c r="AA1285" s="158"/>
    </row>
    <row r="1286" spans="1:27" ht="15.75" customHeight="1" x14ac:dyDescent="0.55000000000000004">
      <c r="A1286" s="201"/>
      <c r="B1286" s="201"/>
      <c r="C1286" s="201"/>
      <c r="D1286" s="201"/>
      <c r="E1286" s="202"/>
      <c r="F1286" s="202"/>
      <c r="G1286" s="202"/>
      <c r="H1286" s="202"/>
      <c r="I1286" s="202"/>
      <c r="J1286" s="203"/>
      <c r="K1286" s="203"/>
      <c r="L1286" s="204"/>
      <c r="M1286" s="205"/>
      <c r="N1286" s="158"/>
      <c r="O1286" s="158"/>
      <c r="P1286" s="158"/>
      <c r="Q1286" s="158"/>
      <c r="R1286" s="158"/>
      <c r="S1286" s="158"/>
      <c r="T1286" s="158"/>
      <c r="U1286" s="158"/>
      <c r="V1286" s="158"/>
      <c r="W1286" s="158"/>
      <c r="X1286" s="158"/>
      <c r="Y1286" s="158"/>
      <c r="Z1286" s="158"/>
      <c r="AA1286" s="158"/>
    </row>
    <row r="1287" spans="1:27" ht="15.75" customHeight="1" x14ac:dyDescent="0.55000000000000004">
      <c r="A1287" s="201"/>
      <c r="B1287" s="201"/>
      <c r="C1287" s="201"/>
      <c r="D1287" s="201"/>
      <c r="E1287" s="202"/>
      <c r="F1287" s="202"/>
      <c r="G1287" s="202"/>
      <c r="H1287" s="202"/>
      <c r="I1287" s="202"/>
      <c r="J1287" s="203"/>
      <c r="K1287" s="203"/>
      <c r="L1287" s="204"/>
      <c r="M1287" s="205"/>
      <c r="N1287" s="158"/>
      <c r="O1287" s="158"/>
      <c r="P1287" s="158"/>
      <c r="Q1287" s="158"/>
      <c r="R1287" s="158"/>
      <c r="S1287" s="158"/>
      <c r="T1287" s="158"/>
      <c r="U1287" s="158"/>
      <c r="V1287" s="158"/>
      <c r="W1287" s="158"/>
      <c r="X1287" s="158"/>
      <c r="Y1287" s="158"/>
      <c r="Z1287" s="158"/>
      <c r="AA1287" s="158"/>
    </row>
    <row r="1288" spans="1:27" ht="15.75" customHeight="1" x14ac:dyDescent="0.55000000000000004">
      <c r="A1288" s="201"/>
      <c r="B1288" s="201"/>
      <c r="C1288" s="201"/>
      <c r="D1288" s="201"/>
      <c r="E1288" s="202"/>
      <c r="F1288" s="202"/>
      <c r="G1288" s="202"/>
      <c r="H1288" s="202"/>
      <c r="I1288" s="202"/>
      <c r="J1288" s="203"/>
      <c r="K1288" s="203"/>
      <c r="L1288" s="204"/>
      <c r="M1288" s="205"/>
      <c r="N1288" s="158"/>
      <c r="O1288" s="158"/>
      <c r="P1288" s="158"/>
      <c r="Q1288" s="158"/>
      <c r="R1288" s="158"/>
      <c r="S1288" s="158"/>
      <c r="T1288" s="158"/>
      <c r="U1288" s="158"/>
      <c r="V1288" s="158"/>
      <c r="W1288" s="158"/>
      <c r="X1288" s="158"/>
      <c r="Y1288" s="158"/>
      <c r="Z1288" s="158"/>
      <c r="AA1288" s="158"/>
    </row>
    <row r="1289" spans="1:27" ht="15.75" customHeight="1" x14ac:dyDescent="0.55000000000000004">
      <c r="A1289" s="201"/>
      <c r="B1289" s="201"/>
      <c r="C1289" s="201"/>
      <c r="D1289" s="201"/>
      <c r="E1289" s="202"/>
      <c r="F1289" s="202"/>
      <c r="G1289" s="202"/>
      <c r="H1289" s="202"/>
      <c r="I1289" s="202"/>
      <c r="J1289" s="203"/>
      <c r="K1289" s="203"/>
      <c r="L1289" s="204"/>
      <c r="M1289" s="205"/>
      <c r="N1289" s="158"/>
      <c r="O1289" s="158"/>
      <c r="P1289" s="158"/>
      <c r="Q1289" s="158"/>
      <c r="R1289" s="158"/>
      <c r="S1289" s="158"/>
      <c r="T1289" s="158"/>
      <c r="U1289" s="158"/>
      <c r="V1289" s="158"/>
      <c r="W1289" s="158"/>
      <c r="X1289" s="158"/>
      <c r="Y1289" s="158"/>
      <c r="Z1289" s="158"/>
      <c r="AA1289" s="158"/>
    </row>
    <row r="1290" spans="1:27" ht="15.75" customHeight="1" x14ac:dyDescent="0.55000000000000004">
      <c r="A1290" s="201"/>
      <c r="B1290" s="201"/>
      <c r="C1290" s="201"/>
      <c r="D1290" s="201"/>
      <c r="E1290" s="202"/>
      <c r="F1290" s="202"/>
      <c r="G1290" s="202"/>
      <c r="H1290" s="202"/>
      <c r="I1290" s="202"/>
      <c r="J1290" s="203"/>
      <c r="K1290" s="203"/>
      <c r="L1290" s="204"/>
      <c r="M1290" s="205"/>
      <c r="N1290" s="158"/>
      <c r="O1290" s="158"/>
      <c r="P1290" s="158"/>
      <c r="Q1290" s="158"/>
      <c r="R1290" s="158"/>
      <c r="S1290" s="158"/>
      <c r="T1290" s="158"/>
      <c r="U1290" s="158"/>
      <c r="V1290" s="158"/>
      <c r="W1290" s="158"/>
      <c r="X1290" s="158"/>
      <c r="Y1290" s="158"/>
      <c r="Z1290" s="158"/>
      <c r="AA1290" s="158"/>
    </row>
    <row r="1291" spans="1:27" ht="15.75" customHeight="1" x14ac:dyDescent="0.55000000000000004">
      <c r="A1291" s="201"/>
      <c r="B1291" s="201"/>
      <c r="C1291" s="201"/>
      <c r="D1291" s="201"/>
      <c r="E1291" s="202"/>
      <c r="F1291" s="202"/>
      <c r="G1291" s="202"/>
      <c r="H1291" s="202"/>
      <c r="I1291" s="202"/>
      <c r="J1291" s="203"/>
      <c r="K1291" s="203"/>
      <c r="L1291" s="204"/>
      <c r="M1291" s="205"/>
      <c r="N1291" s="158"/>
      <c r="O1291" s="158"/>
      <c r="P1291" s="158"/>
      <c r="Q1291" s="158"/>
      <c r="R1291" s="158"/>
      <c r="S1291" s="158"/>
      <c r="T1291" s="158"/>
      <c r="U1291" s="158"/>
      <c r="V1291" s="158"/>
      <c r="W1291" s="158"/>
      <c r="X1291" s="158"/>
      <c r="Y1291" s="158"/>
      <c r="Z1291" s="158"/>
      <c r="AA1291" s="158"/>
    </row>
    <row r="1292" spans="1:27" ht="15.75" customHeight="1" x14ac:dyDescent="0.55000000000000004">
      <c r="A1292" s="201"/>
      <c r="B1292" s="201"/>
      <c r="C1292" s="201"/>
      <c r="D1292" s="201"/>
      <c r="E1292" s="202"/>
      <c r="F1292" s="202"/>
      <c r="G1292" s="202"/>
      <c r="H1292" s="202"/>
      <c r="I1292" s="202"/>
      <c r="J1292" s="203"/>
      <c r="K1292" s="203"/>
      <c r="L1292" s="204"/>
      <c r="M1292" s="205"/>
      <c r="N1292" s="158"/>
      <c r="O1292" s="158"/>
      <c r="P1292" s="158"/>
      <c r="Q1292" s="158"/>
      <c r="R1292" s="158"/>
      <c r="S1292" s="158"/>
      <c r="T1292" s="158"/>
      <c r="U1292" s="158"/>
      <c r="V1292" s="158"/>
      <c r="W1292" s="158"/>
      <c r="X1292" s="158"/>
      <c r="Y1292" s="158"/>
      <c r="Z1292" s="158"/>
      <c r="AA1292" s="158"/>
    </row>
    <row r="1293" spans="1:27" ht="15.75" customHeight="1" x14ac:dyDescent="0.55000000000000004">
      <c r="A1293" s="201"/>
      <c r="B1293" s="201"/>
      <c r="C1293" s="201"/>
      <c r="D1293" s="201"/>
      <c r="E1293" s="202"/>
      <c r="F1293" s="202"/>
      <c r="G1293" s="202"/>
      <c r="H1293" s="202"/>
      <c r="I1293" s="202"/>
      <c r="J1293" s="203"/>
      <c r="K1293" s="203"/>
      <c r="L1293" s="204"/>
      <c r="M1293" s="205"/>
      <c r="N1293" s="158"/>
      <c r="O1293" s="158"/>
      <c r="P1293" s="158"/>
      <c r="Q1293" s="158"/>
      <c r="R1293" s="158"/>
      <c r="S1293" s="158"/>
      <c r="T1293" s="158"/>
      <c r="U1293" s="158"/>
      <c r="V1293" s="158"/>
      <c r="W1293" s="158"/>
      <c r="X1293" s="158"/>
      <c r="Y1293" s="158"/>
      <c r="Z1293" s="158"/>
      <c r="AA1293" s="158"/>
    </row>
    <row r="1294" spans="1:27" ht="15.75" customHeight="1" x14ac:dyDescent="0.55000000000000004">
      <c r="A1294" s="201"/>
      <c r="B1294" s="201"/>
      <c r="C1294" s="201"/>
      <c r="D1294" s="201"/>
      <c r="E1294" s="202"/>
      <c r="F1294" s="202"/>
      <c r="G1294" s="202"/>
      <c r="H1294" s="202"/>
      <c r="I1294" s="202"/>
      <c r="J1294" s="203"/>
      <c r="K1294" s="203"/>
      <c r="L1294" s="204"/>
      <c r="M1294" s="205"/>
      <c r="N1294" s="158"/>
      <c r="O1294" s="158"/>
      <c r="P1294" s="158"/>
      <c r="Q1294" s="158"/>
      <c r="R1294" s="158"/>
      <c r="S1294" s="158"/>
      <c r="T1294" s="158"/>
      <c r="U1294" s="158"/>
      <c r="V1294" s="158"/>
      <c r="W1294" s="158"/>
      <c r="X1294" s="158"/>
      <c r="Y1294" s="158"/>
      <c r="Z1294" s="158"/>
      <c r="AA1294" s="158"/>
    </row>
    <row r="1295" spans="1:27" ht="15.75" customHeight="1" x14ac:dyDescent="0.55000000000000004">
      <c r="A1295" s="201"/>
      <c r="B1295" s="201"/>
      <c r="C1295" s="201"/>
      <c r="D1295" s="201"/>
      <c r="E1295" s="202"/>
      <c r="F1295" s="202"/>
      <c r="G1295" s="202"/>
      <c r="H1295" s="202"/>
      <c r="I1295" s="202"/>
      <c r="J1295" s="203"/>
      <c r="K1295" s="203"/>
      <c r="L1295" s="204"/>
      <c r="M1295" s="205"/>
      <c r="N1295" s="158"/>
      <c r="O1295" s="158"/>
      <c r="P1295" s="158"/>
      <c r="Q1295" s="158"/>
      <c r="R1295" s="158"/>
      <c r="S1295" s="158"/>
      <c r="T1295" s="158"/>
      <c r="U1295" s="158"/>
      <c r="V1295" s="158"/>
      <c r="W1295" s="158"/>
      <c r="X1295" s="158"/>
      <c r="Y1295" s="158"/>
      <c r="Z1295" s="158"/>
      <c r="AA1295" s="158"/>
    </row>
    <row r="1296" spans="1:27" ht="15.75" customHeight="1" x14ac:dyDescent="0.55000000000000004">
      <c r="A1296" s="201"/>
      <c r="B1296" s="201"/>
      <c r="C1296" s="201"/>
      <c r="D1296" s="201"/>
      <c r="E1296" s="202"/>
      <c r="F1296" s="202"/>
      <c r="G1296" s="202"/>
      <c r="H1296" s="202"/>
      <c r="I1296" s="202"/>
      <c r="J1296" s="203"/>
      <c r="K1296" s="203"/>
      <c r="L1296" s="204"/>
      <c r="M1296" s="205"/>
      <c r="N1296" s="158"/>
      <c r="O1296" s="158"/>
      <c r="P1296" s="158"/>
      <c r="Q1296" s="158"/>
      <c r="R1296" s="158"/>
      <c r="S1296" s="158"/>
      <c r="T1296" s="158"/>
      <c r="U1296" s="158"/>
      <c r="V1296" s="158"/>
      <c r="W1296" s="158"/>
      <c r="X1296" s="158"/>
      <c r="Y1296" s="158"/>
      <c r="Z1296" s="158"/>
      <c r="AA1296" s="158"/>
    </row>
    <row r="1297" spans="1:27" ht="15.75" customHeight="1" x14ac:dyDescent="0.55000000000000004">
      <c r="A1297" s="201"/>
      <c r="B1297" s="201"/>
      <c r="C1297" s="201"/>
      <c r="D1297" s="201"/>
      <c r="E1297" s="202"/>
      <c r="F1297" s="202"/>
      <c r="G1297" s="202"/>
      <c r="H1297" s="202"/>
      <c r="I1297" s="202"/>
      <c r="J1297" s="203"/>
      <c r="K1297" s="203"/>
      <c r="L1297" s="204"/>
      <c r="M1297" s="205"/>
      <c r="N1297" s="158"/>
      <c r="O1297" s="158"/>
      <c r="P1297" s="158"/>
      <c r="Q1297" s="158"/>
      <c r="R1297" s="158"/>
      <c r="S1297" s="158"/>
      <c r="T1297" s="158"/>
      <c r="U1297" s="158"/>
      <c r="V1297" s="158"/>
      <c r="W1297" s="158"/>
      <c r="X1297" s="158"/>
      <c r="Y1297" s="158"/>
      <c r="Z1297" s="158"/>
      <c r="AA1297" s="158"/>
    </row>
    <row r="1298" spans="1:27" ht="15.75" customHeight="1" x14ac:dyDescent="0.55000000000000004">
      <c r="A1298" s="201"/>
      <c r="B1298" s="201"/>
      <c r="C1298" s="201"/>
      <c r="D1298" s="201"/>
      <c r="E1298" s="202"/>
      <c r="F1298" s="202"/>
      <c r="G1298" s="202"/>
      <c r="H1298" s="202"/>
      <c r="I1298" s="202"/>
      <c r="J1298" s="203"/>
      <c r="K1298" s="203"/>
      <c r="L1298" s="204"/>
      <c r="M1298" s="205"/>
      <c r="N1298" s="158"/>
      <c r="O1298" s="158"/>
      <c r="P1298" s="158"/>
      <c r="Q1298" s="158"/>
      <c r="R1298" s="158"/>
      <c r="S1298" s="158"/>
      <c r="T1298" s="158"/>
      <c r="U1298" s="158"/>
      <c r="V1298" s="158"/>
      <c r="W1298" s="158"/>
      <c r="X1298" s="158"/>
      <c r="Y1298" s="158"/>
      <c r="Z1298" s="158"/>
      <c r="AA1298" s="158"/>
    </row>
    <row r="1299" spans="1:27" ht="15.75" customHeight="1" x14ac:dyDescent="0.55000000000000004">
      <c r="A1299" s="201"/>
      <c r="B1299" s="201"/>
      <c r="C1299" s="201"/>
      <c r="D1299" s="201"/>
      <c r="E1299" s="202"/>
      <c r="F1299" s="202"/>
      <c r="G1299" s="202"/>
      <c r="H1299" s="202"/>
      <c r="I1299" s="202"/>
      <c r="J1299" s="203"/>
      <c r="K1299" s="203"/>
      <c r="L1299" s="204"/>
      <c r="M1299" s="205"/>
      <c r="N1299" s="158"/>
      <c r="O1299" s="158"/>
      <c r="P1299" s="158"/>
      <c r="Q1299" s="158"/>
      <c r="R1299" s="158"/>
      <c r="S1299" s="158"/>
      <c r="T1299" s="158"/>
      <c r="U1299" s="158"/>
      <c r="V1299" s="158"/>
      <c r="W1299" s="158"/>
      <c r="X1299" s="158"/>
      <c r="Y1299" s="158"/>
      <c r="Z1299" s="158"/>
      <c r="AA1299" s="158"/>
    </row>
    <row r="1300" spans="1:27" ht="15.75" customHeight="1" x14ac:dyDescent="0.55000000000000004">
      <c r="A1300" s="201"/>
      <c r="B1300" s="201"/>
      <c r="C1300" s="201"/>
      <c r="D1300" s="201"/>
      <c r="E1300" s="202"/>
      <c r="F1300" s="202"/>
      <c r="G1300" s="202"/>
      <c r="H1300" s="202"/>
      <c r="I1300" s="202"/>
      <c r="J1300" s="203"/>
      <c r="K1300" s="203"/>
      <c r="L1300" s="204"/>
      <c r="M1300" s="205"/>
      <c r="N1300" s="158"/>
      <c r="O1300" s="158"/>
      <c r="P1300" s="158"/>
      <c r="Q1300" s="158"/>
      <c r="R1300" s="158"/>
      <c r="S1300" s="158"/>
      <c r="T1300" s="158"/>
      <c r="U1300" s="158"/>
      <c r="V1300" s="158"/>
      <c r="W1300" s="158"/>
      <c r="X1300" s="158"/>
      <c r="Y1300" s="158"/>
      <c r="Z1300" s="158"/>
      <c r="AA1300" s="158"/>
    </row>
    <row r="1301" spans="1:27" ht="15.75" customHeight="1" x14ac:dyDescent="0.55000000000000004">
      <c r="A1301" s="201"/>
      <c r="B1301" s="201"/>
      <c r="C1301" s="201"/>
      <c r="D1301" s="201"/>
      <c r="E1301" s="202"/>
      <c r="F1301" s="202"/>
      <c r="G1301" s="202"/>
      <c r="H1301" s="202"/>
      <c r="I1301" s="202"/>
      <c r="J1301" s="203"/>
      <c r="K1301" s="203"/>
      <c r="L1301" s="204"/>
      <c r="M1301" s="205"/>
      <c r="N1301" s="158"/>
      <c r="O1301" s="158"/>
      <c r="P1301" s="158"/>
      <c r="Q1301" s="158"/>
      <c r="R1301" s="158"/>
      <c r="S1301" s="158"/>
      <c r="T1301" s="158"/>
      <c r="U1301" s="158"/>
      <c r="V1301" s="158"/>
      <c r="W1301" s="158"/>
      <c r="X1301" s="158"/>
      <c r="Y1301" s="158"/>
      <c r="Z1301" s="158"/>
      <c r="AA1301" s="158"/>
    </row>
    <row r="1302" spans="1:27" ht="15.75" customHeight="1" x14ac:dyDescent="0.55000000000000004">
      <c r="A1302" s="201"/>
      <c r="B1302" s="201"/>
      <c r="C1302" s="201"/>
      <c r="D1302" s="201"/>
      <c r="E1302" s="202"/>
      <c r="F1302" s="202"/>
      <c r="G1302" s="202"/>
      <c r="H1302" s="202"/>
      <c r="I1302" s="202"/>
      <c r="J1302" s="203"/>
      <c r="K1302" s="203"/>
      <c r="L1302" s="204"/>
      <c r="M1302" s="205"/>
      <c r="N1302" s="158"/>
      <c r="O1302" s="158"/>
      <c r="P1302" s="158"/>
      <c r="Q1302" s="158"/>
      <c r="R1302" s="158"/>
      <c r="S1302" s="158"/>
      <c r="T1302" s="158"/>
      <c r="U1302" s="158"/>
      <c r="V1302" s="158"/>
      <c r="W1302" s="158"/>
      <c r="X1302" s="158"/>
      <c r="Y1302" s="158"/>
      <c r="Z1302" s="158"/>
      <c r="AA1302" s="158"/>
    </row>
    <row r="1303" spans="1:27" ht="15.75" customHeight="1" x14ac:dyDescent="0.55000000000000004">
      <c r="A1303" s="201"/>
      <c r="B1303" s="201"/>
      <c r="C1303" s="201"/>
      <c r="D1303" s="201"/>
      <c r="E1303" s="202"/>
      <c r="F1303" s="202"/>
      <c r="G1303" s="202"/>
      <c r="H1303" s="202"/>
      <c r="I1303" s="202"/>
      <c r="J1303" s="203"/>
      <c r="K1303" s="203"/>
      <c r="L1303" s="204"/>
      <c r="M1303" s="205"/>
      <c r="N1303" s="158"/>
      <c r="O1303" s="158"/>
      <c r="P1303" s="158"/>
      <c r="Q1303" s="158"/>
      <c r="R1303" s="158"/>
      <c r="S1303" s="158"/>
      <c r="T1303" s="158"/>
      <c r="U1303" s="158"/>
      <c r="V1303" s="158"/>
      <c r="W1303" s="158"/>
      <c r="X1303" s="158"/>
      <c r="Y1303" s="158"/>
      <c r="Z1303" s="158"/>
      <c r="AA1303" s="158"/>
    </row>
    <row r="1304" spans="1:27" ht="15.75" customHeight="1" x14ac:dyDescent="0.55000000000000004">
      <c r="A1304" s="201"/>
      <c r="B1304" s="201"/>
      <c r="C1304" s="201"/>
      <c r="D1304" s="201"/>
      <c r="E1304" s="202"/>
      <c r="F1304" s="202"/>
      <c r="G1304" s="202"/>
      <c r="H1304" s="202"/>
      <c r="I1304" s="202"/>
      <c r="J1304" s="203"/>
      <c r="K1304" s="203"/>
      <c r="L1304" s="204"/>
      <c r="M1304" s="205"/>
      <c r="N1304" s="158"/>
      <c r="O1304" s="158"/>
      <c r="P1304" s="158"/>
      <c r="Q1304" s="158"/>
      <c r="R1304" s="158"/>
      <c r="S1304" s="158"/>
      <c r="T1304" s="158"/>
      <c r="U1304" s="158"/>
      <c r="V1304" s="158"/>
      <c r="W1304" s="158"/>
      <c r="X1304" s="158"/>
      <c r="Y1304" s="158"/>
      <c r="Z1304" s="158"/>
      <c r="AA1304" s="158"/>
    </row>
    <row r="1305" spans="1:27" ht="15.75" customHeight="1" x14ac:dyDescent="0.55000000000000004">
      <c r="A1305" s="201"/>
      <c r="B1305" s="201"/>
      <c r="C1305" s="201"/>
      <c r="D1305" s="201"/>
      <c r="E1305" s="202"/>
      <c r="F1305" s="202"/>
      <c r="G1305" s="202"/>
      <c r="H1305" s="202"/>
      <c r="I1305" s="202"/>
      <c r="J1305" s="203"/>
      <c r="K1305" s="203"/>
      <c r="L1305" s="204"/>
      <c r="M1305" s="205"/>
      <c r="N1305" s="158"/>
      <c r="O1305" s="158"/>
      <c r="P1305" s="158"/>
      <c r="Q1305" s="158"/>
      <c r="R1305" s="158"/>
      <c r="S1305" s="158"/>
      <c r="T1305" s="158"/>
      <c r="U1305" s="158"/>
      <c r="V1305" s="158"/>
      <c r="W1305" s="158"/>
      <c r="X1305" s="158"/>
      <c r="Y1305" s="158"/>
      <c r="Z1305" s="158"/>
      <c r="AA1305" s="158"/>
    </row>
    <row r="1306" spans="1:27" ht="15.75" customHeight="1" x14ac:dyDescent="0.55000000000000004">
      <c r="A1306" s="201"/>
      <c r="B1306" s="201"/>
      <c r="C1306" s="201"/>
      <c r="D1306" s="201"/>
      <c r="E1306" s="202"/>
      <c r="F1306" s="202"/>
      <c r="G1306" s="202"/>
      <c r="H1306" s="202"/>
      <c r="I1306" s="202"/>
      <c r="J1306" s="203"/>
      <c r="K1306" s="203"/>
      <c r="L1306" s="204"/>
      <c r="M1306" s="205"/>
      <c r="N1306" s="158"/>
      <c r="O1306" s="158"/>
      <c r="P1306" s="158"/>
      <c r="Q1306" s="158"/>
      <c r="R1306" s="158"/>
      <c r="S1306" s="158"/>
      <c r="T1306" s="158"/>
      <c r="U1306" s="158"/>
      <c r="V1306" s="158"/>
      <c r="W1306" s="158"/>
      <c r="X1306" s="158"/>
      <c r="Y1306" s="158"/>
      <c r="Z1306" s="158"/>
      <c r="AA1306" s="158"/>
    </row>
    <row r="1307" spans="1:27" ht="15.75" customHeight="1" x14ac:dyDescent="0.55000000000000004">
      <c r="A1307" s="201"/>
      <c r="B1307" s="201"/>
      <c r="C1307" s="201"/>
      <c r="D1307" s="201"/>
      <c r="E1307" s="202"/>
      <c r="F1307" s="202"/>
      <c r="G1307" s="202"/>
      <c r="H1307" s="202"/>
      <c r="I1307" s="202"/>
      <c r="J1307" s="203"/>
      <c r="K1307" s="203"/>
      <c r="L1307" s="204"/>
      <c r="M1307" s="205"/>
      <c r="N1307" s="158"/>
      <c r="O1307" s="158"/>
      <c r="P1307" s="158"/>
      <c r="Q1307" s="158"/>
      <c r="R1307" s="158"/>
      <c r="S1307" s="158"/>
      <c r="T1307" s="158"/>
      <c r="U1307" s="158"/>
      <c r="V1307" s="158"/>
      <c r="W1307" s="158"/>
      <c r="X1307" s="158"/>
      <c r="Y1307" s="158"/>
      <c r="Z1307" s="158"/>
      <c r="AA1307" s="158"/>
    </row>
    <row r="1308" spans="1:27" ht="15.75" customHeight="1" x14ac:dyDescent="0.55000000000000004">
      <c r="A1308" s="201"/>
      <c r="B1308" s="201"/>
      <c r="C1308" s="201"/>
      <c r="D1308" s="201"/>
      <c r="E1308" s="202"/>
      <c r="F1308" s="202"/>
      <c r="G1308" s="202"/>
      <c r="H1308" s="202"/>
      <c r="I1308" s="202"/>
      <c r="J1308" s="203"/>
      <c r="K1308" s="203"/>
      <c r="L1308" s="204"/>
      <c r="M1308" s="205"/>
      <c r="N1308" s="158"/>
      <c r="O1308" s="158"/>
      <c r="P1308" s="158"/>
      <c r="Q1308" s="158"/>
      <c r="R1308" s="158"/>
      <c r="S1308" s="158"/>
      <c r="T1308" s="158"/>
      <c r="U1308" s="158"/>
      <c r="V1308" s="158"/>
      <c r="W1308" s="158"/>
      <c r="X1308" s="158"/>
      <c r="Y1308" s="158"/>
      <c r="Z1308" s="158"/>
      <c r="AA1308" s="158"/>
    </row>
    <row r="1309" spans="1:27" ht="15.75" customHeight="1" x14ac:dyDescent="0.55000000000000004">
      <c r="A1309" s="201"/>
      <c r="B1309" s="201"/>
      <c r="C1309" s="201"/>
      <c r="D1309" s="201"/>
      <c r="E1309" s="202"/>
      <c r="F1309" s="202"/>
      <c r="G1309" s="202"/>
      <c r="H1309" s="202"/>
      <c r="I1309" s="202"/>
      <c r="J1309" s="203"/>
      <c r="K1309" s="203"/>
      <c r="L1309" s="204"/>
      <c r="M1309" s="205"/>
      <c r="N1309" s="158"/>
      <c r="O1309" s="158"/>
      <c r="P1309" s="158"/>
      <c r="Q1309" s="158"/>
      <c r="R1309" s="158"/>
      <c r="S1309" s="158"/>
      <c r="T1309" s="158"/>
      <c r="U1309" s="158"/>
      <c r="V1309" s="158"/>
      <c r="W1309" s="158"/>
      <c r="X1309" s="158"/>
      <c r="Y1309" s="158"/>
      <c r="Z1309" s="158"/>
      <c r="AA1309" s="158"/>
    </row>
    <row r="1310" spans="1:27" ht="15.75" customHeight="1" x14ac:dyDescent="0.55000000000000004">
      <c r="A1310" s="201"/>
      <c r="B1310" s="201"/>
      <c r="C1310" s="201"/>
      <c r="D1310" s="201"/>
      <c r="E1310" s="202"/>
      <c r="F1310" s="202"/>
      <c r="G1310" s="202"/>
      <c r="H1310" s="202"/>
      <c r="I1310" s="202"/>
      <c r="J1310" s="203"/>
      <c r="K1310" s="203"/>
      <c r="L1310" s="204"/>
      <c r="M1310" s="205"/>
      <c r="N1310" s="158"/>
      <c r="O1310" s="158"/>
      <c r="P1310" s="158"/>
      <c r="Q1310" s="158"/>
      <c r="R1310" s="158"/>
      <c r="S1310" s="158"/>
      <c r="T1310" s="158"/>
      <c r="U1310" s="158"/>
      <c r="V1310" s="158"/>
      <c r="W1310" s="158"/>
      <c r="X1310" s="158"/>
      <c r="Y1310" s="158"/>
      <c r="Z1310" s="158"/>
      <c r="AA1310" s="158"/>
    </row>
    <row r="1311" spans="1:27" ht="15.75" customHeight="1" x14ac:dyDescent="0.55000000000000004">
      <c r="A1311" s="201"/>
      <c r="B1311" s="201"/>
      <c r="C1311" s="201"/>
      <c r="D1311" s="201"/>
      <c r="E1311" s="202"/>
      <c r="F1311" s="202"/>
      <c r="G1311" s="202"/>
      <c r="H1311" s="202"/>
      <c r="I1311" s="202"/>
      <c r="J1311" s="203"/>
      <c r="K1311" s="203"/>
      <c r="L1311" s="204"/>
      <c r="M1311" s="205"/>
      <c r="N1311" s="158"/>
      <c r="O1311" s="158"/>
      <c r="P1311" s="158"/>
      <c r="Q1311" s="158"/>
      <c r="R1311" s="158"/>
      <c r="S1311" s="158"/>
      <c r="T1311" s="158"/>
      <c r="U1311" s="158"/>
      <c r="V1311" s="158"/>
      <c r="W1311" s="158"/>
      <c r="X1311" s="158"/>
      <c r="Y1311" s="158"/>
      <c r="Z1311" s="158"/>
      <c r="AA1311" s="158"/>
    </row>
    <row r="1312" spans="1:27" ht="15.75" customHeight="1" x14ac:dyDescent="0.55000000000000004">
      <c r="A1312" s="201"/>
      <c r="B1312" s="201"/>
      <c r="C1312" s="201"/>
      <c r="D1312" s="201"/>
      <c r="E1312" s="202"/>
      <c r="F1312" s="202"/>
      <c r="G1312" s="202"/>
      <c r="H1312" s="202"/>
      <c r="I1312" s="202"/>
      <c r="J1312" s="203"/>
      <c r="K1312" s="203"/>
      <c r="L1312" s="204"/>
      <c r="M1312" s="205"/>
      <c r="N1312" s="158"/>
      <c r="O1312" s="158"/>
      <c r="P1312" s="158"/>
      <c r="Q1312" s="158"/>
      <c r="R1312" s="158"/>
      <c r="S1312" s="158"/>
      <c r="T1312" s="158"/>
      <c r="U1312" s="158"/>
      <c r="V1312" s="158"/>
      <c r="W1312" s="158"/>
      <c r="X1312" s="158"/>
      <c r="Y1312" s="158"/>
      <c r="Z1312" s="158"/>
      <c r="AA1312" s="158"/>
    </row>
    <row r="1313" spans="1:27" ht="15.75" customHeight="1" x14ac:dyDescent="0.55000000000000004">
      <c r="A1313" s="201"/>
      <c r="B1313" s="201"/>
      <c r="C1313" s="201"/>
      <c r="D1313" s="201"/>
      <c r="E1313" s="202"/>
      <c r="F1313" s="202"/>
      <c r="G1313" s="202"/>
      <c r="H1313" s="202"/>
      <c r="I1313" s="202"/>
      <c r="J1313" s="203"/>
      <c r="K1313" s="203"/>
      <c r="L1313" s="204"/>
      <c r="M1313" s="205"/>
      <c r="N1313" s="158"/>
      <c r="O1313" s="158"/>
      <c r="P1313" s="158"/>
      <c r="Q1313" s="158"/>
      <c r="R1313" s="158"/>
      <c r="S1313" s="158"/>
      <c r="T1313" s="158"/>
      <c r="U1313" s="158"/>
      <c r="V1313" s="158"/>
      <c r="W1313" s="158"/>
      <c r="X1313" s="158"/>
      <c r="Y1313" s="158"/>
      <c r="Z1313" s="158"/>
      <c r="AA1313" s="158"/>
    </row>
    <row r="1314" spans="1:27" ht="15.75" customHeight="1" x14ac:dyDescent="0.55000000000000004">
      <c r="A1314" s="201"/>
      <c r="B1314" s="201"/>
      <c r="C1314" s="201"/>
      <c r="D1314" s="201"/>
      <c r="E1314" s="202"/>
      <c r="F1314" s="202"/>
      <c r="G1314" s="202"/>
      <c r="H1314" s="202"/>
      <c r="I1314" s="202"/>
      <c r="J1314" s="203"/>
      <c r="K1314" s="203"/>
      <c r="L1314" s="204"/>
      <c r="M1314" s="205"/>
      <c r="N1314" s="158"/>
      <c r="O1314" s="158"/>
      <c r="P1314" s="158"/>
      <c r="Q1314" s="158"/>
      <c r="R1314" s="158"/>
      <c r="S1314" s="158"/>
      <c r="T1314" s="158"/>
      <c r="U1314" s="158"/>
      <c r="V1314" s="158"/>
      <c r="W1314" s="158"/>
      <c r="X1314" s="158"/>
      <c r="Y1314" s="158"/>
      <c r="Z1314" s="158"/>
      <c r="AA1314" s="158"/>
    </row>
    <row r="1315" spans="1:27" ht="15.75" customHeight="1" x14ac:dyDescent="0.55000000000000004">
      <c r="A1315" s="201"/>
      <c r="B1315" s="201"/>
      <c r="C1315" s="201"/>
      <c r="D1315" s="201"/>
      <c r="E1315" s="202"/>
      <c r="F1315" s="202"/>
      <c r="G1315" s="202"/>
      <c r="H1315" s="202"/>
      <c r="I1315" s="202"/>
      <c r="J1315" s="203"/>
      <c r="K1315" s="203"/>
      <c r="L1315" s="204"/>
      <c r="M1315" s="205"/>
      <c r="N1315" s="158"/>
      <c r="O1315" s="158"/>
      <c r="P1315" s="158"/>
      <c r="Q1315" s="158"/>
      <c r="R1315" s="158"/>
      <c r="S1315" s="158"/>
      <c r="T1315" s="158"/>
      <c r="U1315" s="158"/>
      <c r="V1315" s="158"/>
      <c r="W1315" s="158"/>
      <c r="X1315" s="158"/>
      <c r="Y1315" s="158"/>
      <c r="Z1315" s="158"/>
      <c r="AA1315" s="158"/>
    </row>
    <row r="1316" spans="1:27" ht="15.75" customHeight="1" x14ac:dyDescent="0.55000000000000004">
      <c r="A1316" s="201"/>
      <c r="B1316" s="201"/>
      <c r="C1316" s="201"/>
      <c r="D1316" s="201"/>
      <c r="E1316" s="202"/>
      <c r="F1316" s="202"/>
      <c r="G1316" s="202"/>
      <c r="H1316" s="202"/>
      <c r="I1316" s="202"/>
      <c r="J1316" s="203"/>
      <c r="K1316" s="203"/>
      <c r="L1316" s="204"/>
      <c r="M1316" s="205"/>
      <c r="N1316" s="158"/>
      <c r="O1316" s="158"/>
      <c r="P1316" s="158"/>
      <c r="Q1316" s="158"/>
      <c r="R1316" s="158"/>
      <c r="S1316" s="158"/>
      <c r="T1316" s="158"/>
      <c r="U1316" s="158"/>
      <c r="V1316" s="158"/>
      <c r="W1316" s="158"/>
      <c r="X1316" s="158"/>
      <c r="Y1316" s="158"/>
      <c r="Z1316" s="158"/>
      <c r="AA1316" s="158"/>
    </row>
    <row r="1317" spans="1:27" ht="15.75" customHeight="1" x14ac:dyDescent="0.55000000000000004">
      <c r="A1317" s="201"/>
      <c r="B1317" s="201"/>
      <c r="C1317" s="201"/>
      <c r="D1317" s="201"/>
      <c r="E1317" s="202"/>
      <c r="F1317" s="202"/>
      <c r="G1317" s="202"/>
      <c r="H1317" s="202"/>
      <c r="I1317" s="202"/>
      <c r="J1317" s="203"/>
      <c r="K1317" s="203"/>
      <c r="L1317" s="204"/>
      <c r="M1317" s="205"/>
      <c r="N1317" s="158"/>
      <c r="O1317" s="158"/>
      <c r="P1317" s="158"/>
      <c r="Q1317" s="158"/>
      <c r="R1317" s="158"/>
      <c r="S1317" s="158"/>
      <c r="T1317" s="158"/>
      <c r="U1317" s="158"/>
      <c r="V1317" s="158"/>
      <c r="W1317" s="158"/>
      <c r="X1317" s="158"/>
      <c r="Y1317" s="158"/>
      <c r="Z1317" s="158"/>
      <c r="AA1317" s="158"/>
    </row>
    <row r="1318" spans="1:27" ht="15.75" customHeight="1" x14ac:dyDescent="0.55000000000000004">
      <c r="A1318" s="201"/>
      <c r="B1318" s="201"/>
      <c r="C1318" s="201"/>
      <c r="D1318" s="201"/>
      <c r="E1318" s="202"/>
      <c r="F1318" s="202"/>
      <c r="G1318" s="202"/>
      <c r="H1318" s="202"/>
      <c r="I1318" s="202"/>
      <c r="J1318" s="203"/>
      <c r="K1318" s="203"/>
      <c r="L1318" s="204"/>
      <c r="M1318" s="205"/>
      <c r="N1318" s="158"/>
      <c r="O1318" s="158"/>
      <c r="P1318" s="158"/>
      <c r="Q1318" s="158"/>
      <c r="R1318" s="158"/>
      <c r="S1318" s="158"/>
      <c r="T1318" s="158"/>
      <c r="U1318" s="158"/>
      <c r="V1318" s="158"/>
      <c r="W1318" s="158"/>
      <c r="X1318" s="158"/>
      <c r="Y1318" s="158"/>
      <c r="Z1318" s="158"/>
      <c r="AA1318" s="158"/>
    </row>
    <row r="1319" spans="1:27" ht="15.75" customHeight="1" x14ac:dyDescent="0.55000000000000004">
      <c r="A1319" s="201"/>
      <c r="B1319" s="201"/>
      <c r="C1319" s="201"/>
      <c r="D1319" s="201"/>
      <c r="E1319" s="202"/>
      <c r="F1319" s="202"/>
      <c r="G1319" s="202"/>
      <c r="H1319" s="202"/>
      <c r="I1319" s="202"/>
      <c r="J1319" s="203"/>
      <c r="K1319" s="203"/>
      <c r="L1319" s="204"/>
      <c r="M1319" s="205"/>
      <c r="N1319" s="158"/>
      <c r="O1319" s="158"/>
      <c r="P1319" s="158"/>
      <c r="Q1319" s="158"/>
      <c r="R1319" s="158"/>
      <c r="S1319" s="158"/>
      <c r="T1319" s="158"/>
      <c r="U1319" s="158"/>
      <c r="V1319" s="158"/>
      <c r="W1319" s="158"/>
      <c r="X1319" s="158"/>
      <c r="Y1319" s="158"/>
      <c r="Z1319" s="158"/>
      <c r="AA1319" s="158"/>
    </row>
    <row r="1320" spans="1:27" ht="15.75" customHeight="1" x14ac:dyDescent="0.55000000000000004">
      <c r="A1320" s="201"/>
      <c r="B1320" s="201"/>
      <c r="C1320" s="201"/>
      <c r="D1320" s="201"/>
      <c r="E1320" s="202"/>
      <c r="F1320" s="202"/>
      <c r="G1320" s="202"/>
      <c r="H1320" s="202"/>
      <c r="I1320" s="202"/>
      <c r="J1320" s="203"/>
      <c r="K1320" s="203"/>
      <c r="L1320" s="204"/>
      <c r="M1320" s="205"/>
      <c r="N1320" s="158"/>
      <c r="O1320" s="158"/>
      <c r="P1320" s="158"/>
      <c r="Q1320" s="158"/>
      <c r="R1320" s="158"/>
      <c r="S1320" s="158"/>
      <c r="T1320" s="158"/>
      <c r="U1320" s="158"/>
      <c r="V1320" s="158"/>
      <c r="W1320" s="158"/>
      <c r="X1320" s="158"/>
      <c r="Y1320" s="158"/>
      <c r="Z1320" s="158"/>
      <c r="AA1320" s="158"/>
    </row>
    <row r="1321" spans="1:27" ht="15.75" customHeight="1" x14ac:dyDescent="0.55000000000000004">
      <c r="A1321" s="201"/>
      <c r="B1321" s="201"/>
      <c r="C1321" s="201"/>
      <c r="D1321" s="201"/>
      <c r="E1321" s="202"/>
      <c r="F1321" s="202"/>
      <c r="G1321" s="202"/>
      <c r="H1321" s="202"/>
      <c r="I1321" s="202"/>
      <c r="J1321" s="203"/>
      <c r="K1321" s="203"/>
      <c r="L1321" s="204"/>
      <c r="M1321" s="205"/>
      <c r="N1321" s="158"/>
      <c r="O1321" s="158"/>
      <c r="P1321" s="158"/>
      <c r="Q1321" s="158"/>
      <c r="R1321" s="158"/>
      <c r="S1321" s="158"/>
      <c r="T1321" s="158"/>
      <c r="U1321" s="158"/>
      <c r="V1321" s="158"/>
      <c r="W1321" s="158"/>
      <c r="X1321" s="158"/>
      <c r="Y1321" s="158"/>
      <c r="Z1321" s="158"/>
      <c r="AA1321" s="158"/>
    </row>
    <row r="1322" spans="1:27" ht="15.75" customHeight="1" x14ac:dyDescent="0.55000000000000004">
      <c r="A1322" s="201"/>
      <c r="B1322" s="201"/>
      <c r="C1322" s="201"/>
      <c r="D1322" s="201"/>
      <c r="E1322" s="202"/>
      <c r="F1322" s="202"/>
      <c r="G1322" s="202"/>
      <c r="H1322" s="202"/>
      <c r="I1322" s="202"/>
      <c r="J1322" s="203"/>
      <c r="K1322" s="203"/>
      <c r="L1322" s="204"/>
      <c r="M1322" s="205"/>
      <c r="N1322" s="158"/>
      <c r="O1322" s="158"/>
      <c r="P1322" s="158"/>
      <c r="Q1322" s="158"/>
      <c r="R1322" s="158"/>
      <c r="S1322" s="158"/>
      <c r="T1322" s="158"/>
      <c r="U1322" s="158"/>
      <c r="V1322" s="158"/>
      <c r="W1322" s="158"/>
      <c r="X1322" s="158"/>
      <c r="Y1322" s="158"/>
      <c r="Z1322" s="158"/>
      <c r="AA1322" s="158"/>
    </row>
    <row r="1323" spans="1:27" ht="15.75" customHeight="1" x14ac:dyDescent="0.55000000000000004">
      <c r="A1323" s="201"/>
      <c r="B1323" s="201"/>
      <c r="C1323" s="201"/>
      <c r="D1323" s="201"/>
      <c r="E1323" s="202"/>
      <c r="F1323" s="202"/>
      <c r="G1323" s="202"/>
      <c r="H1323" s="202"/>
      <c r="I1323" s="202"/>
      <c r="J1323" s="203"/>
      <c r="K1323" s="203"/>
      <c r="L1323" s="204"/>
      <c r="M1323" s="205"/>
      <c r="N1323" s="158"/>
      <c r="O1323" s="158"/>
      <c r="P1323" s="158"/>
      <c r="Q1323" s="158"/>
      <c r="R1323" s="158"/>
      <c r="S1323" s="158"/>
      <c r="T1323" s="158"/>
      <c r="U1323" s="158"/>
      <c r="V1323" s="158"/>
      <c r="W1323" s="158"/>
      <c r="X1323" s="158"/>
      <c r="Y1323" s="158"/>
      <c r="Z1323" s="158"/>
      <c r="AA1323" s="158"/>
    </row>
    <row r="1324" spans="1:27" ht="15.75" customHeight="1" x14ac:dyDescent="0.55000000000000004">
      <c r="A1324" s="201"/>
      <c r="B1324" s="201"/>
      <c r="C1324" s="201"/>
      <c r="D1324" s="201"/>
      <c r="E1324" s="202"/>
      <c r="F1324" s="202"/>
      <c r="G1324" s="202"/>
      <c r="H1324" s="202"/>
      <c r="I1324" s="202"/>
      <c r="J1324" s="203"/>
      <c r="K1324" s="203"/>
      <c r="L1324" s="204"/>
      <c r="M1324" s="205"/>
      <c r="N1324" s="158"/>
      <c r="O1324" s="158"/>
      <c r="P1324" s="158"/>
      <c r="Q1324" s="158"/>
      <c r="R1324" s="158"/>
      <c r="S1324" s="158"/>
      <c r="T1324" s="158"/>
      <c r="U1324" s="158"/>
      <c r="V1324" s="158"/>
      <c r="W1324" s="158"/>
      <c r="X1324" s="158"/>
      <c r="Y1324" s="158"/>
      <c r="Z1324" s="158"/>
      <c r="AA1324" s="158"/>
    </row>
    <row r="1325" spans="1:27" ht="15.75" customHeight="1" x14ac:dyDescent="0.55000000000000004">
      <c r="A1325" s="201"/>
      <c r="B1325" s="201"/>
      <c r="C1325" s="201"/>
      <c r="D1325" s="201"/>
      <c r="E1325" s="202"/>
      <c r="F1325" s="202"/>
      <c r="G1325" s="202"/>
      <c r="H1325" s="202"/>
      <c r="I1325" s="202"/>
      <c r="J1325" s="203"/>
      <c r="K1325" s="203"/>
      <c r="L1325" s="204"/>
      <c r="M1325" s="205"/>
      <c r="N1325" s="158"/>
      <c r="O1325" s="158"/>
      <c r="P1325" s="158"/>
      <c r="Q1325" s="158"/>
      <c r="R1325" s="158"/>
      <c r="S1325" s="158"/>
      <c r="T1325" s="158"/>
      <c r="U1325" s="158"/>
      <c r="V1325" s="158"/>
      <c r="W1325" s="158"/>
      <c r="X1325" s="158"/>
      <c r="Y1325" s="158"/>
      <c r="Z1325" s="158"/>
      <c r="AA1325" s="158"/>
    </row>
    <row r="1326" spans="1:27" ht="15.75" customHeight="1" x14ac:dyDescent="0.55000000000000004">
      <c r="A1326" s="201"/>
      <c r="B1326" s="201"/>
      <c r="C1326" s="201"/>
      <c r="D1326" s="201"/>
      <c r="E1326" s="202"/>
      <c r="F1326" s="202"/>
      <c r="G1326" s="202"/>
      <c r="H1326" s="202"/>
      <c r="I1326" s="202"/>
      <c r="J1326" s="203"/>
      <c r="K1326" s="203"/>
      <c r="L1326" s="204"/>
      <c r="M1326" s="205"/>
      <c r="N1326" s="158"/>
      <c r="O1326" s="158"/>
      <c r="P1326" s="158"/>
      <c r="Q1326" s="158"/>
      <c r="R1326" s="158"/>
      <c r="S1326" s="158"/>
      <c r="T1326" s="158"/>
      <c r="U1326" s="158"/>
      <c r="V1326" s="158"/>
      <c r="W1326" s="158"/>
      <c r="X1326" s="158"/>
      <c r="Y1326" s="158"/>
      <c r="Z1326" s="158"/>
      <c r="AA1326" s="158"/>
    </row>
    <row r="1327" spans="1:27" ht="15.75" customHeight="1" x14ac:dyDescent="0.55000000000000004">
      <c r="A1327" s="201"/>
      <c r="B1327" s="201"/>
      <c r="C1327" s="201"/>
      <c r="D1327" s="201"/>
      <c r="E1327" s="202"/>
      <c r="F1327" s="202"/>
      <c r="G1327" s="202"/>
      <c r="H1327" s="202"/>
      <c r="I1327" s="202"/>
      <c r="J1327" s="203"/>
      <c r="K1327" s="203"/>
      <c r="L1327" s="204"/>
      <c r="M1327" s="205"/>
      <c r="N1327" s="158"/>
      <c r="O1327" s="158"/>
      <c r="P1327" s="158"/>
      <c r="Q1327" s="158"/>
      <c r="R1327" s="158"/>
      <c r="S1327" s="158"/>
      <c r="T1327" s="158"/>
      <c r="U1327" s="158"/>
      <c r="V1327" s="158"/>
      <c r="W1327" s="158"/>
      <c r="X1327" s="158"/>
      <c r="Y1327" s="158"/>
      <c r="Z1327" s="158"/>
      <c r="AA1327" s="158"/>
    </row>
    <row r="1328" spans="1:27" ht="15.75" customHeight="1" x14ac:dyDescent="0.55000000000000004">
      <c r="A1328" s="201"/>
      <c r="B1328" s="201"/>
      <c r="C1328" s="201"/>
      <c r="D1328" s="201"/>
      <c r="E1328" s="202"/>
      <c r="F1328" s="202"/>
      <c r="G1328" s="202"/>
      <c r="H1328" s="202"/>
      <c r="I1328" s="202"/>
      <c r="J1328" s="203"/>
      <c r="K1328" s="203"/>
      <c r="L1328" s="204"/>
      <c r="M1328" s="205"/>
      <c r="N1328" s="158"/>
      <c r="O1328" s="158"/>
      <c r="P1328" s="158"/>
      <c r="Q1328" s="158"/>
      <c r="R1328" s="158"/>
      <c r="S1328" s="158"/>
      <c r="T1328" s="158"/>
      <c r="U1328" s="158"/>
      <c r="V1328" s="158"/>
      <c r="W1328" s="158"/>
      <c r="X1328" s="158"/>
      <c r="Y1328" s="158"/>
      <c r="Z1328" s="158"/>
      <c r="AA1328" s="158"/>
    </row>
    <row r="1329" spans="1:27" ht="15.75" customHeight="1" x14ac:dyDescent="0.55000000000000004">
      <c r="A1329" s="201"/>
      <c r="B1329" s="201"/>
      <c r="C1329" s="201"/>
      <c r="D1329" s="201"/>
      <c r="E1329" s="202"/>
      <c r="F1329" s="202"/>
      <c r="G1329" s="202"/>
      <c r="H1329" s="202"/>
      <c r="I1329" s="202"/>
      <c r="J1329" s="203"/>
      <c r="K1329" s="203"/>
      <c r="L1329" s="204"/>
      <c r="M1329" s="205"/>
      <c r="N1329" s="158"/>
      <c r="O1329" s="158"/>
      <c r="P1329" s="158"/>
      <c r="Q1329" s="158"/>
      <c r="R1329" s="158"/>
      <c r="S1329" s="158"/>
      <c r="T1329" s="158"/>
      <c r="U1329" s="158"/>
      <c r="V1329" s="158"/>
      <c r="W1329" s="158"/>
      <c r="X1329" s="158"/>
      <c r="Y1329" s="158"/>
      <c r="Z1329" s="158"/>
      <c r="AA1329" s="158"/>
    </row>
    <row r="1330" spans="1:27" ht="15.75" customHeight="1" x14ac:dyDescent="0.55000000000000004">
      <c r="A1330" s="201"/>
      <c r="B1330" s="201"/>
      <c r="C1330" s="201"/>
      <c r="D1330" s="201"/>
      <c r="E1330" s="202"/>
      <c r="F1330" s="202"/>
      <c r="G1330" s="202"/>
      <c r="H1330" s="202"/>
      <c r="I1330" s="202"/>
      <c r="J1330" s="203"/>
      <c r="K1330" s="203"/>
      <c r="L1330" s="204"/>
      <c r="M1330" s="205"/>
      <c r="N1330" s="158"/>
      <c r="O1330" s="158"/>
      <c r="P1330" s="158"/>
      <c r="Q1330" s="158"/>
      <c r="R1330" s="158"/>
      <c r="S1330" s="158"/>
      <c r="T1330" s="158"/>
      <c r="U1330" s="158"/>
      <c r="V1330" s="158"/>
      <c r="W1330" s="158"/>
      <c r="X1330" s="158"/>
      <c r="Y1330" s="158"/>
      <c r="Z1330" s="158"/>
      <c r="AA1330" s="158"/>
    </row>
    <row r="1331" spans="1:27" ht="15.75" customHeight="1" x14ac:dyDescent="0.55000000000000004">
      <c r="A1331" s="201"/>
      <c r="B1331" s="201"/>
      <c r="C1331" s="201"/>
      <c r="D1331" s="201"/>
      <c r="E1331" s="202"/>
      <c r="F1331" s="202"/>
      <c r="G1331" s="202"/>
      <c r="H1331" s="202"/>
      <c r="I1331" s="202"/>
      <c r="J1331" s="203"/>
      <c r="K1331" s="203"/>
      <c r="L1331" s="204"/>
      <c r="M1331" s="205"/>
      <c r="N1331" s="158"/>
      <c r="O1331" s="158"/>
      <c r="P1331" s="158"/>
      <c r="Q1331" s="158"/>
      <c r="R1331" s="158"/>
      <c r="S1331" s="158"/>
      <c r="T1331" s="158"/>
      <c r="U1331" s="158"/>
      <c r="V1331" s="158"/>
      <c r="W1331" s="158"/>
      <c r="X1331" s="158"/>
      <c r="Y1331" s="158"/>
      <c r="Z1331" s="158"/>
      <c r="AA1331" s="158"/>
    </row>
    <row r="1332" spans="1:27" ht="15.75" customHeight="1" x14ac:dyDescent="0.55000000000000004">
      <c r="A1332" s="201"/>
      <c r="B1332" s="201"/>
      <c r="C1332" s="201"/>
      <c r="D1332" s="201"/>
      <c r="E1332" s="202"/>
      <c r="F1332" s="202"/>
      <c r="G1332" s="202"/>
      <c r="H1332" s="202"/>
      <c r="I1332" s="202"/>
      <c r="J1332" s="203"/>
      <c r="K1332" s="203"/>
      <c r="L1332" s="204"/>
      <c r="M1332" s="205"/>
      <c r="N1332" s="158"/>
      <c r="O1332" s="158"/>
      <c r="P1332" s="158"/>
      <c r="Q1332" s="158"/>
      <c r="R1332" s="158"/>
      <c r="S1332" s="158"/>
      <c r="T1332" s="158"/>
      <c r="U1332" s="158"/>
      <c r="V1332" s="158"/>
      <c r="W1332" s="158"/>
      <c r="X1332" s="158"/>
      <c r="Y1332" s="158"/>
      <c r="Z1332" s="158"/>
      <c r="AA1332" s="158"/>
    </row>
    <row r="1333" spans="1:27" ht="15.75" customHeight="1" x14ac:dyDescent="0.55000000000000004">
      <c r="A1333" s="201"/>
      <c r="B1333" s="201"/>
      <c r="C1333" s="201"/>
      <c r="D1333" s="201"/>
      <c r="E1333" s="202"/>
      <c r="F1333" s="202"/>
      <c r="G1333" s="202"/>
      <c r="H1333" s="202"/>
      <c r="I1333" s="202"/>
      <c r="J1333" s="203"/>
      <c r="K1333" s="203"/>
      <c r="L1333" s="204"/>
      <c r="M1333" s="205"/>
      <c r="N1333" s="158"/>
      <c r="O1333" s="158"/>
      <c r="P1333" s="158"/>
      <c r="Q1333" s="158"/>
      <c r="R1333" s="158"/>
      <c r="S1333" s="158"/>
      <c r="T1333" s="158"/>
      <c r="U1333" s="158"/>
      <c r="V1333" s="158"/>
      <c r="W1333" s="158"/>
      <c r="X1333" s="158"/>
      <c r="Y1333" s="158"/>
      <c r="Z1333" s="158"/>
      <c r="AA1333" s="158"/>
    </row>
    <row r="1334" spans="1:27" ht="15.75" customHeight="1" x14ac:dyDescent="0.55000000000000004">
      <c r="A1334" s="201"/>
      <c r="B1334" s="201"/>
      <c r="C1334" s="201"/>
      <c r="D1334" s="201"/>
      <c r="E1334" s="202"/>
      <c r="F1334" s="202"/>
      <c r="G1334" s="202"/>
      <c r="H1334" s="202"/>
      <c r="I1334" s="202"/>
      <c r="J1334" s="203"/>
      <c r="K1334" s="203"/>
      <c r="L1334" s="204"/>
      <c r="M1334" s="205"/>
      <c r="N1334" s="158"/>
      <c r="O1334" s="158"/>
      <c r="P1334" s="158"/>
      <c r="Q1334" s="158"/>
      <c r="R1334" s="158"/>
      <c r="S1334" s="158"/>
      <c r="T1334" s="158"/>
      <c r="U1334" s="158"/>
      <c r="V1334" s="158"/>
      <c r="W1334" s="158"/>
      <c r="X1334" s="158"/>
      <c r="Y1334" s="158"/>
      <c r="Z1334" s="158"/>
      <c r="AA1334" s="158"/>
    </row>
    <row r="1335" spans="1:27" ht="15.75" customHeight="1" x14ac:dyDescent="0.55000000000000004">
      <c r="A1335" s="201"/>
      <c r="B1335" s="201"/>
      <c r="C1335" s="201"/>
      <c r="D1335" s="201"/>
      <c r="E1335" s="202"/>
      <c r="F1335" s="202"/>
      <c r="G1335" s="202"/>
      <c r="H1335" s="202"/>
      <c r="I1335" s="202"/>
      <c r="J1335" s="203"/>
      <c r="K1335" s="203"/>
      <c r="L1335" s="204"/>
      <c r="M1335" s="205"/>
      <c r="N1335" s="158"/>
      <c r="O1335" s="158"/>
      <c r="P1335" s="158"/>
      <c r="Q1335" s="158"/>
      <c r="R1335" s="158"/>
      <c r="S1335" s="158"/>
      <c r="T1335" s="158"/>
      <c r="U1335" s="158"/>
      <c r="V1335" s="158"/>
      <c r="W1335" s="158"/>
      <c r="X1335" s="158"/>
      <c r="Y1335" s="158"/>
      <c r="Z1335" s="158"/>
      <c r="AA1335" s="158"/>
    </row>
    <row r="1336" spans="1:27" ht="15.75" customHeight="1" x14ac:dyDescent="0.55000000000000004">
      <c r="A1336" s="201"/>
      <c r="B1336" s="201"/>
      <c r="C1336" s="201"/>
      <c r="D1336" s="201"/>
      <c r="E1336" s="202"/>
      <c r="F1336" s="202"/>
      <c r="G1336" s="202"/>
      <c r="H1336" s="202"/>
      <c r="I1336" s="202"/>
      <c r="J1336" s="203"/>
      <c r="K1336" s="203"/>
      <c r="L1336" s="204"/>
      <c r="M1336" s="205"/>
      <c r="N1336" s="158"/>
      <c r="O1336" s="158"/>
      <c r="P1336" s="158"/>
      <c r="Q1336" s="158"/>
      <c r="R1336" s="158"/>
      <c r="S1336" s="158"/>
      <c r="T1336" s="158"/>
      <c r="U1336" s="158"/>
      <c r="V1336" s="158"/>
      <c r="W1336" s="158"/>
      <c r="X1336" s="158"/>
      <c r="Y1336" s="158"/>
      <c r="Z1336" s="158"/>
      <c r="AA1336" s="158"/>
    </row>
    <row r="1337" spans="1:27" ht="15.75" customHeight="1" x14ac:dyDescent="0.55000000000000004">
      <c r="A1337" s="201"/>
      <c r="B1337" s="201"/>
      <c r="C1337" s="201"/>
      <c r="D1337" s="201"/>
      <c r="E1337" s="202"/>
      <c r="F1337" s="202"/>
      <c r="G1337" s="202"/>
      <c r="H1337" s="202"/>
      <c r="I1337" s="202"/>
      <c r="J1337" s="203"/>
      <c r="K1337" s="203"/>
      <c r="L1337" s="204"/>
      <c r="M1337" s="205"/>
      <c r="N1337" s="158"/>
      <c r="O1337" s="158"/>
      <c r="P1337" s="158"/>
      <c r="Q1337" s="158"/>
      <c r="R1337" s="158"/>
      <c r="S1337" s="158"/>
      <c r="T1337" s="158"/>
      <c r="U1337" s="158"/>
      <c r="V1337" s="158"/>
      <c r="W1337" s="158"/>
      <c r="X1337" s="158"/>
      <c r="Y1337" s="158"/>
      <c r="Z1337" s="158"/>
      <c r="AA1337" s="158"/>
    </row>
    <row r="1338" spans="1:27" ht="15.75" customHeight="1" x14ac:dyDescent="0.55000000000000004">
      <c r="A1338" s="201"/>
      <c r="B1338" s="201"/>
      <c r="C1338" s="201"/>
      <c r="D1338" s="201"/>
      <c r="E1338" s="202"/>
      <c r="F1338" s="202"/>
      <c r="G1338" s="202"/>
      <c r="H1338" s="202"/>
      <c r="I1338" s="202"/>
      <c r="J1338" s="203"/>
      <c r="K1338" s="203"/>
      <c r="L1338" s="204"/>
      <c r="M1338" s="205"/>
      <c r="N1338" s="158"/>
      <c r="O1338" s="158"/>
      <c r="P1338" s="158"/>
      <c r="Q1338" s="158"/>
      <c r="R1338" s="158"/>
      <c r="S1338" s="158"/>
      <c r="T1338" s="158"/>
      <c r="U1338" s="158"/>
      <c r="V1338" s="158"/>
      <c r="W1338" s="158"/>
      <c r="X1338" s="158"/>
      <c r="Y1338" s="158"/>
      <c r="Z1338" s="158"/>
      <c r="AA1338" s="158"/>
    </row>
    <row r="1339" spans="1:27" ht="15.75" customHeight="1" x14ac:dyDescent="0.55000000000000004">
      <c r="A1339" s="201"/>
      <c r="B1339" s="201"/>
      <c r="C1339" s="201"/>
      <c r="D1339" s="201"/>
      <c r="E1339" s="202"/>
      <c r="F1339" s="202"/>
      <c r="G1339" s="202"/>
      <c r="H1339" s="202"/>
      <c r="I1339" s="202"/>
      <c r="J1339" s="203"/>
      <c r="K1339" s="203"/>
      <c r="L1339" s="204"/>
      <c r="M1339" s="205"/>
      <c r="N1339" s="158"/>
      <c r="O1339" s="158"/>
      <c r="P1339" s="158"/>
      <c r="Q1339" s="158"/>
      <c r="R1339" s="158"/>
      <c r="S1339" s="158"/>
      <c r="T1339" s="158"/>
      <c r="U1339" s="158"/>
      <c r="V1339" s="158"/>
      <c r="W1339" s="158"/>
      <c r="X1339" s="158"/>
      <c r="Y1339" s="158"/>
      <c r="Z1339" s="158"/>
      <c r="AA1339" s="158"/>
    </row>
    <row r="1340" spans="1:27" ht="15.75" customHeight="1" x14ac:dyDescent="0.55000000000000004">
      <c r="A1340" s="201"/>
      <c r="B1340" s="201"/>
      <c r="C1340" s="201"/>
      <c r="D1340" s="201"/>
      <c r="E1340" s="202"/>
      <c r="F1340" s="202"/>
      <c r="G1340" s="202"/>
      <c r="H1340" s="202"/>
      <c r="I1340" s="202"/>
      <c r="J1340" s="203"/>
      <c r="K1340" s="203"/>
      <c r="L1340" s="204"/>
      <c r="M1340" s="205"/>
      <c r="N1340" s="158"/>
      <c r="O1340" s="158"/>
      <c r="P1340" s="158"/>
      <c r="Q1340" s="158"/>
      <c r="R1340" s="158"/>
      <c r="S1340" s="158"/>
      <c r="T1340" s="158"/>
      <c r="U1340" s="158"/>
      <c r="V1340" s="158"/>
      <c r="W1340" s="158"/>
      <c r="X1340" s="158"/>
      <c r="Y1340" s="158"/>
      <c r="Z1340" s="158"/>
      <c r="AA1340" s="158"/>
    </row>
    <row r="1341" spans="1:27" ht="15.75" customHeight="1" x14ac:dyDescent="0.55000000000000004">
      <c r="A1341" s="201"/>
      <c r="B1341" s="201"/>
      <c r="C1341" s="201"/>
      <c r="D1341" s="201"/>
      <c r="E1341" s="202"/>
      <c r="F1341" s="202"/>
      <c r="G1341" s="202"/>
      <c r="H1341" s="202"/>
      <c r="I1341" s="202"/>
      <c r="J1341" s="203"/>
      <c r="K1341" s="203"/>
      <c r="L1341" s="204"/>
      <c r="M1341" s="205"/>
      <c r="N1341" s="158"/>
      <c r="O1341" s="158"/>
      <c r="P1341" s="158"/>
      <c r="Q1341" s="158"/>
      <c r="R1341" s="158"/>
      <c r="S1341" s="158"/>
      <c r="T1341" s="158"/>
      <c r="U1341" s="158"/>
      <c r="V1341" s="158"/>
      <c r="W1341" s="158"/>
      <c r="X1341" s="158"/>
      <c r="Y1341" s="158"/>
      <c r="Z1341" s="158"/>
      <c r="AA1341" s="158"/>
    </row>
    <row r="1342" spans="1:27" ht="15.75" customHeight="1" x14ac:dyDescent="0.55000000000000004">
      <c r="A1342" s="201"/>
      <c r="B1342" s="201"/>
      <c r="C1342" s="201"/>
      <c r="D1342" s="201"/>
      <c r="E1342" s="202"/>
      <c r="F1342" s="202"/>
      <c r="G1342" s="202"/>
      <c r="H1342" s="202"/>
      <c r="I1342" s="202"/>
      <c r="J1342" s="203"/>
      <c r="K1342" s="203"/>
      <c r="L1342" s="204"/>
      <c r="M1342" s="205"/>
      <c r="N1342" s="158"/>
      <c r="O1342" s="158"/>
      <c r="P1342" s="158"/>
      <c r="Q1342" s="158"/>
      <c r="R1342" s="158"/>
      <c r="S1342" s="158"/>
      <c r="T1342" s="158"/>
      <c r="U1342" s="158"/>
      <c r="V1342" s="158"/>
      <c r="W1342" s="158"/>
      <c r="X1342" s="158"/>
      <c r="Y1342" s="158"/>
      <c r="Z1342" s="158"/>
      <c r="AA1342" s="158"/>
    </row>
    <row r="1343" spans="1:27" ht="15.75" customHeight="1" x14ac:dyDescent="0.55000000000000004">
      <c r="A1343" s="201"/>
      <c r="B1343" s="201"/>
      <c r="C1343" s="201"/>
      <c r="D1343" s="201"/>
      <c r="E1343" s="202"/>
      <c r="F1343" s="202"/>
      <c r="G1343" s="202"/>
      <c r="H1343" s="202"/>
      <c r="I1343" s="202"/>
      <c r="J1343" s="203"/>
      <c r="K1343" s="203"/>
      <c r="L1343" s="204"/>
      <c r="M1343" s="205"/>
      <c r="N1343" s="158"/>
      <c r="O1343" s="158"/>
      <c r="P1343" s="158"/>
      <c r="Q1343" s="158"/>
      <c r="R1343" s="158"/>
      <c r="S1343" s="158"/>
      <c r="T1343" s="158"/>
      <c r="U1343" s="158"/>
      <c r="V1343" s="158"/>
      <c r="W1343" s="158"/>
      <c r="X1343" s="158"/>
      <c r="Y1343" s="158"/>
      <c r="Z1343" s="158"/>
      <c r="AA1343" s="158"/>
    </row>
    <row r="1344" spans="1:27" ht="15.75" customHeight="1" x14ac:dyDescent="0.55000000000000004">
      <c r="A1344" s="201"/>
      <c r="B1344" s="201"/>
      <c r="C1344" s="201"/>
      <c r="D1344" s="201"/>
      <c r="E1344" s="202"/>
      <c r="F1344" s="202"/>
      <c r="G1344" s="202"/>
      <c r="H1344" s="202"/>
      <c r="I1344" s="202"/>
      <c r="J1344" s="203"/>
      <c r="K1344" s="203"/>
      <c r="L1344" s="204"/>
      <c r="M1344" s="205"/>
      <c r="N1344" s="158"/>
      <c r="O1344" s="158"/>
      <c r="P1344" s="158"/>
      <c r="Q1344" s="158"/>
      <c r="R1344" s="158"/>
      <c r="S1344" s="158"/>
      <c r="T1344" s="158"/>
      <c r="U1344" s="158"/>
      <c r="V1344" s="158"/>
      <c r="W1344" s="158"/>
      <c r="X1344" s="158"/>
      <c r="Y1344" s="158"/>
      <c r="Z1344" s="158"/>
      <c r="AA1344" s="158"/>
    </row>
    <row r="1345" spans="1:27" ht="15.75" customHeight="1" x14ac:dyDescent="0.55000000000000004">
      <c r="A1345" s="201"/>
      <c r="B1345" s="201"/>
      <c r="C1345" s="201"/>
      <c r="D1345" s="201"/>
      <c r="E1345" s="202"/>
      <c r="F1345" s="202"/>
      <c r="G1345" s="202"/>
      <c r="H1345" s="202"/>
      <c r="I1345" s="202"/>
      <c r="J1345" s="203"/>
      <c r="K1345" s="203"/>
      <c r="L1345" s="204"/>
      <c r="M1345" s="205"/>
      <c r="N1345" s="158"/>
      <c r="O1345" s="158"/>
      <c r="P1345" s="158"/>
      <c r="Q1345" s="158"/>
      <c r="R1345" s="158"/>
      <c r="S1345" s="158"/>
      <c r="T1345" s="158"/>
      <c r="U1345" s="158"/>
      <c r="V1345" s="158"/>
      <c r="W1345" s="158"/>
      <c r="X1345" s="158"/>
      <c r="Y1345" s="158"/>
      <c r="Z1345" s="158"/>
      <c r="AA1345" s="158"/>
    </row>
    <row r="1346" spans="1:27" ht="15.75" customHeight="1" x14ac:dyDescent="0.55000000000000004">
      <c r="A1346" s="201"/>
      <c r="B1346" s="201"/>
      <c r="C1346" s="201"/>
      <c r="D1346" s="201"/>
      <c r="E1346" s="202"/>
      <c r="F1346" s="202"/>
      <c r="G1346" s="202"/>
      <c r="H1346" s="202"/>
      <c r="I1346" s="202"/>
      <c r="J1346" s="203"/>
      <c r="K1346" s="203"/>
      <c r="L1346" s="204"/>
      <c r="M1346" s="205"/>
      <c r="N1346" s="158"/>
      <c r="O1346" s="158"/>
      <c r="P1346" s="158"/>
      <c r="Q1346" s="158"/>
      <c r="R1346" s="158"/>
      <c r="S1346" s="158"/>
      <c r="T1346" s="158"/>
      <c r="U1346" s="158"/>
      <c r="V1346" s="158"/>
      <c r="W1346" s="158"/>
      <c r="X1346" s="158"/>
      <c r="Y1346" s="158"/>
      <c r="Z1346" s="158"/>
      <c r="AA1346" s="158"/>
    </row>
    <row r="1347" spans="1:27" ht="15.75" customHeight="1" x14ac:dyDescent="0.55000000000000004">
      <c r="A1347" s="201"/>
      <c r="B1347" s="201"/>
      <c r="C1347" s="201"/>
      <c r="D1347" s="201"/>
      <c r="E1347" s="202"/>
      <c r="F1347" s="202"/>
      <c r="G1347" s="202"/>
      <c r="H1347" s="202"/>
      <c r="I1347" s="202"/>
      <c r="J1347" s="203"/>
      <c r="K1347" s="203"/>
      <c r="L1347" s="204"/>
      <c r="M1347" s="205"/>
      <c r="N1347" s="158"/>
      <c r="O1347" s="158"/>
      <c r="P1347" s="158"/>
      <c r="Q1347" s="158"/>
      <c r="R1347" s="158"/>
      <c r="S1347" s="158"/>
      <c r="T1347" s="158"/>
      <c r="U1347" s="158"/>
      <c r="V1347" s="158"/>
      <c r="W1347" s="158"/>
      <c r="X1347" s="158"/>
      <c r="Y1347" s="158"/>
      <c r="Z1347" s="158"/>
      <c r="AA1347" s="158"/>
    </row>
    <row r="1348" spans="1:27" ht="15.75" customHeight="1" x14ac:dyDescent="0.55000000000000004">
      <c r="A1348" s="201"/>
      <c r="B1348" s="201"/>
      <c r="C1348" s="201"/>
      <c r="D1348" s="201"/>
      <c r="E1348" s="202"/>
      <c r="F1348" s="202"/>
      <c r="G1348" s="202"/>
      <c r="H1348" s="202"/>
      <c r="I1348" s="202"/>
      <c r="J1348" s="203"/>
      <c r="K1348" s="203"/>
      <c r="L1348" s="204"/>
      <c r="M1348" s="205"/>
      <c r="N1348" s="158"/>
      <c r="O1348" s="158"/>
      <c r="P1348" s="158"/>
      <c r="Q1348" s="158"/>
      <c r="R1348" s="158"/>
      <c r="S1348" s="158"/>
      <c r="T1348" s="158"/>
      <c r="U1348" s="158"/>
      <c r="V1348" s="158"/>
      <c r="W1348" s="158"/>
      <c r="X1348" s="158"/>
      <c r="Y1348" s="158"/>
      <c r="Z1348" s="158"/>
      <c r="AA1348" s="158"/>
    </row>
    <row r="1349" spans="1:27" ht="15.75" customHeight="1" x14ac:dyDescent="0.55000000000000004">
      <c r="A1349" s="201"/>
      <c r="B1349" s="201"/>
      <c r="C1349" s="201"/>
      <c r="D1349" s="201"/>
      <c r="E1349" s="202"/>
      <c r="F1349" s="202"/>
      <c r="G1349" s="202"/>
      <c r="H1349" s="202"/>
      <c r="I1349" s="202"/>
      <c r="J1349" s="203"/>
      <c r="K1349" s="203"/>
      <c r="L1349" s="204"/>
      <c r="M1349" s="205"/>
      <c r="N1349" s="158"/>
      <c r="O1349" s="158"/>
      <c r="P1349" s="158"/>
      <c r="Q1349" s="158"/>
      <c r="R1349" s="158"/>
      <c r="S1349" s="158"/>
      <c r="T1349" s="158"/>
      <c r="U1349" s="158"/>
      <c r="V1349" s="158"/>
      <c r="W1349" s="158"/>
      <c r="X1349" s="158"/>
      <c r="Y1349" s="158"/>
      <c r="Z1349" s="158"/>
      <c r="AA1349" s="158"/>
    </row>
    <row r="1350" spans="1:27" ht="15.75" customHeight="1" x14ac:dyDescent="0.55000000000000004">
      <c r="A1350" s="201"/>
      <c r="B1350" s="201"/>
      <c r="C1350" s="201"/>
      <c r="D1350" s="201"/>
      <c r="E1350" s="202"/>
      <c r="F1350" s="202"/>
      <c r="G1350" s="202"/>
      <c r="H1350" s="202"/>
      <c r="I1350" s="202"/>
      <c r="J1350" s="203"/>
      <c r="K1350" s="203"/>
      <c r="L1350" s="204"/>
      <c r="M1350" s="205"/>
      <c r="N1350" s="158"/>
      <c r="O1350" s="158"/>
      <c r="P1350" s="158"/>
      <c r="Q1350" s="158"/>
      <c r="R1350" s="158"/>
      <c r="S1350" s="158"/>
      <c r="T1350" s="158"/>
      <c r="U1350" s="158"/>
      <c r="V1350" s="158"/>
      <c r="W1350" s="158"/>
      <c r="X1350" s="158"/>
      <c r="Y1350" s="158"/>
      <c r="Z1350" s="158"/>
      <c r="AA1350" s="158"/>
    </row>
    <row r="1351" spans="1:27" ht="15.75" customHeight="1" x14ac:dyDescent="0.55000000000000004">
      <c r="A1351" s="201"/>
      <c r="B1351" s="201"/>
      <c r="C1351" s="201"/>
      <c r="D1351" s="201"/>
      <c r="E1351" s="202"/>
      <c r="F1351" s="202"/>
      <c r="G1351" s="202"/>
      <c r="H1351" s="202"/>
      <c r="I1351" s="202"/>
      <c r="J1351" s="203"/>
      <c r="K1351" s="203"/>
      <c r="L1351" s="204"/>
      <c r="M1351" s="205"/>
      <c r="N1351" s="158"/>
      <c r="O1351" s="158"/>
      <c r="P1351" s="158"/>
      <c r="Q1351" s="158"/>
      <c r="R1351" s="158"/>
      <c r="S1351" s="158"/>
      <c r="T1351" s="158"/>
      <c r="U1351" s="158"/>
      <c r="V1351" s="158"/>
      <c r="W1351" s="158"/>
      <c r="X1351" s="158"/>
      <c r="Y1351" s="158"/>
      <c r="Z1351" s="158"/>
      <c r="AA1351" s="158"/>
    </row>
    <row r="1352" spans="1:27" ht="15.75" customHeight="1" x14ac:dyDescent="0.55000000000000004">
      <c r="A1352" s="201"/>
      <c r="B1352" s="201"/>
      <c r="C1352" s="201"/>
      <c r="D1352" s="201"/>
      <c r="E1352" s="202"/>
      <c r="F1352" s="202"/>
      <c r="G1352" s="202"/>
      <c r="H1352" s="202"/>
      <c r="I1352" s="202"/>
      <c r="J1352" s="203"/>
      <c r="K1352" s="203"/>
      <c r="L1352" s="204"/>
      <c r="M1352" s="205"/>
      <c r="N1352" s="158"/>
      <c r="O1352" s="158"/>
      <c r="P1352" s="158"/>
      <c r="Q1352" s="158"/>
      <c r="R1352" s="158"/>
      <c r="S1352" s="158"/>
      <c r="T1352" s="158"/>
      <c r="U1352" s="158"/>
      <c r="V1352" s="158"/>
      <c r="W1352" s="158"/>
      <c r="X1352" s="158"/>
      <c r="Y1352" s="158"/>
      <c r="Z1352" s="158"/>
      <c r="AA1352" s="158"/>
    </row>
    <row r="1353" spans="1:27" ht="15.75" customHeight="1" x14ac:dyDescent="0.55000000000000004">
      <c r="A1353" s="201"/>
      <c r="B1353" s="201"/>
      <c r="C1353" s="201"/>
      <c r="D1353" s="201"/>
      <c r="E1353" s="202"/>
      <c r="F1353" s="202"/>
      <c r="G1353" s="202"/>
      <c r="H1353" s="202"/>
      <c r="I1353" s="202"/>
      <c r="J1353" s="203"/>
      <c r="K1353" s="203"/>
      <c r="L1353" s="204"/>
      <c r="M1353" s="205"/>
      <c r="N1353" s="158"/>
      <c r="O1353" s="158"/>
      <c r="P1353" s="158"/>
      <c r="Q1353" s="158"/>
      <c r="R1353" s="158"/>
      <c r="S1353" s="158"/>
      <c r="T1353" s="158"/>
      <c r="U1353" s="158"/>
      <c r="V1353" s="158"/>
      <c r="W1353" s="158"/>
      <c r="X1353" s="158"/>
      <c r="Y1353" s="158"/>
      <c r="Z1353" s="158"/>
      <c r="AA1353" s="158"/>
    </row>
    <row r="1354" spans="1:27" ht="15.75" customHeight="1" x14ac:dyDescent="0.55000000000000004">
      <c r="A1354" s="201"/>
      <c r="B1354" s="201"/>
      <c r="C1354" s="201"/>
      <c r="D1354" s="201"/>
      <c r="E1354" s="202"/>
      <c r="F1354" s="202"/>
      <c r="G1354" s="202"/>
      <c r="H1354" s="202"/>
      <c r="I1354" s="202"/>
      <c r="J1354" s="203"/>
      <c r="K1354" s="203"/>
      <c r="L1354" s="204"/>
      <c r="M1354" s="205"/>
      <c r="N1354" s="158"/>
      <c r="O1354" s="158"/>
      <c r="P1354" s="158"/>
      <c r="Q1354" s="158"/>
      <c r="R1354" s="158"/>
      <c r="S1354" s="158"/>
      <c r="T1354" s="158"/>
      <c r="U1354" s="158"/>
      <c r="V1354" s="158"/>
      <c r="W1354" s="158"/>
      <c r="X1354" s="158"/>
      <c r="Y1354" s="158"/>
      <c r="Z1354" s="158"/>
      <c r="AA1354" s="158"/>
    </row>
    <row r="1355" spans="1:27" ht="15.75" customHeight="1" x14ac:dyDescent="0.55000000000000004">
      <c r="A1355" s="201"/>
      <c r="B1355" s="201"/>
      <c r="C1355" s="201"/>
      <c r="D1355" s="201"/>
      <c r="E1355" s="202"/>
      <c r="F1355" s="202"/>
      <c r="G1355" s="202"/>
      <c r="H1355" s="202"/>
      <c r="I1355" s="202"/>
      <c r="J1355" s="203"/>
      <c r="K1355" s="203"/>
      <c r="L1355" s="204"/>
      <c r="M1355" s="205"/>
      <c r="N1355" s="158"/>
      <c r="O1355" s="158"/>
      <c r="P1355" s="158"/>
      <c r="Q1355" s="158"/>
      <c r="R1355" s="158"/>
      <c r="S1355" s="158"/>
      <c r="T1355" s="158"/>
      <c r="U1355" s="158"/>
      <c r="V1355" s="158"/>
      <c r="W1355" s="158"/>
      <c r="X1355" s="158"/>
      <c r="Y1355" s="158"/>
      <c r="Z1355" s="158"/>
      <c r="AA1355" s="158"/>
    </row>
    <row r="1356" spans="1:27" ht="15.75" customHeight="1" x14ac:dyDescent="0.55000000000000004">
      <c r="A1356" s="201"/>
      <c r="B1356" s="201"/>
      <c r="C1356" s="201"/>
      <c r="D1356" s="201"/>
      <c r="E1356" s="202"/>
      <c r="F1356" s="202"/>
      <c r="G1356" s="202"/>
      <c r="H1356" s="202"/>
      <c r="I1356" s="202"/>
      <c r="J1356" s="203"/>
      <c r="K1356" s="203"/>
      <c r="L1356" s="204"/>
      <c r="M1356" s="205"/>
      <c r="N1356" s="158"/>
      <c r="O1356" s="158"/>
      <c r="P1356" s="158"/>
      <c r="Q1356" s="158"/>
      <c r="R1356" s="158"/>
      <c r="S1356" s="158"/>
      <c r="T1356" s="158"/>
      <c r="U1356" s="158"/>
      <c r="V1356" s="158"/>
      <c r="W1356" s="158"/>
      <c r="X1356" s="158"/>
      <c r="Y1356" s="158"/>
      <c r="Z1356" s="158"/>
      <c r="AA1356" s="158"/>
    </row>
    <row r="1357" spans="1:27" ht="15.75" customHeight="1" x14ac:dyDescent="0.55000000000000004">
      <c r="A1357" s="201"/>
      <c r="B1357" s="201"/>
      <c r="C1357" s="201"/>
      <c r="D1357" s="201"/>
      <c r="E1357" s="202"/>
      <c r="F1357" s="202"/>
      <c r="G1357" s="202"/>
      <c r="H1357" s="202"/>
      <c r="I1357" s="202"/>
      <c r="J1357" s="203"/>
      <c r="K1357" s="203"/>
      <c r="L1357" s="204"/>
      <c r="M1357" s="205"/>
      <c r="N1357" s="158"/>
      <c r="O1357" s="158"/>
      <c r="P1357" s="158"/>
      <c r="Q1357" s="158"/>
      <c r="R1357" s="158"/>
      <c r="S1357" s="158"/>
      <c r="T1357" s="158"/>
      <c r="U1357" s="158"/>
      <c r="V1357" s="158"/>
      <c r="W1357" s="158"/>
      <c r="X1357" s="158"/>
      <c r="Y1357" s="158"/>
      <c r="Z1357" s="158"/>
      <c r="AA1357" s="158"/>
    </row>
    <row r="1358" spans="1:27" ht="15.75" customHeight="1" x14ac:dyDescent="0.55000000000000004">
      <c r="A1358" s="201"/>
      <c r="B1358" s="201"/>
      <c r="C1358" s="201"/>
      <c r="D1358" s="201"/>
      <c r="E1358" s="202"/>
      <c r="F1358" s="202"/>
      <c r="G1358" s="202"/>
      <c r="H1358" s="202"/>
      <c r="I1358" s="202"/>
      <c r="J1358" s="203"/>
      <c r="K1358" s="203"/>
      <c r="L1358" s="204"/>
      <c r="M1358" s="205"/>
      <c r="N1358" s="158"/>
      <c r="O1358" s="158"/>
      <c r="P1358" s="158"/>
      <c r="Q1358" s="158"/>
      <c r="R1358" s="158"/>
      <c r="S1358" s="158"/>
      <c r="T1358" s="158"/>
      <c r="U1358" s="158"/>
      <c r="V1358" s="158"/>
      <c r="W1358" s="158"/>
      <c r="X1358" s="158"/>
      <c r="Y1358" s="158"/>
      <c r="Z1358" s="158"/>
      <c r="AA1358" s="158"/>
    </row>
    <row r="1359" spans="1:27" ht="15.75" customHeight="1" x14ac:dyDescent="0.55000000000000004">
      <c r="A1359" s="201"/>
      <c r="B1359" s="201"/>
      <c r="C1359" s="201"/>
      <c r="D1359" s="201"/>
      <c r="E1359" s="202"/>
      <c r="F1359" s="202"/>
      <c r="G1359" s="202"/>
      <c r="H1359" s="202"/>
      <c r="I1359" s="202"/>
      <c r="J1359" s="203"/>
      <c r="K1359" s="203"/>
      <c r="L1359" s="204"/>
      <c r="M1359" s="205"/>
      <c r="N1359" s="158"/>
      <c r="O1359" s="158"/>
      <c r="P1359" s="158"/>
      <c r="Q1359" s="158"/>
      <c r="R1359" s="158"/>
      <c r="S1359" s="158"/>
      <c r="T1359" s="158"/>
      <c r="U1359" s="158"/>
      <c r="V1359" s="158"/>
      <c r="W1359" s="158"/>
      <c r="X1359" s="158"/>
      <c r="Y1359" s="158"/>
      <c r="Z1359" s="158"/>
      <c r="AA1359" s="158"/>
    </row>
    <row r="1360" spans="1:27" ht="15.75" customHeight="1" x14ac:dyDescent="0.55000000000000004">
      <c r="A1360" s="201"/>
      <c r="B1360" s="201"/>
      <c r="C1360" s="201"/>
      <c r="D1360" s="201"/>
      <c r="E1360" s="202"/>
      <c r="F1360" s="202"/>
      <c r="G1360" s="202"/>
      <c r="H1360" s="202"/>
      <c r="I1360" s="202"/>
      <c r="J1360" s="203"/>
      <c r="K1360" s="203"/>
      <c r="L1360" s="204"/>
      <c r="M1360" s="205"/>
      <c r="N1360" s="158"/>
      <c r="O1360" s="158"/>
      <c r="P1360" s="158"/>
      <c r="Q1360" s="158"/>
      <c r="R1360" s="158"/>
      <c r="S1360" s="158"/>
      <c r="T1360" s="158"/>
      <c r="U1360" s="158"/>
      <c r="V1360" s="158"/>
      <c r="W1360" s="158"/>
      <c r="X1360" s="158"/>
      <c r="Y1360" s="158"/>
      <c r="Z1360" s="158"/>
      <c r="AA1360" s="158"/>
    </row>
    <row r="1361" spans="1:27" ht="15.75" customHeight="1" x14ac:dyDescent="0.55000000000000004">
      <c r="A1361" s="201"/>
      <c r="B1361" s="201"/>
      <c r="C1361" s="201"/>
      <c r="D1361" s="201"/>
      <c r="E1361" s="202"/>
      <c r="F1361" s="202"/>
      <c r="G1361" s="202"/>
      <c r="H1361" s="202"/>
      <c r="I1361" s="202"/>
      <c r="J1361" s="203"/>
      <c r="K1361" s="203"/>
      <c r="L1361" s="204"/>
      <c r="M1361" s="205"/>
      <c r="N1361" s="158"/>
      <c r="O1361" s="158"/>
      <c r="P1361" s="158"/>
      <c r="Q1361" s="158"/>
      <c r="R1361" s="158"/>
      <c r="S1361" s="158"/>
      <c r="T1361" s="158"/>
      <c r="U1361" s="158"/>
      <c r="V1361" s="158"/>
      <c r="W1361" s="158"/>
      <c r="X1361" s="158"/>
      <c r="Y1361" s="158"/>
      <c r="Z1361" s="158"/>
      <c r="AA1361" s="158"/>
    </row>
    <row r="1362" spans="1:27" ht="15.75" customHeight="1" x14ac:dyDescent="0.55000000000000004">
      <c r="A1362" s="201"/>
      <c r="B1362" s="201"/>
      <c r="C1362" s="201"/>
      <c r="D1362" s="201"/>
      <c r="E1362" s="202"/>
      <c r="F1362" s="202"/>
      <c r="G1362" s="202"/>
      <c r="H1362" s="202"/>
      <c r="I1362" s="202"/>
      <c r="J1362" s="203"/>
      <c r="K1362" s="203"/>
      <c r="L1362" s="204"/>
      <c r="M1362" s="205"/>
      <c r="N1362" s="158"/>
      <c r="O1362" s="158"/>
      <c r="P1362" s="158"/>
      <c r="Q1362" s="158"/>
      <c r="R1362" s="158"/>
      <c r="S1362" s="158"/>
      <c r="T1362" s="158"/>
      <c r="U1362" s="158"/>
      <c r="V1362" s="158"/>
      <c r="W1362" s="158"/>
      <c r="X1362" s="158"/>
      <c r="Y1362" s="158"/>
      <c r="Z1362" s="158"/>
      <c r="AA1362" s="158"/>
    </row>
    <row r="1363" spans="1:27" ht="15.75" customHeight="1" x14ac:dyDescent="0.55000000000000004">
      <c r="A1363" s="201"/>
      <c r="B1363" s="201"/>
      <c r="C1363" s="201"/>
      <c r="D1363" s="201"/>
      <c r="E1363" s="202"/>
      <c r="F1363" s="202"/>
      <c r="G1363" s="202"/>
      <c r="H1363" s="202"/>
      <c r="I1363" s="202"/>
      <c r="J1363" s="203"/>
      <c r="K1363" s="203"/>
      <c r="L1363" s="204"/>
      <c r="M1363" s="205"/>
      <c r="N1363" s="158"/>
      <c r="O1363" s="158"/>
      <c r="P1363" s="158"/>
      <c r="Q1363" s="158"/>
      <c r="R1363" s="158"/>
      <c r="S1363" s="158"/>
      <c r="T1363" s="158"/>
      <c r="U1363" s="158"/>
      <c r="V1363" s="158"/>
      <c r="W1363" s="158"/>
      <c r="X1363" s="158"/>
      <c r="Y1363" s="158"/>
      <c r="Z1363" s="158"/>
      <c r="AA1363" s="158"/>
    </row>
    <row r="1364" spans="1:27" ht="15.75" customHeight="1" x14ac:dyDescent="0.55000000000000004">
      <c r="A1364" s="201"/>
      <c r="B1364" s="201"/>
      <c r="C1364" s="201"/>
      <c r="D1364" s="201"/>
      <c r="E1364" s="202"/>
      <c r="F1364" s="202"/>
      <c r="G1364" s="202"/>
      <c r="H1364" s="202"/>
      <c r="I1364" s="202"/>
      <c r="J1364" s="203"/>
      <c r="K1364" s="203"/>
      <c r="L1364" s="204"/>
      <c r="M1364" s="205"/>
      <c r="N1364" s="158"/>
      <c r="O1364" s="158"/>
      <c r="P1364" s="158"/>
      <c r="Q1364" s="158"/>
      <c r="R1364" s="158"/>
      <c r="S1364" s="158"/>
      <c r="T1364" s="158"/>
      <c r="U1364" s="158"/>
      <c r="V1364" s="158"/>
      <c r="W1364" s="158"/>
      <c r="X1364" s="158"/>
      <c r="Y1364" s="158"/>
      <c r="Z1364" s="158"/>
      <c r="AA1364" s="158"/>
    </row>
    <row r="1365" spans="1:27" ht="15.75" customHeight="1" x14ac:dyDescent="0.55000000000000004">
      <c r="A1365" s="201"/>
      <c r="B1365" s="201"/>
      <c r="C1365" s="201"/>
      <c r="D1365" s="201"/>
      <c r="E1365" s="202"/>
      <c r="F1365" s="202"/>
      <c r="G1365" s="202"/>
      <c r="H1365" s="202"/>
      <c r="I1365" s="202"/>
      <c r="J1365" s="203"/>
      <c r="K1365" s="203"/>
      <c r="L1365" s="204"/>
      <c r="M1365" s="205"/>
      <c r="N1365" s="158"/>
      <c r="O1365" s="158"/>
      <c r="P1365" s="158"/>
      <c r="Q1365" s="158"/>
      <c r="R1365" s="158"/>
      <c r="S1365" s="158"/>
      <c r="T1365" s="158"/>
      <c r="U1365" s="158"/>
      <c r="V1365" s="158"/>
      <c r="W1365" s="158"/>
      <c r="X1365" s="158"/>
      <c r="Y1365" s="158"/>
      <c r="Z1365" s="158"/>
      <c r="AA1365" s="158"/>
    </row>
    <row r="1366" spans="1:27" ht="15.75" customHeight="1" x14ac:dyDescent="0.55000000000000004">
      <c r="A1366" s="201"/>
      <c r="B1366" s="201"/>
      <c r="C1366" s="201"/>
      <c r="D1366" s="201"/>
      <c r="E1366" s="202"/>
      <c r="F1366" s="202"/>
      <c r="G1366" s="202"/>
      <c r="H1366" s="202"/>
      <c r="I1366" s="202"/>
      <c r="J1366" s="203"/>
      <c r="K1366" s="203"/>
      <c r="L1366" s="204"/>
      <c r="M1366" s="205"/>
      <c r="N1366" s="158"/>
      <c r="O1366" s="158"/>
      <c r="P1366" s="158"/>
      <c r="Q1366" s="158"/>
      <c r="R1366" s="158"/>
      <c r="S1366" s="158"/>
      <c r="T1366" s="158"/>
      <c r="U1366" s="158"/>
      <c r="V1366" s="158"/>
      <c r="W1366" s="158"/>
      <c r="X1366" s="158"/>
      <c r="Y1366" s="158"/>
      <c r="Z1366" s="158"/>
      <c r="AA1366" s="158"/>
    </row>
    <row r="1367" spans="1:27" ht="15.75" customHeight="1" x14ac:dyDescent="0.55000000000000004">
      <c r="A1367" s="201"/>
      <c r="B1367" s="201"/>
      <c r="C1367" s="201"/>
      <c r="D1367" s="201"/>
      <c r="E1367" s="202"/>
      <c r="F1367" s="202"/>
      <c r="G1367" s="202"/>
      <c r="H1367" s="202"/>
      <c r="I1367" s="202"/>
      <c r="J1367" s="203"/>
      <c r="K1367" s="203"/>
      <c r="L1367" s="204"/>
      <c r="M1367" s="205"/>
      <c r="N1367" s="158"/>
      <c r="O1367" s="158"/>
      <c r="P1367" s="158"/>
      <c r="Q1367" s="158"/>
      <c r="R1367" s="158"/>
      <c r="S1367" s="158"/>
      <c r="T1367" s="158"/>
      <c r="U1367" s="158"/>
      <c r="V1367" s="158"/>
      <c r="W1367" s="158"/>
      <c r="X1367" s="158"/>
      <c r="Y1367" s="158"/>
      <c r="Z1367" s="158"/>
      <c r="AA1367" s="158"/>
    </row>
    <row r="1368" spans="1:27" ht="15.75" customHeight="1" x14ac:dyDescent="0.55000000000000004">
      <c r="A1368" s="201"/>
      <c r="B1368" s="201"/>
      <c r="C1368" s="201"/>
      <c r="D1368" s="201"/>
      <c r="E1368" s="202"/>
      <c r="F1368" s="202"/>
      <c r="G1368" s="202"/>
      <c r="H1368" s="202"/>
      <c r="I1368" s="202"/>
      <c r="J1368" s="203"/>
      <c r="K1368" s="203"/>
      <c r="L1368" s="204"/>
      <c r="M1368" s="205"/>
      <c r="N1368" s="158"/>
      <c r="O1368" s="158"/>
      <c r="P1368" s="158"/>
      <c r="Q1368" s="158"/>
      <c r="R1368" s="158"/>
      <c r="S1368" s="158"/>
      <c r="T1368" s="158"/>
      <c r="U1368" s="158"/>
      <c r="V1368" s="158"/>
      <c r="W1368" s="158"/>
      <c r="X1368" s="158"/>
      <c r="Y1368" s="158"/>
      <c r="Z1368" s="158"/>
      <c r="AA1368" s="158"/>
    </row>
    <row r="1369" spans="1:27" ht="15.75" customHeight="1" x14ac:dyDescent="0.55000000000000004">
      <c r="A1369" s="201"/>
      <c r="B1369" s="201"/>
      <c r="C1369" s="201"/>
      <c r="D1369" s="201"/>
      <c r="E1369" s="202"/>
      <c r="F1369" s="202"/>
      <c r="G1369" s="202"/>
      <c r="H1369" s="202"/>
      <c r="I1369" s="202"/>
      <c r="J1369" s="203"/>
      <c r="K1369" s="203"/>
      <c r="L1369" s="204"/>
      <c r="M1369" s="205"/>
      <c r="N1369" s="158"/>
      <c r="O1369" s="158"/>
      <c r="P1369" s="158"/>
      <c r="Q1369" s="158"/>
      <c r="R1369" s="158"/>
      <c r="S1369" s="158"/>
      <c r="T1369" s="158"/>
      <c r="U1369" s="158"/>
      <c r="V1369" s="158"/>
      <c r="W1369" s="158"/>
      <c r="X1369" s="158"/>
      <c r="Y1369" s="158"/>
      <c r="Z1369" s="158"/>
      <c r="AA1369" s="158"/>
    </row>
    <row r="1370" spans="1:27" ht="15.75" customHeight="1" x14ac:dyDescent="0.55000000000000004">
      <c r="A1370" s="201"/>
      <c r="B1370" s="201"/>
      <c r="C1370" s="201"/>
      <c r="D1370" s="201"/>
      <c r="E1370" s="202"/>
      <c r="F1370" s="202"/>
      <c r="G1370" s="202"/>
      <c r="H1370" s="202"/>
      <c r="I1370" s="202"/>
      <c r="J1370" s="203"/>
      <c r="K1370" s="203"/>
      <c r="L1370" s="204"/>
      <c r="M1370" s="205"/>
      <c r="N1370" s="158"/>
      <c r="O1370" s="158"/>
      <c r="P1370" s="158"/>
      <c r="Q1370" s="158"/>
      <c r="R1370" s="158"/>
      <c r="S1370" s="158"/>
      <c r="T1370" s="158"/>
      <c r="U1370" s="158"/>
      <c r="V1370" s="158"/>
      <c r="W1370" s="158"/>
      <c r="X1370" s="158"/>
      <c r="Y1370" s="158"/>
      <c r="Z1370" s="158"/>
      <c r="AA1370" s="158"/>
    </row>
    <row r="1371" spans="1:27" ht="15.75" customHeight="1" x14ac:dyDescent="0.55000000000000004">
      <c r="A1371" s="201"/>
      <c r="B1371" s="201"/>
      <c r="C1371" s="201"/>
      <c r="D1371" s="201"/>
      <c r="E1371" s="202"/>
      <c r="F1371" s="202"/>
      <c r="G1371" s="202"/>
      <c r="H1371" s="202"/>
      <c r="I1371" s="202"/>
      <c r="J1371" s="203"/>
      <c r="K1371" s="203"/>
      <c r="L1371" s="204"/>
      <c r="M1371" s="205"/>
      <c r="N1371" s="158"/>
      <c r="O1371" s="158"/>
      <c r="P1371" s="158"/>
      <c r="Q1371" s="158"/>
      <c r="R1371" s="158"/>
      <c r="S1371" s="158"/>
      <c r="T1371" s="158"/>
      <c r="U1371" s="158"/>
      <c r="V1371" s="158"/>
      <c r="W1371" s="158"/>
      <c r="X1371" s="158"/>
      <c r="Y1371" s="158"/>
      <c r="Z1371" s="158"/>
      <c r="AA1371" s="158"/>
    </row>
    <row r="1372" spans="1:27" ht="15.75" customHeight="1" x14ac:dyDescent="0.55000000000000004">
      <c r="A1372" s="201"/>
      <c r="B1372" s="201"/>
      <c r="C1372" s="201"/>
      <c r="D1372" s="201"/>
      <c r="E1372" s="202"/>
      <c r="F1372" s="202"/>
      <c r="G1372" s="202"/>
      <c r="H1372" s="202"/>
      <c r="I1372" s="202"/>
      <c r="J1372" s="203"/>
      <c r="K1372" s="203"/>
      <c r="L1372" s="204"/>
      <c r="M1372" s="205"/>
      <c r="N1372" s="158"/>
      <c r="O1372" s="158"/>
      <c r="P1372" s="158"/>
      <c r="Q1372" s="158"/>
      <c r="R1372" s="158"/>
      <c r="S1372" s="158"/>
      <c r="T1372" s="158"/>
      <c r="U1372" s="158"/>
      <c r="V1372" s="158"/>
      <c r="W1372" s="158"/>
      <c r="X1372" s="158"/>
      <c r="Y1372" s="158"/>
      <c r="Z1372" s="158"/>
      <c r="AA1372" s="158"/>
    </row>
    <row r="1373" spans="1:27" ht="15.75" customHeight="1" x14ac:dyDescent="0.55000000000000004">
      <c r="A1373" s="201"/>
      <c r="B1373" s="201"/>
      <c r="C1373" s="201"/>
      <c r="D1373" s="201"/>
      <c r="E1373" s="202"/>
      <c r="F1373" s="202"/>
      <c r="G1373" s="202"/>
      <c r="H1373" s="202"/>
      <c r="I1373" s="202"/>
      <c r="J1373" s="203"/>
      <c r="K1373" s="203"/>
      <c r="L1373" s="204"/>
      <c r="M1373" s="205"/>
      <c r="N1373" s="158"/>
      <c r="O1373" s="158"/>
      <c r="P1373" s="158"/>
      <c r="Q1373" s="158"/>
      <c r="R1373" s="158"/>
      <c r="S1373" s="158"/>
      <c r="T1373" s="158"/>
      <c r="U1373" s="158"/>
      <c r="V1373" s="158"/>
      <c r="W1373" s="158"/>
      <c r="X1373" s="158"/>
      <c r="Y1373" s="158"/>
      <c r="Z1373" s="158"/>
      <c r="AA1373" s="158"/>
    </row>
    <row r="1374" spans="1:27" ht="15.75" customHeight="1" x14ac:dyDescent="0.55000000000000004">
      <c r="A1374" s="201"/>
      <c r="B1374" s="201"/>
      <c r="C1374" s="201"/>
      <c r="D1374" s="201"/>
      <c r="E1374" s="202"/>
      <c r="F1374" s="202"/>
      <c r="G1374" s="202"/>
      <c r="H1374" s="202"/>
      <c r="I1374" s="202"/>
      <c r="J1374" s="203"/>
      <c r="K1374" s="203"/>
      <c r="L1374" s="204"/>
      <c r="M1374" s="205"/>
      <c r="N1374" s="158"/>
      <c r="O1374" s="158"/>
      <c r="P1374" s="158"/>
      <c r="Q1374" s="158"/>
      <c r="R1374" s="158"/>
      <c r="S1374" s="158"/>
      <c r="T1374" s="158"/>
      <c r="U1374" s="158"/>
      <c r="V1374" s="158"/>
      <c r="W1374" s="158"/>
      <c r="X1374" s="158"/>
      <c r="Y1374" s="158"/>
      <c r="Z1374" s="158"/>
      <c r="AA1374" s="158"/>
    </row>
    <row r="1375" spans="1:27" ht="15.75" customHeight="1" x14ac:dyDescent="0.55000000000000004">
      <c r="A1375" s="201"/>
      <c r="B1375" s="201"/>
      <c r="C1375" s="201"/>
      <c r="D1375" s="201"/>
      <c r="E1375" s="202"/>
      <c r="F1375" s="202"/>
      <c r="G1375" s="202"/>
      <c r="H1375" s="202"/>
      <c r="I1375" s="202"/>
      <c r="J1375" s="203"/>
      <c r="K1375" s="203"/>
      <c r="L1375" s="204"/>
      <c r="M1375" s="205"/>
      <c r="N1375" s="158"/>
      <c r="O1375" s="158"/>
      <c r="P1375" s="158"/>
      <c r="Q1375" s="158"/>
      <c r="R1375" s="158"/>
      <c r="S1375" s="158"/>
      <c r="T1375" s="158"/>
      <c r="U1375" s="158"/>
      <c r="V1375" s="158"/>
      <c r="W1375" s="158"/>
      <c r="X1375" s="158"/>
      <c r="Y1375" s="158"/>
      <c r="Z1375" s="158"/>
      <c r="AA1375" s="158"/>
    </row>
    <row r="1376" spans="1:27" ht="15.75" customHeight="1" x14ac:dyDescent="0.55000000000000004">
      <c r="A1376" s="201"/>
      <c r="B1376" s="201"/>
      <c r="C1376" s="201"/>
      <c r="D1376" s="201"/>
      <c r="E1376" s="202"/>
      <c r="F1376" s="202"/>
      <c r="G1376" s="202"/>
      <c r="H1376" s="202"/>
      <c r="I1376" s="202"/>
      <c r="J1376" s="203"/>
      <c r="K1376" s="203"/>
      <c r="L1376" s="204"/>
      <c r="M1376" s="205"/>
      <c r="N1376" s="158"/>
      <c r="O1376" s="158"/>
      <c r="P1376" s="158"/>
      <c r="Q1376" s="158"/>
      <c r="R1376" s="158"/>
      <c r="S1376" s="158"/>
      <c r="T1376" s="158"/>
      <c r="U1376" s="158"/>
      <c r="V1376" s="158"/>
      <c r="W1376" s="158"/>
      <c r="X1376" s="158"/>
      <c r="Y1376" s="158"/>
      <c r="Z1376" s="158"/>
      <c r="AA1376" s="158"/>
    </row>
    <row r="1377" spans="1:27" ht="15.75" customHeight="1" x14ac:dyDescent="0.55000000000000004">
      <c r="A1377" s="201"/>
      <c r="B1377" s="201"/>
      <c r="C1377" s="201"/>
      <c r="D1377" s="201"/>
      <c r="E1377" s="202"/>
      <c r="F1377" s="202"/>
      <c r="G1377" s="202"/>
      <c r="H1377" s="202"/>
      <c r="I1377" s="202"/>
      <c r="J1377" s="203"/>
      <c r="K1377" s="203"/>
      <c r="L1377" s="204"/>
      <c r="M1377" s="205"/>
      <c r="N1377" s="158"/>
      <c r="O1377" s="158"/>
      <c r="P1377" s="158"/>
      <c r="Q1377" s="158"/>
      <c r="R1377" s="158"/>
      <c r="S1377" s="158"/>
      <c r="T1377" s="158"/>
      <c r="U1377" s="158"/>
      <c r="V1377" s="158"/>
      <c r="W1377" s="158"/>
      <c r="X1377" s="158"/>
      <c r="Y1377" s="158"/>
      <c r="Z1377" s="158"/>
      <c r="AA1377" s="158"/>
    </row>
    <row r="1378" spans="1:27" ht="15.75" customHeight="1" x14ac:dyDescent="0.55000000000000004">
      <c r="A1378" s="201"/>
      <c r="B1378" s="201"/>
      <c r="C1378" s="201"/>
      <c r="D1378" s="201"/>
      <c r="E1378" s="202"/>
      <c r="F1378" s="202"/>
      <c r="G1378" s="202"/>
      <c r="H1378" s="202"/>
      <c r="I1378" s="202"/>
      <c r="J1378" s="203"/>
      <c r="K1378" s="203"/>
      <c r="L1378" s="204"/>
      <c r="M1378" s="205"/>
      <c r="N1378" s="158"/>
      <c r="O1378" s="158"/>
      <c r="P1378" s="158"/>
      <c r="Q1378" s="158"/>
      <c r="R1378" s="158"/>
      <c r="S1378" s="158"/>
      <c r="T1378" s="158"/>
      <c r="U1378" s="158"/>
      <c r="V1378" s="158"/>
      <c r="W1378" s="158"/>
      <c r="X1378" s="158"/>
      <c r="Y1378" s="158"/>
      <c r="Z1378" s="158"/>
      <c r="AA1378" s="158"/>
    </row>
    <row r="1379" spans="1:27" ht="15.75" customHeight="1" x14ac:dyDescent="0.55000000000000004">
      <c r="A1379" s="201"/>
      <c r="B1379" s="201"/>
      <c r="C1379" s="201"/>
      <c r="D1379" s="201"/>
      <c r="E1379" s="202"/>
      <c r="F1379" s="202"/>
      <c r="G1379" s="202"/>
      <c r="H1379" s="202"/>
      <c r="I1379" s="202"/>
      <c r="J1379" s="203"/>
      <c r="K1379" s="203"/>
      <c r="L1379" s="204"/>
      <c r="M1379" s="205"/>
      <c r="N1379" s="158"/>
      <c r="O1379" s="158"/>
      <c r="P1379" s="158"/>
      <c r="Q1379" s="158"/>
      <c r="R1379" s="158"/>
      <c r="S1379" s="158"/>
      <c r="T1379" s="158"/>
      <c r="U1379" s="158"/>
      <c r="V1379" s="158"/>
      <c r="W1379" s="158"/>
      <c r="X1379" s="158"/>
      <c r="Y1379" s="158"/>
      <c r="Z1379" s="158"/>
      <c r="AA1379" s="158"/>
    </row>
    <row r="1380" spans="1:27" ht="15.75" customHeight="1" x14ac:dyDescent="0.55000000000000004">
      <c r="A1380" s="201"/>
      <c r="B1380" s="201"/>
      <c r="C1380" s="201"/>
      <c r="D1380" s="201"/>
      <c r="E1380" s="202"/>
      <c r="F1380" s="202"/>
      <c r="G1380" s="202"/>
      <c r="H1380" s="202"/>
      <c r="I1380" s="202"/>
      <c r="J1380" s="203"/>
      <c r="K1380" s="203"/>
      <c r="L1380" s="204"/>
      <c r="M1380" s="205"/>
      <c r="N1380" s="158"/>
      <c r="O1380" s="158"/>
      <c r="P1380" s="158"/>
      <c r="Q1380" s="158"/>
      <c r="R1380" s="158"/>
      <c r="S1380" s="158"/>
      <c r="T1380" s="158"/>
      <c r="U1380" s="158"/>
      <c r="V1380" s="158"/>
      <c r="W1380" s="158"/>
      <c r="X1380" s="158"/>
      <c r="Y1380" s="158"/>
      <c r="Z1380" s="158"/>
      <c r="AA1380" s="158"/>
    </row>
    <row r="1381" spans="1:27" ht="15.75" customHeight="1" x14ac:dyDescent="0.55000000000000004">
      <c r="A1381" s="201"/>
      <c r="B1381" s="201"/>
      <c r="C1381" s="201"/>
      <c r="D1381" s="201"/>
      <c r="E1381" s="202"/>
      <c r="F1381" s="202"/>
      <c r="G1381" s="202"/>
      <c r="H1381" s="202"/>
      <c r="I1381" s="202"/>
      <c r="J1381" s="203"/>
      <c r="K1381" s="203"/>
      <c r="L1381" s="204"/>
      <c r="M1381" s="205"/>
      <c r="N1381" s="158"/>
      <c r="O1381" s="158"/>
      <c r="P1381" s="158"/>
      <c r="Q1381" s="158"/>
      <c r="R1381" s="158"/>
      <c r="S1381" s="158"/>
      <c r="T1381" s="158"/>
      <c r="U1381" s="158"/>
      <c r="V1381" s="158"/>
      <c r="W1381" s="158"/>
      <c r="X1381" s="158"/>
      <c r="Y1381" s="158"/>
      <c r="Z1381" s="158"/>
      <c r="AA1381" s="158"/>
    </row>
    <row r="1382" spans="1:27" ht="15.75" customHeight="1" x14ac:dyDescent="0.55000000000000004">
      <c r="A1382" s="201"/>
      <c r="B1382" s="201"/>
      <c r="C1382" s="201"/>
      <c r="D1382" s="201"/>
      <c r="E1382" s="202"/>
      <c r="F1382" s="202"/>
      <c r="G1382" s="202"/>
      <c r="H1382" s="202"/>
      <c r="I1382" s="202"/>
      <c r="J1382" s="203"/>
      <c r="K1382" s="203"/>
      <c r="L1382" s="204"/>
      <c r="M1382" s="205"/>
      <c r="N1382" s="158"/>
      <c r="O1382" s="158"/>
      <c r="P1382" s="158"/>
      <c r="Q1382" s="158"/>
      <c r="R1382" s="158"/>
      <c r="S1382" s="158"/>
      <c r="T1382" s="158"/>
      <c r="U1382" s="158"/>
      <c r="V1382" s="158"/>
      <c r="W1382" s="158"/>
      <c r="X1382" s="158"/>
      <c r="Y1382" s="158"/>
      <c r="Z1382" s="158"/>
      <c r="AA1382" s="158"/>
    </row>
    <row r="1383" spans="1:27" ht="15.75" customHeight="1" x14ac:dyDescent="0.55000000000000004">
      <c r="A1383" s="201"/>
      <c r="B1383" s="201"/>
      <c r="C1383" s="201"/>
      <c r="D1383" s="201"/>
      <c r="E1383" s="202"/>
      <c r="F1383" s="202"/>
      <c r="G1383" s="202"/>
      <c r="H1383" s="202"/>
      <c r="I1383" s="202"/>
      <c r="J1383" s="203"/>
      <c r="K1383" s="203"/>
      <c r="L1383" s="204"/>
      <c r="M1383" s="205"/>
      <c r="N1383" s="158"/>
      <c r="O1383" s="158"/>
      <c r="P1383" s="158"/>
      <c r="Q1383" s="158"/>
      <c r="R1383" s="158"/>
      <c r="S1383" s="158"/>
      <c r="T1383" s="158"/>
      <c r="U1383" s="158"/>
      <c r="V1383" s="158"/>
      <c r="W1383" s="158"/>
      <c r="X1383" s="158"/>
      <c r="Y1383" s="158"/>
      <c r="Z1383" s="158"/>
      <c r="AA1383" s="158"/>
    </row>
    <row r="1384" spans="1:27" ht="15.75" customHeight="1" x14ac:dyDescent="0.55000000000000004">
      <c r="A1384" s="201"/>
      <c r="B1384" s="201"/>
      <c r="C1384" s="201"/>
      <c r="D1384" s="201"/>
      <c r="E1384" s="202"/>
      <c r="F1384" s="202"/>
      <c r="G1384" s="202"/>
      <c r="H1384" s="202"/>
      <c r="I1384" s="202"/>
      <c r="J1384" s="203"/>
      <c r="K1384" s="203"/>
      <c r="L1384" s="204"/>
      <c r="M1384" s="205"/>
      <c r="N1384" s="158"/>
      <c r="O1384" s="158"/>
      <c r="P1384" s="158"/>
      <c r="Q1384" s="158"/>
      <c r="R1384" s="158"/>
      <c r="S1384" s="158"/>
      <c r="T1384" s="158"/>
      <c r="U1384" s="158"/>
      <c r="V1384" s="158"/>
      <c r="W1384" s="158"/>
      <c r="X1384" s="158"/>
      <c r="Y1384" s="158"/>
      <c r="Z1384" s="158"/>
      <c r="AA1384" s="158"/>
    </row>
    <row r="1385" spans="1:27" ht="15.75" customHeight="1" x14ac:dyDescent="0.55000000000000004">
      <c r="A1385" s="201"/>
      <c r="B1385" s="201"/>
      <c r="C1385" s="201"/>
      <c r="D1385" s="201"/>
      <c r="E1385" s="202"/>
      <c r="F1385" s="202"/>
      <c r="G1385" s="202"/>
      <c r="H1385" s="202"/>
      <c r="I1385" s="202"/>
      <c r="J1385" s="203"/>
      <c r="K1385" s="203"/>
      <c r="L1385" s="204"/>
      <c r="M1385" s="205"/>
      <c r="N1385" s="158"/>
      <c r="O1385" s="158"/>
      <c r="P1385" s="158"/>
      <c r="Q1385" s="158"/>
      <c r="R1385" s="158"/>
      <c r="S1385" s="158"/>
      <c r="T1385" s="158"/>
      <c r="U1385" s="158"/>
      <c r="V1385" s="158"/>
      <c r="W1385" s="158"/>
      <c r="X1385" s="158"/>
      <c r="Y1385" s="158"/>
      <c r="Z1385" s="158"/>
      <c r="AA1385" s="158"/>
    </row>
    <row r="1386" spans="1:27" ht="15.75" customHeight="1" x14ac:dyDescent="0.55000000000000004">
      <c r="A1386" s="201"/>
      <c r="B1386" s="201"/>
      <c r="C1386" s="201"/>
      <c r="D1386" s="201"/>
      <c r="E1386" s="202"/>
      <c r="F1386" s="202"/>
      <c r="G1386" s="202"/>
      <c r="H1386" s="202"/>
      <c r="I1386" s="202"/>
      <c r="J1386" s="203"/>
      <c r="K1386" s="203"/>
      <c r="L1386" s="204"/>
      <c r="M1386" s="205"/>
      <c r="N1386" s="158"/>
      <c r="O1386" s="158"/>
      <c r="P1386" s="158"/>
      <c r="Q1386" s="158"/>
      <c r="R1386" s="158"/>
      <c r="S1386" s="158"/>
      <c r="T1386" s="158"/>
      <c r="U1386" s="158"/>
      <c r="V1386" s="158"/>
      <c r="W1386" s="158"/>
      <c r="X1386" s="158"/>
      <c r="Y1386" s="158"/>
      <c r="Z1386" s="158"/>
      <c r="AA1386" s="158"/>
    </row>
    <row r="1387" spans="1:27" ht="15.75" customHeight="1" x14ac:dyDescent="0.55000000000000004">
      <c r="A1387" s="201"/>
      <c r="B1387" s="201"/>
      <c r="C1387" s="201"/>
      <c r="D1387" s="201"/>
      <c r="E1387" s="202"/>
      <c r="F1387" s="202"/>
      <c r="G1387" s="202"/>
      <c r="H1387" s="202"/>
      <c r="I1387" s="202"/>
      <c r="J1387" s="203"/>
      <c r="K1387" s="203"/>
      <c r="L1387" s="204"/>
      <c r="M1387" s="205"/>
      <c r="N1387" s="158"/>
      <c r="O1387" s="158"/>
      <c r="P1387" s="158"/>
      <c r="Q1387" s="158"/>
      <c r="R1387" s="158"/>
      <c r="S1387" s="158"/>
      <c r="T1387" s="158"/>
      <c r="U1387" s="158"/>
      <c r="V1387" s="158"/>
      <c r="W1387" s="158"/>
      <c r="X1387" s="158"/>
      <c r="Y1387" s="158"/>
      <c r="Z1387" s="158"/>
      <c r="AA1387" s="158"/>
    </row>
    <row r="1388" spans="1:27" ht="15.75" customHeight="1" x14ac:dyDescent="0.55000000000000004">
      <c r="A1388" s="201"/>
      <c r="B1388" s="201"/>
      <c r="C1388" s="201"/>
      <c r="D1388" s="201"/>
      <c r="E1388" s="202"/>
      <c r="F1388" s="202"/>
      <c r="G1388" s="202"/>
      <c r="H1388" s="202"/>
      <c r="I1388" s="202"/>
      <c r="J1388" s="203"/>
      <c r="K1388" s="203"/>
      <c r="L1388" s="204"/>
      <c r="M1388" s="205"/>
      <c r="N1388" s="158"/>
      <c r="O1388" s="158"/>
      <c r="P1388" s="158"/>
      <c r="Q1388" s="158"/>
      <c r="R1388" s="158"/>
      <c r="S1388" s="158"/>
      <c r="T1388" s="158"/>
      <c r="U1388" s="158"/>
      <c r="V1388" s="158"/>
      <c r="W1388" s="158"/>
      <c r="X1388" s="158"/>
      <c r="Y1388" s="158"/>
      <c r="Z1388" s="158"/>
      <c r="AA1388" s="158"/>
    </row>
    <row r="1389" spans="1:27" ht="15.75" customHeight="1" x14ac:dyDescent="0.55000000000000004">
      <c r="A1389" s="201"/>
      <c r="B1389" s="201"/>
      <c r="C1389" s="201"/>
      <c r="D1389" s="201"/>
      <c r="E1389" s="202"/>
      <c r="F1389" s="202"/>
      <c r="G1389" s="202"/>
      <c r="H1389" s="202"/>
      <c r="I1389" s="202"/>
      <c r="J1389" s="203"/>
      <c r="K1389" s="203"/>
      <c r="L1389" s="204"/>
      <c r="M1389" s="205"/>
      <c r="N1389" s="158"/>
      <c r="O1389" s="158"/>
      <c r="P1389" s="158"/>
      <c r="Q1389" s="158"/>
      <c r="R1389" s="158"/>
      <c r="S1389" s="158"/>
      <c r="T1389" s="158"/>
      <c r="U1389" s="158"/>
      <c r="V1389" s="158"/>
      <c r="W1389" s="158"/>
      <c r="X1389" s="158"/>
      <c r="Y1389" s="158"/>
      <c r="Z1389" s="158"/>
      <c r="AA1389" s="158"/>
    </row>
    <row r="1390" spans="1:27" ht="15.75" customHeight="1" x14ac:dyDescent="0.55000000000000004">
      <c r="A1390" s="201"/>
      <c r="B1390" s="201"/>
      <c r="C1390" s="201"/>
      <c r="D1390" s="201"/>
      <c r="E1390" s="202"/>
      <c r="F1390" s="202"/>
      <c r="G1390" s="202"/>
      <c r="H1390" s="202"/>
      <c r="I1390" s="202"/>
      <c r="J1390" s="203"/>
      <c r="K1390" s="203"/>
      <c r="L1390" s="204"/>
      <c r="M1390" s="205"/>
      <c r="N1390" s="158"/>
      <c r="O1390" s="158"/>
      <c r="P1390" s="158"/>
      <c r="Q1390" s="158"/>
      <c r="R1390" s="158"/>
      <c r="S1390" s="158"/>
      <c r="T1390" s="158"/>
      <c r="U1390" s="158"/>
      <c r="V1390" s="158"/>
      <c r="W1390" s="158"/>
      <c r="X1390" s="158"/>
      <c r="Y1390" s="158"/>
      <c r="Z1390" s="158"/>
      <c r="AA1390" s="158"/>
    </row>
    <row r="1391" spans="1:27" ht="15.75" customHeight="1" x14ac:dyDescent="0.55000000000000004">
      <c r="A1391" s="201"/>
      <c r="B1391" s="201"/>
      <c r="C1391" s="201"/>
      <c r="D1391" s="201"/>
      <c r="E1391" s="202"/>
      <c r="F1391" s="202"/>
      <c r="G1391" s="202"/>
      <c r="H1391" s="202"/>
      <c r="I1391" s="202"/>
      <c r="J1391" s="203"/>
      <c r="K1391" s="203"/>
      <c r="L1391" s="204"/>
      <c r="M1391" s="205"/>
      <c r="N1391" s="158"/>
      <c r="O1391" s="158"/>
      <c r="P1391" s="158"/>
      <c r="Q1391" s="158"/>
      <c r="R1391" s="158"/>
      <c r="S1391" s="158"/>
      <c r="T1391" s="158"/>
      <c r="U1391" s="158"/>
      <c r="V1391" s="158"/>
      <c r="W1391" s="158"/>
      <c r="X1391" s="158"/>
      <c r="Y1391" s="158"/>
      <c r="Z1391" s="158"/>
      <c r="AA1391" s="158"/>
    </row>
    <row r="1392" spans="1:27" ht="15.75" customHeight="1" x14ac:dyDescent="0.55000000000000004">
      <c r="A1392" s="201"/>
      <c r="B1392" s="201"/>
      <c r="C1392" s="201"/>
      <c r="D1392" s="201"/>
      <c r="E1392" s="202"/>
      <c r="F1392" s="202"/>
      <c r="G1392" s="202"/>
      <c r="H1392" s="202"/>
      <c r="I1392" s="202"/>
      <c r="J1392" s="203"/>
      <c r="K1392" s="203"/>
      <c r="L1392" s="204"/>
      <c r="M1392" s="205"/>
      <c r="N1392" s="158"/>
      <c r="O1392" s="158"/>
      <c r="P1392" s="158"/>
      <c r="Q1392" s="158"/>
      <c r="R1392" s="158"/>
      <c r="S1392" s="158"/>
      <c r="T1392" s="158"/>
      <c r="U1392" s="158"/>
      <c r="V1392" s="158"/>
      <c r="W1392" s="158"/>
      <c r="X1392" s="158"/>
      <c r="Y1392" s="158"/>
      <c r="Z1392" s="158"/>
      <c r="AA1392" s="158"/>
    </row>
    <row r="1393" spans="1:27" ht="15.75" customHeight="1" x14ac:dyDescent="0.55000000000000004">
      <c r="A1393" s="201"/>
      <c r="B1393" s="201"/>
      <c r="C1393" s="201"/>
      <c r="D1393" s="201"/>
      <c r="E1393" s="202"/>
      <c r="F1393" s="202"/>
      <c r="G1393" s="202"/>
      <c r="H1393" s="202"/>
      <c r="I1393" s="202"/>
      <c r="J1393" s="203"/>
      <c r="K1393" s="203"/>
      <c r="L1393" s="204"/>
      <c r="M1393" s="205"/>
      <c r="N1393" s="158"/>
      <c r="O1393" s="158"/>
      <c r="P1393" s="158"/>
      <c r="Q1393" s="158"/>
      <c r="R1393" s="158"/>
      <c r="S1393" s="158"/>
      <c r="T1393" s="158"/>
      <c r="U1393" s="158"/>
      <c r="V1393" s="158"/>
      <c r="W1393" s="158"/>
      <c r="X1393" s="158"/>
      <c r="Y1393" s="158"/>
      <c r="Z1393" s="158"/>
      <c r="AA1393" s="158"/>
    </row>
    <row r="1394" spans="1:27" ht="15.75" customHeight="1" x14ac:dyDescent="0.55000000000000004">
      <c r="A1394" s="201"/>
      <c r="B1394" s="201"/>
      <c r="C1394" s="201"/>
      <c r="D1394" s="201"/>
      <c r="E1394" s="202"/>
      <c r="F1394" s="202"/>
      <c r="G1394" s="202"/>
      <c r="H1394" s="202"/>
      <c r="I1394" s="202"/>
      <c r="J1394" s="203"/>
      <c r="K1394" s="203"/>
      <c r="L1394" s="204"/>
      <c r="M1394" s="205"/>
      <c r="N1394" s="158"/>
      <c r="O1394" s="158"/>
      <c r="P1394" s="158"/>
      <c r="Q1394" s="158"/>
      <c r="R1394" s="158"/>
      <c r="S1394" s="158"/>
      <c r="T1394" s="158"/>
      <c r="U1394" s="158"/>
      <c r="V1394" s="158"/>
      <c r="W1394" s="158"/>
      <c r="X1394" s="158"/>
      <c r="Y1394" s="158"/>
      <c r="Z1394" s="158"/>
      <c r="AA1394" s="158"/>
    </row>
    <row r="1395" spans="1:27" ht="15.75" customHeight="1" x14ac:dyDescent="0.55000000000000004">
      <c r="A1395" s="201"/>
      <c r="B1395" s="201"/>
      <c r="C1395" s="201"/>
      <c r="D1395" s="201"/>
      <c r="E1395" s="202"/>
      <c r="F1395" s="202"/>
      <c r="G1395" s="202"/>
      <c r="H1395" s="202"/>
      <c r="I1395" s="202"/>
      <c r="J1395" s="203"/>
      <c r="K1395" s="203"/>
      <c r="L1395" s="204"/>
      <c r="M1395" s="205"/>
      <c r="N1395" s="158"/>
      <c r="O1395" s="158"/>
      <c r="P1395" s="158"/>
      <c r="Q1395" s="158"/>
      <c r="R1395" s="158"/>
      <c r="S1395" s="158"/>
      <c r="T1395" s="158"/>
      <c r="U1395" s="158"/>
      <c r="V1395" s="158"/>
      <c r="W1395" s="158"/>
      <c r="X1395" s="158"/>
      <c r="Y1395" s="158"/>
      <c r="Z1395" s="158"/>
      <c r="AA1395" s="158"/>
    </row>
    <row r="1396" spans="1:27" ht="15.75" customHeight="1" x14ac:dyDescent="0.55000000000000004">
      <c r="A1396" s="201"/>
      <c r="B1396" s="201"/>
      <c r="C1396" s="201"/>
      <c r="D1396" s="201"/>
      <c r="E1396" s="202"/>
      <c r="F1396" s="202"/>
      <c r="G1396" s="202"/>
      <c r="H1396" s="202"/>
      <c r="I1396" s="202"/>
      <c r="J1396" s="203"/>
      <c r="K1396" s="203"/>
      <c r="L1396" s="204"/>
      <c r="M1396" s="205"/>
      <c r="N1396" s="158"/>
      <c r="O1396" s="158"/>
      <c r="P1396" s="158"/>
      <c r="Q1396" s="158"/>
      <c r="R1396" s="158"/>
      <c r="S1396" s="158"/>
      <c r="T1396" s="158"/>
      <c r="U1396" s="158"/>
      <c r="V1396" s="158"/>
      <c r="W1396" s="158"/>
      <c r="X1396" s="158"/>
      <c r="Y1396" s="158"/>
      <c r="Z1396" s="158"/>
      <c r="AA1396" s="158"/>
    </row>
    <row r="1397" spans="1:27" ht="15.75" customHeight="1" x14ac:dyDescent="0.55000000000000004">
      <c r="A1397" s="201"/>
      <c r="B1397" s="201"/>
      <c r="C1397" s="201"/>
      <c r="D1397" s="201"/>
      <c r="E1397" s="202"/>
      <c r="F1397" s="202"/>
      <c r="G1397" s="202"/>
      <c r="H1397" s="202"/>
      <c r="I1397" s="202"/>
      <c r="J1397" s="203"/>
      <c r="K1397" s="203"/>
      <c r="L1397" s="204"/>
      <c r="M1397" s="205"/>
      <c r="N1397" s="158"/>
      <c r="O1397" s="158"/>
      <c r="P1397" s="158"/>
      <c r="Q1397" s="158"/>
      <c r="R1397" s="158"/>
      <c r="S1397" s="158"/>
      <c r="T1397" s="158"/>
      <c r="U1397" s="158"/>
      <c r="V1397" s="158"/>
      <c r="W1397" s="158"/>
      <c r="X1397" s="158"/>
      <c r="Y1397" s="158"/>
      <c r="Z1397" s="158"/>
      <c r="AA1397" s="158"/>
    </row>
    <row r="1398" spans="1:27" ht="15.75" customHeight="1" x14ac:dyDescent="0.55000000000000004">
      <c r="A1398" s="201"/>
      <c r="B1398" s="201"/>
      <c r="C1398" s="201"/>
      <c r="D1398" s="201"/>
      <c r="E1398" s="202"/>
      <c r="F1398" s="202"/>
      <c r="G1398" s="202"/>
      <c r="H1398" s="202"/>
      <c r="I1398" s="202"/>
      <c r="J1398" s="203"/>
      <c r="K1398" s="203"/>
      <c r="L1398" s="204"/>
      <c r="M1398" s="205"/>
      <c r="N1398" s="158"/>
      <c r="O1398" s="158"/>
      <c r="P1398" s="158"/>
      <c r="Q1398" s="158"/>
      <c r="R1398" s="158"/>
      <c r="S1398" s="158"/>
      <c r="T1398" s="158"/>
      <c r="U1398" s="158"/>
      <c r="V1398" s="158"/>
      <c r="W1398" s="158"/>
      <c r="X1398" s="158"/>
      <c r="Y1398" s="158"/>
      <c r="Z1398" s="158"/>
      <c r="AA1398" s="158"/>
    </row>
    <row r="1399" spans="1:27" ht="15.75" customHeight="1" x14ac:dyDescent="0.55000000000000004">
      <c r="A1399" s="201"/>
      <c r="B1399" s="201"/>
      <c r="C1399" s="201"/>
      <c r="D1399" s="201"/>
      <c r="E1399" s="202"/>
      <c r="F1399" s="202"/>
      <c r="G1399" s="202"/>
      <c r="H1399" s="202"/>
      <c r="I1399" s="202"/>
      <c r="J1399" s="203"/>
      <c r="K1399" s="203"/>
      <c r="L1399" s="204"/>
      <c r="M1399" s="205"/>
      <c r="N1399" s="158"/>
      <c r="O1399" s="158"/>
      <c r="P1399" s="158"/>
      <c r="Q1399" s="158"/>
      <c r="R1399" s="158"/>
      <c r="S1399" s="158"/>
      <c r="T1399" s="158"/>
      <c r="U1399" s="158"/>
      <c r="V1399" s="158"/>
      <c r="W1399" s="158"/>
      <c r="X1399" s="158"/>
      <c r="Y1399" s="158"/>
      <c r="Z1399" s="158"/>
      <c r="AA1399" s="158"/>
    </row>
    <row r="1400" spans="1:27" ht="15.75" customHeight="1" x14ac:dyDescent="0.55000000000000004">
      <c r="A1400" s="201"/>
      <c r="B1400" s="201"/>
      <c r="C1400" s="201"/>
      <c r="D1400" s="201"/>
      <c r="E1400" s="202"/>
      <c r="F1400" s="202"/>
      <c r="G1400" s="202"/>
      <c r="H1400" s="202"/>
      <c r="I1400" s="202"/>
      <c r="J1400" s="203"/>
      <c r="K1400" s="203"/>
      <c r="L1400" s="204"/>
      <c r="M1400" s="205"/>
      <c r="N1400" s="158"/>
      <c r="O1400" s="158"/>
      <c r="P1400" s="158"/>
      <c r="Q1400" s="158"/>
      <c r="R1400" s="158"/>
      <c r="S1400" s="158"/>
      <c r="T1400" s="158"/>
      <c r="U1400" s="158"/>
      <c r="V1400" s="158"/>
      <c r="W1400" s="158"/>
      <c r="X1400" s="158"/>
      <c r="Y1400" s="158"/>
      <c r="Z1400" s="158"/>
      <c r="AA1400" s="158"/>
    </row>
    <row r="1401" spans="1:27" ht="15.75" customHeight="1" x14ac:dyDescent="0.55000000000000004">
      <c r="A1401" s="201"/>
      <c r="B1401" s="201"/>
      <c r="C1401" s="201"/>
      <c r="D1401" s="201"/>
      <c r="E1401" s="202"/>
      <c r="F1401" s="202"/>
      <c r="G1401" s="202"/>
      <c r="H1401" s="202"/>
      <c r="I1401" s="202"/>
      <c r="J1401" s="203"/>
      <c r="K1401" s="203"/>
      <c r="L1401" s="204"/>
      <c r="M1401" s="205"/>
      <c r="N1401" s="158"/>
      <c r="O1401" s="158"/>
      <c r="P1401" s="158"/>
      <c r="Q1401" s="158"/>
      <c r="R1401" s="158"/>
      <c r="S1401" s="158"/>
      <c r="T1401" s="158"/>
      <c r="U1401" s="158"/>
      <c r="V1401" s="158"/>
      <c r="W1401" s="158"/>
      <c r="X1401" s="158"/>
      <c r="Y1401" s="158"/>
      <c r="Z1401" s="158"/>
      <c r="AA1401" s="158"/>
    </row>
    <row r="1402" spans="1:27" ht="15.75" customHeight="1" x14ac:dyDescent="0.55000000000000004">
      <c r="A1402" s="201"/>
      <c r="B1402" s="201"/>
      <c r="C1402" s="201"/>
      <c r="D1402" s="201"/>
      <c r="E1402" s="202"/>
      <c r="F1402" s="202"/>
      <c r="G1402" s="202"/>
      <c r="H1402" s="202"/>
      <c r="I1402" s="202"/>
      <c r="J1402" s="203"/>
      <c r="K1402" s="203"/>
      <c r="L1402" s="204"/>
      <c r="M1402" s="205"/>
      <c r="N1402" s="158"/>
      <c r="O1402" s="158"/>
      <c r="P1402" s="158"/>
      <c r="Q1402" s="158"/>
      <c r="R1402" s="158"/>
      <c r="S1402" s="158"/>
      <c r="T1402" s="158"/>
      <c r="U1402" s="158"/>
      <c r="V1402" s="158"/>
      <c r="W1402" s="158"/>
      <c r="X1402" s="158"/>
      <c r="Y1402" s="158"/>
      <c r="Z1402" s="158"/>
      <c r="AA1402" s="158"/>
    </row>
    <row r="1403" spans="1:27" ht="15.75" customHeight="1" x14ac:dyDescent="0.55000000000000004">
      <c r="A1403" s="201"/>
      <c r="B1403" s="201"/>
      <c r="C1403" s="201"/>
      <c r="D1403" s="201"/>
      <c r="E1403" s="202"/>
      <c r="F1403" s="202"/>
      <c r="G1403" s="202"/>
      <c r="H1403" s="202"/>
      <c r="I1403" s="202"/>
      <c r="J1403" s="203"/>
      <c r="K1403" s="203"/>
      <c r="L1403" s="204"/>
      <c r="M1403" s="205"/>
      <c r="N1403" s="158"/>
      <c r="O1403" s="158"/>
      <c r="P1403" s="158"/>
      <c r="Q1403" s="158"/>
      <c r="R1403" s="158"/>
      <c r="S1403" s="158"/>
      <c r="T1403" s="158"/>
      <c r="U1403" s="158"/>
      <c r="V1403" s="158"/>
      <c r="W1403" s="158"/>
      <c r="X1403" s="158"/>
      <c r="Y1403" s="158"/>
      <c r="Z1403" s="158"/>
      <c r="AA1403" s="158"/>
    </row>
    <row r="1404" spans="1:27" ht="15.75" customHeight="1" x14ac:dyDescent="0.55000000000000004">
      <c r="A1404" s="201"/>
      <c r="B1404" s="201"/>
      <c r="C1404" s="201"/>
      <c r="D1404" s="201"/>
      <c r="E1404" s="202"/>
      <c r="F1404" s="202"/>
      <c r="G1404" s="202"/>
      <c r="H1404" s="202"/>
      <c r="I1404" s="202"/>
      <c r="J1404" s="203"/>
      <c r="K1404" s="203"/>
      <c r="L1404" s="204"/>
      <c r="M1404" s="205"/>
      <c r="N1404" s="158"/>
      <c r="O1404" s="158"/>
      <c r="P1404" s="158"/>
      <c r="Q1404" s="158"/>
      <c r="R1404" s="158"/>
      <c r="S1404" s="158"/>
      <c r="T1404" s="158"/>
      <c r="U1404" s="158"/>
      <c r="V1404" s="158"/>
      <c r="W1404" s="158"/>
      <c r="X1404" s="158"/>
      <c r="Y1404" s="158"/>
      <c r="Z1404" s="158"/>
      <c r="AA1404" s="158"/>
    </row>
    <row r="1405" spans="1:27" ht="15.75" customHeight="1" x14ac:dyDescent="0.55000000000000004">
      <c r="A1405" s="201"/>
      <c r="B1405" s="201"/>
      <c r="C1405" s="201"/>
      <c r="D1405" s="201"/>
      <c r="E1405" s="202"/>
      <c r="F1405" s="202"/>
      <c r="G1405" s="202"/>
      <c r="H1405" s="202"/>
      <c r="I1405" s="202"/>
      <c r="J1405" s="203"/>
      <c r="K1405" s="203"/>
      <c r="L1405" s="204"/>
      <c r="M1405" s="205"/>
      <c r="N1405" s="158"/>
      <c r="O1405" s="158"/>
      <c r="P1405" s="158"/>
      <c r="Q1405" s="158"/>
      <c r="R1405" s="158"/>
      <c r="S1405" s="158"/>
      <c r="T1405" s="158"/>
      <c r="U1405" s="158"/>
      <c r="V1405" s="158"/>
      <c r="W1405" s="158"/>
      <c r="X1405" s="158"/>
      <c r="Y1405" s="158"/>
      <c r="Z1405" s="158"/>
      <c r="AA1405" s="158"/>
    </row>
    <row r="1406" spans="1:27" ht="15.75" customHeight="1" x14ac:dyDescent="0.55000000000000004">
      <c r="A1406" s="201"/>
      <c r="B1406" s="201"/>
      <c r="C1406" s="201"/>
      <c r="D1406" s="201"/>
      <c r="E1406" s="202"/>
      <c r="F1406" s="202"/>
      <c r="G1406" s="202"/>
      <c r="H1406" s="202"/>
      <c r="I1406" s="202"/>
      <c r="J1406" s="203"/>
      <c r="K1406" s="203"/>
      <c r="L1406" s="204"/>
      <c r="M1406" s="205"/>
      <c r="N1406" s="158"/>
      <c r="O1406" s="158"/>
      <c r="P1406" s="158"/>
      <c r="Q1406" s="158"/>
      <c r="R1406" s="158"/>
      <c r="S1406" s="158"/>
      <c r="T1406" s="158"/>
      <c r="U1406" s="158"/>
      <c r="V1406" s="158"/>
      <c r="W1406" s="158"/>
      <c r="X1406" s="158"/>
      <c r="Y1406" s="158"/>
      <c r="Z1406" s="158"/>
      <c r="AA1406" s="158"/>
    </row>
    <row r="1407" spans="1:27" ht="15.75" customHeight="1" x14ac:dyDescent="0.55000000000000004">
      <c r="A1407" s="201"/>
      <c r="B1407" s="201"/>
      <c r="C1407" s="201"/>
      <c r="D1407" s="201"/>
      <c r="E1407" s="202"/>
      <c r="F1407" s="202"/>
      <c r="G1407" s="202"/>
      <c r="H1407" s="202"/>
      <c r="I1407" s="202"/>
      <c r="J1407" s="203"/>
      <c r="K1407" s="203"/>
      <c r="L1407" s="204"/>
      <c r="M1407" s="205"/>
      <c r="N1407" s="158"/>
      <c r="O1407" s="158"/>
      <c r="P1407" s="158"/>
      <c r="Q1407" s="158"/>
      <c r="R1407" s="158"/>
      <c r="S1407" s="158"/>
      <c r="T1407" s="158"/>
      <c r="U1407" s="158"/>
      <c r="V1407" s="158"/>
      <c r="W1407" s="158"/>
      <c r="X1407" s="158"/>
      <c r="Y1407" s="158"/>
      <c r="Z1407" s="158"/>
      <c r="AA1407" s="158"/>
    </row>
    <row r="1408" spans="1:27" ht="15.75" customHeight="1" x14ac:dyDescent="0.55000000000000004">
      <c r="A1408" s="201"/>
      <c r="B1408" s="201"/>
      <c r="C1408" s="201"/>
      <c r="D1408" s="201"/>
      <c r="E1408" s="202"/>
      <c r="F1408" s="202"/>
      <c r="G1408" s="202"/>
      <c r="H1408" s="202"/>
      <c r="I1408" s="202"/>
      <c r="J1408" s="203"/>
      <c r="K1408" s="203"/>
      <c r="L1408" s="204"/>
      <c r="M1408" s="205"/>
      <c r="N1408" s="158"/>
      <c r="O1408" s="158"/>
      <c r="P1408" s="158"/>
      <c r="Q1408" s="158"/>
      <c r="R1408" s="158"/>
      <c r="S1408" s="158"/>
      <c r="T1408" s="158"/>
      <c r="U1408" s="158"/>
      <c r="V1408" s="158"/>
      <c r="W1408" s="158"/>
      <c r="X1408" s="158"/>
      <c r="Y1408" s="158"/>
      <c r="Z1408" s="158"/>
      <c r="AA1408" s="158"/>
    </row>
    <row r="1409" spans="1:27" ht="15.75" customHeight="1" x14ac:dyDescent="0.55000000000000004">
      <c r="A1409" s="201"/>
      <c r="B1409" s="201"/>
      <c r="C1409" s="201"/>
      <c r="D1409" s="201"/>
      <c r="E1409" s="202"/>
      <c r="F1409" s="202"/>
      <c r="G1409" s="202"/>
      <c r="H1409" s="202"/>
      <c r="I1409" s="202"/>
      <c r="J1409" s="203"/>
      <c r="K1409" s="203"/>
      <c r="L1409" s="204"/>
      <c r="M1409" s="205"/>
      <c r="N1409" s="158"/>
      <c r="O1409" s="158"/>
      <c r="P1409" s="158"/>
      <c r="Q1409" s="158"/>
      <c r="R1409" s="158"/>
      <c r="S1409" s="158"/>
      <c r="T1409" s="158"/>
      <c r="U1409" s="158"/>
      <c r="V1409" s="158"/>
      <c r="W1409" s="158"/>
      <c r="X1409" s="158"/>
      <c r="Y1409" s="158"/>
      <c r="Z1409" s="158"/>
      <c r="AA1409" s="158"/>
    </row>
    <row r="1410" spans="1:27" ht="15.75" customHeight="1" x14ac:dyDescent="0.55000000000000004">
      <c r="A1410" s="201"/>
      <c r="B1410" s="201"/>
      <c r="C1410" s="201"/>
      <c r="D1410" s="201"/>
      <c r="E1410" s="202"/>
      <c r="F1410" s="202"/>
      <c r="G1410" s="202"/>
      <c r="H1410" s="202"/>
      <c r="I1410" s="202"/>
      <c r="J1410" s="203"/>
      <c r="K1410" s="203"/>
      <c r="L1410" s="204"/>
      <c r="M1410" s="205"/>
      <c r="N1410" s="158"/>
      <c r="O1410" s="158"/>
      <c r="P1410" s="158"/>
      <c r="Q1410" s="158"/>
      <c r="R1410" s="158"/>
      <c r="S1410" s="158"/>
      <c r="T1410" s="158"/>
      <c r="U1410" s="158"/>
      <c r="V1410" s="158"/>
      <c r="W1410" s="158"/>
      <c r="X1410" s="158"/>
      <c r="Y1410" s="158"/>
      <c r="Z1410" s="158"/>
      <c r="AA1410" s="158"/>
    </row>
    <row r="1411" spans="1:27" ht="15.75" customHeight="1" x14ac:dyDescent="0.55000000000000004">
      <c r="A1411" s="201"/>
      <c r="B1411" s="201"/>
      <c r="C1411" s="201"/>
      <c r="D1411" s="201"/>
      <c r="E1411" s="202"/>
      <c r="F1411" s="202"/>
      <c r="G1411" s="202"/>
      <c r="H1411" s="202"/>
      <c r="I1411" s="202"/>
      <c r="J1411" s="203"/>
      <c r="K1411" s="206"/>
      <c r="L1411" s="204"/>
      <c r="M1411" s="205"/>
      <c r="N1411" s="158"/>
      <c r="O1411" s="158"/>
      <c r="P1411" s="158"/>
      <c r="Q1411" s="158"/>
      <c r="R1411" s="158"/>
      <c r="S1411" s="158"/>
      <c r="T1411" s="158"/>
      <c r="U1411" s="158"/>
      <c r="V1411" s="158"/>
      <c r="W1411" s="158"/>
      <c r="X1411" s="158"/>
      <c r="Y1411" s="158"/>
      <c r="Z1411" s="158"/>
      <c r="AA1411" s="158"/>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outlinePr summaryBelow="0" summaryRight="0"/>
  </sheetPr>
  <dimension ref="A1:AQ1000"/>
  <sheetViews>
    <sheetView workbookViewId="0">
      <pane xSplit="3" ySplit="1" topLeftCell="D2" activePane="bottomRight" state="frozen"/>
      <selection pane="topRight" activeCell="D1" sqref="D1"/>
      <selection pane="bottomLeft" activeCell="A2" sqref="A2"/>
      <selection pane="bottomRight"/>
    </sheetView>
  </sheetViews>
  <sheetFormatPr defaultColWidth="14.47265625" defaultRowHeight="15" customHeight="1" x14ac:dyDescent="0.55000000000000004"/>
  <cols>
    <col min="1" max="1" width="6.47265625" customWidth="1"/>
    <col min="2" max="2" width="26.3125" customWidth="1"/>
    <col min="3" max="3" width="17.3125" customWidth="1"/>
    <col min="4" max="4" width="15.47265625" customWidth="1"/>
    <col min="5" max="5" width="52.68359375" customWidth="1"/>
    <col min="6" max="6" width="19" customWidth="1"/>
    <col min="7" max="7" width="18.3125" customWidth="1"/>
    <col min="8" max="8" width="11.68359375" customWidth="1"/>
    <col min="9" max="9" width="9.15625" customWidth="1"/>
    <col min="10" max="10" width="15.83984375" customWidth="1"/>
    <col min="11" max="11" width="11.47265625" customWidth="1"/>
    <col min="12" max="12" width="14" customWidth="1"/>
    <col min="13" max="13" width="20" customWidth="1"/>
    <col min="14" max="14" width="14.15625" customWidth="1"/>
    <col min="15" max="15" width="12.15625" customWidth="1"/>
    <col min="16" max="16" width="23.15625" customWidth="1"/>
    <col min="17" max="17" width="18.83984375" customWidth="1"/>
    <col min="18" max="18" width="26" customWidth="1"/>
    <col min="19" max="19" width="22.3125" customWidth="1"/>
    <col min="20" max="20" width="19.83984375" customWidth="1"/>
    <col min="21" max="21" width="24" customWidth="1"/>
    <col min="22" max="22" width="17.83984375" customWidth="1"/>
    <col min="23" max="23" width="14" customWidth="1"/>
  </cols>
  <sheetData>
    <row r="1" spans="1:43" ht="36.75" customHeight="1" x14ac:dyDescent="0.55000000000000004">
      <c r="A1" s="155" t="s">
        <v>211</v>
      </c>
      <c r="B1" s="155" t="s">
        <v>212</v>
      </c>
      <c r="C1" s="155" t="s">
        <v>213</v>
      </c>
      <c r="D1" s="155" t="s">
        <v>3739</v>
      </c>
      <c r="E1" s="155" t="s">
        <v>3740</v>
      </c>
      <c r="F1" s="155" t="s">
        <v>700</v>
      </c>
      <c r="G1" s="155" t="s">
        <v>701</v>
      </c>
      <c r="H1" s="155" t="s">
        <v>3741</v>
      </c>
      <c r="I1" s="155" t="s">
        <v>707</v>
      </c>
      <c r="J1" s="207" t="s">
        <v>3742</v>
      </c>
      <c r="K1" s="155" t="s">
        <v>709</v>
      </c>
      <c r="L1" s="155" t="s">
        <v>710</v>
      </c>
      <c r="M1" s="155" t="s">
        <v>711</v>
      </c>
      <c r="N1" s="155" t="s">
        <v>712</v>
      </c>
      <c r="O1" s="155" t="s">
        <v>713</v>
      </c>
      <c r="P1" s="155" t="s">
        <v>714</v>
      </c>
      <c r="Q1" s="155" t="s">
        <v>715</v>
      </c>
      <c r="R1" s="155" t="s">
        <v>716</v>
      </c>
      <c r="S1" s="155" t="s">
        <v>3743</v>
      </c>
      <c r="T1" s="115" t="s">
        <v>718</v>
      </c>
      <c r="U1" s="155" t="s">
        <v>719</v>
      </c>
      <c r="V1" s="155" t="s">
        <v>3744</v>
      </c>
      <c r="W1" s="155" t="s">
        <v>3745</v>
      </c>
      <c r="X1" s="208"/>
      <c r="Y1" s="209"/>
      <c r="Z1" s="209"/>
      <c r="AA1" s="209"/>
      <c r="AB1" s="209"/>
      <c r="AC1" s="209"/>
      <c r="AD1" s="209"/>
      <c r="AE1" s="209"/>
      <c r="AF1" s="209"/>
      <c r="AG1" s="209"/>
      <c r="AH1" s="209"/>
      <c r="AI1" s="209"/>
      <c r="AJ1" s="209"/>
      <c r="AK1" s="209"/>
      <c r="AL1" s="209"/>
      <c r="AM1" s="209"/>
      <c r="AN1" s="209"/>
      <c r="AO1" s="209"/>
      <c r="AP1" s="209"/>
      <c r="AQ1" s="209"/>
    </row>
    <row r="2" spans="1:43" x14ac:dyDescent="0.55000000000000004">
      <c r="A2" s="210">
        <v>57</v>
      </c>
      <c r="B2" s="210" t="s">
        <v>1251</v>
      </c>
      <c r="C2" s="210" t="s">
        <v>1061</v>
      </c>
      <c r="D2" s="211">
        <v>6</v>
      </c>
      <c r="E2" s="131" t="s">
        <v>3746</v>
      </c>
      <c r="F2" s="131"/>
      <c r="G2" s="131"/>
      <c r="H2" s="131"/>
      <c r="I2" s="131">
        <v>78410</v>
      </c>
      <c r="J2" s="212">
        <v>277454</v>
      </c>
      <c r="K2" s="131">
        <v>33.200000000000003</v>
      </c>
      <c r="L2" s="131">
        <v>71.599999999999994</v>
      </c>
      <c r="M2" s="131">
        <v>15.4</v>
      </c>
      <c r="N2" s="131">
        <v>40.4</v>
      </c>
      <c r="O2" s="131">
        <v>56.7</v>
      </c>
      <c r="P2" s="131">
        <v>75.8</v>
      </c>
      <c r="Q2" s="131">
        <v>19.600000000000001</v>
      </c>
      <c r="R2" s="131"/>
      <c r="S2" s="131"/>
      <c r="T2" s="131"/>
      <c r="U2" s="131"/>
      <c r="V2" s="131">
        <v>435</v>
      </c>
      <c r="W2" s="131">
        <v>4.6900000000000004</v>
      </c>
      <c r="X2" s="213"/>
      <c r="Y2" s="120"/>
      <c r="Z2" s="120"/>
      <c r="AA2" s="120"/>
      <c r="AB2" s="120"/>
      <c r="AC2" s="120"/>
      <c r="AD2" s="120"/>
      <c r="AE2" s="120"/>
      <c r="AF2" s="120"/>
      <c r="AG2" s="120"/>
      <c r="AH2" s="120"/>
      <c r="AI2" s="120"/>
      <c r="AJ2" s="120"/>
      <c r="AK2" s="120"/>
      <c r="AL2" s="120"/>
      <c r="AM2" s="120"/>
      <c r="AN2" s="120"/>
      <c r="AO2" s="120"/>
      <c r="AP2" s="120"/>
      <c r="AQ2" s="120"/>
    </row>
    <row r="3" spans="1:43" x14ac:dyDescent="0.55000000000000004">
      <c r="A3" s="210">
        <v>58</v>
      </c>
      <c r="B3" s="210" t="s">
        <v>1255</v>
      </c>
      <c r="C3" s="210" t="s">
        <v>1256</v>
      </c>
      <c r="D3" s="211">
        <v>6</v>
      </c>
      <c r="E3" s="131" t="s">
        <v>3746</v>
      </c>
      <c r="F3" s="131"/>
      <c r="G3" s="131"/>
      <c r="H3" s="131"/>
      <c r="I3" s="131">
        <v>90012</v>
      </c>
      <c r="J3" s="212">
        <v>30577</v>
      </c>
      <c r="K3" s="131">
        <v>35</v>
      </c>
      <c r="L3" s="131">
        <v>20.3</v>
      </c>
      <c r="M3" s="131">
        <v>10.199999999999999</v>
      </c>
      <c r="N3" s="131">
        <v>88.2</v>
      </c>
      <c r="O3" s="131">
        <v>24.5</v>
      </c>
      <c r="P3" s="131">
        <v>53.9</v>
      </c>
      <c r="Q3" s="131">
        <v>12.9</v>
      </c>
      <c r="R3" s="131"/>
      <c r="S3" s="131">
        <v>1.6</v>
      </c>
      <c r="T3" s="131">
        <v>1</v>
      </c>
      <c r="U3" s="131">
        <v>0</v>
      </c>
      <c r="V3" s="212">
        <v>9324</v>
      </c>
      <c r="W3" s="131">
        <v>23.8</v>
      </c>
      <c r="X3" s="213"/>
      <c r="Y3" s="120"/>
      <c r="Z3" s="120"/>
      <c r="AA3" s="120"/>
      <c r="AB3" s="120"/>
      <c r="AC3" s="120"/>
      <c r="AD3" s="120"/>
      <c r="AE3" s="120"/>
      <c r="AF3" s="120"/>
      <c r="AG3" s="120"/>
      <c r="AH3" s="120"/>
      <c r="AI3" s="120"/>
      <c r="AJ3" s="120"/>
      <c r="AK3" s="120"/>
      <c r="AL3" s="120"/>
      <c r="AM3" s="120"/>
      <c r="AN3" s="120"/>
      <c r="AO3" s="120"/>
      <c r="AP3" s="120"/>
      <c r="AQ3" s="120"/>
    </row>
    <row r="4" spans="1:43" x14ac:dyDescent="0.55000000000000004">
      <c r="A4" s="210">
        <v>59</v>
      </c>
      <c r="B4" s="210" t="s">
        <v>1260</v>
      </c>
      <c r="C4" s="210" t="s">
        <v>1046</v>
      </c>
      <c r="D4" s="211">
        <v>4</v>
      </c>
      <c r="E4" s="131" t="s">
        <v>3747</v>
      </c>
      <c r="F4" s="214">
        <v>0.5</v>
      </c>
      <c r="G4" s="131"/>
      <c r="H4" s="131">
        <v>1</v>
      </c>
      <c r="I4" s="131">
        <v>10462</v>
      </c>
      <c r="J4" s="212">
        <v>75784</v>
      </c>
      <c r="K4" s="131">
        <v>34.9</v>
      </c>
      <c r="L4" s="131">
        <v>32.299999999999997</v>
      </c>
      <c r="M4" s="131">
        <v>23.3</v>
      </c>
      <c r="N4" s="131">
        <v>78.099999999999994</v>
      </c>
      <c r="O4" s="131">
        <v>56.1</v>
      </c>
      <c r="P4" s="131">
        <v>24.9</v>
      </c>
      <c r="Q4" s="131">
        <v>9.6999999999999993</v>
      </c>
      <c r="R4" s="131"/>
      <c r="S4" s="131">
        <v>1</v>
      </c>
      <c r="T4" s="131">
        <v>4</v>
      </c>
      <c r="U4" s="131">
        <v>1</v>
      </c>
      <c r="V4" s="212">
        <v>40000</v>
      </c>
      <c r="W4" s="212">
        <v>21.3</v>
      </c>
      <c r="X4" s="213"/>
      <c r="Y4" s="120"/>
      <c r="Z4" s="120"/>
      <c r="AA4" s="120"/>
      <c r="AB4" s="120"/>
      <c r="AC4" s="120"/>
      <c r="AD4" s="120"/>
      <c r="AE4" s="120"/>
      <c r="AF4" s="120"/>
      <c r="AG4" s="120"/>
      <c r="AH4" s="120"/>
      <c r="AI4" s="120"/>
      <c r="AJ4" s="120"/>
      <c r="AK4" s="120"/>
      <c r="AL4" s="120"/>
      <c r="AM4" s="120"/>
      <c r="AN4" s="120"/>
      <c r="AO4" s="120"/>
      <c r="AP4" s="120"/>
      <c r="AQ4" s="120"/>
    </row>
    <row r="5" spans="1:43" x14ac:dyDescent="0.55000000000000004">
      <c r="A5" s="210">
        <v>60</v>
      </c>
      <c r="B5" s="210" t="s">
        <v>1268</v>
      </c>
      <c r="C5" s="210" t="s">
        <v>1269</v>
      </c>
      <c r="D5" s="211">
        <v>6</v>
      </c>
      <c r="E5" s="131" t="s">
        <v>3746</v>
      </c>
      <c r="F5" s="214">
        <v>0.20833333333333334</v>
      </c>
      <c r="G5" s="131"/>
      <c r="H5" s="131">
        <v>0</v>
      </c>
      <c r="I5" s="131">
        <v>33316</v>
      </c>
      <c r="J5" s="212">
        <v>10668</v>
      </c>
      <c r="K5" s="131">
        <v>45.5</v>
      </c>
      <c r="L5" s="131">
        <v>91</v>
      </c>
      <c r="M5" s="131">
        <v>4.5999999999999996</v>
      </c>
      <c r="N5" s="131">
        <v>43.6</v>
      </c>
      <c r="O5" s="131">
        <v>60.4</v>
      </c>
      <c r="P5" s="131">
        <v>91.7</v>
      </c>
      <c r="Q5" s="131">
        <v>42.7</v>
      </c>
      <c r="R5" s="131"/>
      <c r="S5" s="131"/>
      <c r="T5" s="131">
        <v>0</v>
      </c>
      <c r="U5" s="131">
        <v>0</v>
      </c>
      <c r="V5" s="131">
        <v>500</v>
      </c>
      <c r="W5" s="131">
        <v>16.329999999999998</v>
      </c>
      <c r="X5" s="213"/>
      <c r="Y5" s="120"/>
      <c r="Z5" s="120"/>
      <c r="AA5" s="120"/>
      <c r="AB5" s="120"/>
      <c r="AC5" s="120"/>
      <c r="AD5" s="120"/>
      <c r="AE5" s="120"/>
      <c r="AF5" s="120"/>
      <c r="AG5" s="120"/>
      <c r="AH5" s="120"/>
      <c r="AI5" s="120"/>
      <c r="AJ5" s="120"/>
      <c r="AK5" s="120"/>
      <c r="AL5" s="120"/>
      <c r="AM5" s="120"/>
      <c r="AN5" s="120"/>
      <c r="AO5" s="120"/>
      <c r="AP5" s="120"/>
      <c r="AQ5" s="120"/>
    </row>
    <row r="6" spans="1:43" x14ac:dyDescent="0.55000000000000004">
      <c r="A6" s="210">
        <v>61</v>
      </c>
      <c r="B6" s="210" t="s">
        <v>1273</v>
      </c>
      <c r="C6" s="210" t="s">
        <v>1207</v>
      </c>
      <c r="D6" s="211">
        <v>6</v>
      </c>
      <c r="E6" s="131" t="s">
        <v>3746</v>
      </c>
      <c r="F6" s="131"/>
      <c r="G6" s="131"/>
      <c r="H6" s="131"/>
      <c r="I6" s="131">
        <v>39201</v>
      </c>
      <c r="J6" s="212">
        <v>1089</v>
      </c>
      <c r="K6" s="131">
        <v>30</v>
      </c>
      <c r="L6" s="131">
        <v>19.5</v>
      </c>
      <c r="M6" s="131">
        <v>19.8</v>
      </c>
      <c r="N6" s="131">
        <v>80.2</v>
      </c>
      <c r="O6" s="131">
        <v>9.4</v>
      </c>
      <c r="P6" s="131">
        <v>56.3</v>
      </c>
      <c r="Q6" s="131">
        <v>17.600000000000001</v>
      </c>
      <c r="R6" s="131"/>
      <c r="S6" s="131">
        <v>1.7</v>
      </c>
      <c r="T6" s="131">
        <v>2</v>
      </c>
      <c r="U6" s="131">
        <v>0</v>
      </c>
      <c r="V6" s="131">
        <v>430</v>
      </c>
      <c r="W6" s="131">
        <v>47.14</v>
      </c>
      <c r="X6" s="213"/>
      <c r="Y6" s="120"/>
      <c r="Z6" s="120"/>
      <c r="AA6" s="120"/>
      <c r="AB6" s="120"/>
      <c r="AC6" s="120"/>
      <c r="AD6" s="120"/>
      <c r="AE6" s="120"/>
      <c r="AF6" s="120"/>
      <c r="AG6" s="120"/>
      <c r="AH6" s="120"/>
      <c r="AI6" s="120"/>
      <c r="AJ6" s="120"/>
      <c r="AK6" s="120"/>
      <c r="AL6" s="120"/>
      <c r="AM6" s="120"/>
      <c r="AN6" s="120"/>
      <c r="AO6" s="120"/>
      <c r="AP6" s="120"/>
      <c r="AQ6" s="120"/>
    </row>
    <row r="7" spans="1:43" x14ac:dyDescent="0.55000000000000004">
      <c r="A7" s="210">
        <v>62</v>
      </c>
      <c r="B7" s="210" t="s">
        <v>1277</v>
      </c>
      <c r="C7" s="210" t="s">
        <v>1019</v>
      </c>
      <c r="D7" s="211">
        <v>7</v>
      </c>
      <c r="E7" s="131" t="s">
        <v>3748</v>
      </c>
      <c r="F7" s="131"/>
      <c r="G7" s="131"/>
      <c r="H7" s="131"/>
      <c r="I7" s="131" t="s">
        <v>3749</v>
      </c>
      <c r="J7" s="212">
        <v>3864</v>
      </c>
      <c r="K7" s="131">
        <v>41.1</v>
      </c>
      <c r="L7" s="131">
        <v>98.6</v>
      </c>
      <c r="M7" s="215">
        <v>8</v>
      </c>
      <c r="N7" s="131">
        <v>29.3</v>
      </c>
      <c r="O7" s="131">
        <v>60.4</v>
      </c>
      <c r="P7" s="131">
        <v>73.099999999999994</v>
      </c>
      <c r="Q7" s="131">
        <v>11.1</v>
      </c>
      <c r="R7" s="131">
        <v>19.399999999999999</v>
      </c>
      <c r="S7" s="131">
        <v>2.2999999999999998</v>
      </c>
      <c r="T7" s="131">
        <v>2</v>
      </c>
      <c r="U7" s="131">
        <v>0</v>
      </c>
      <c r="V7" s="131"/>
      <c r="W7" s="131"/>
      <c r="X7" s="213"/>
      <c r="Y7" s="120"/>
      <c r="Z7" s="120"/>
      <c r="AA7" s="120"/>
      <c r="AB7" s="120"/>
      <c r="AC7" s="120"/>
      <c r="AD7" s="120"/>
      <c r="AE7" s="120"/>
      <c r="AF7" s="120"/>
      <c r="AG7" s="120"/>
      <c r="AH7" s="120"/>
      <c r="AI7" s="120"/>
      <c r="AJ7" s="120"/>
      <c r="AK7" s="120"/>
      <c r="AL7" s="120"/>
      <c r="AM7" s="120"/>
      <c r="AN7" s="120"/>
      <c r="AO7" s="120"/>
      <c r="AP7" s="120"/>
      <c r="AQ7" s="120"/>
    </row>
    <row r="8" spans="1:43" x14ac:dyDescent="0.55000000000000004">
      <c r="A8" s="210">
        <v>63</v>
      </c>
      <c r="B8" s="210" t="s">
        <v>1283</v>
      </c>
      <c r="C8" s="210" t="s">
        <v>1030</v>
      </c>
      <c r="D8" s="211">
        <v>6</v>
      </c>
      <c r="E8" s="131" t="s">
        <v>3746</v>
      </c>
      <c r="F8" s="214">
        <v>0.625</v>
      </c>
      <c r="G8" s="131"/>
      <c r="H8" s="131">
        <v>1</v>
      </c>
      <c r="I8" s="131">
        <v>29801</v>
      </c>
      <c r="J8" s="212">
        <v>25989</v>
      </c>
      <c r="K8" s="131">
        <v>36.700000000000003</v>
      </c>
      <c r="L8" s="131">
        <v>53.7</v>
      </c>
      <c r="M8" s="131">
        <v>18.5</v>
      </c>
      <c r="N8" s="131">
        <v>30.7</v>
      </c>
      <c r="O8" s="131">
        <v>52.4</v>
      </c>
      <c r="P8" s="131">
        <v>75.099999999999994</v>
      </c>
      <c r="Q8" s="131">
        <v>20.100000000000001</v>
      </c>
      <c r="R8" s="131"/>
      <c r="S8" s="131">
        <v>3.5</v>
      </c>
      <c r="T8" s="131">
        <v>5</v>
      </c>
      <c r="U8" s="131">
        <v>0</v>
      </c>
      <c r="V8" s="131">
        <v>85</v>
      </c>
      <c r="W8" s="131">
        <v>7.94</v>
      </c>
      <c r="X8" s="213"/>
      <c r="Y8" s="120"/>
      <c r="Z8" s="120"/>
      <c r="AA8" s="120"/>
      <c r="AB8" s="120"/>
      <c r="AC8" s="120"/>
      <c r="AD8" s="120"/>
      <c r="AE8" s="120"/>
      <c r="AF8" s="120"/>
      <c r="AG8" s="120"/>
      <c r="AH8" s="120"/>
      <c r="AI8" s="120"/>
      <c r="AJ8" s="120"/>
      <c r="AK8" s="120"/>
      <c r="AL8" s="120"/>
      <c r="AM8" s="120"/>
      <c r="AN8" s="120"/>
      <c r="AO8" s="120"/>
      <c r="AP8" s="120"/>
      <c r="AQ8" s="120"/>
    </row>
    <row r="9" spans="1:43" x14ac:dyDescent="0.55000000000000004">
      <c r="A9" s="210">
        <v>64</v>
      </c>
      <c r="B9" s="210" t="s">
        <v>1289</v>
      </c>
      <c r="C9" s="210" t="s">
        <v>1290</v>
      </c>
      <c r="D9" s="211">
        <v>6</v>
      </c>
      <c r="E9" s="120" t="s">
        <v>3746</v>
      </c>
      <c r="F9" s="120"/>
      <c r="G9" s="120"/>
      <c r="H9" s="120"/>
      <c r="I9" s="120">
        <v>33830</v>
      </c>
      <c r="J9" s="212">
        <v>25723</v>
      </c>
      <c r="K9" s="216">
        <v>35.4</v>
      </c>
      <c r="L9" s="216">
        <v>69.400000000000006</v>
      </c>
      <c r="M9" s="216">
        <v>16.3</v>
      </c>
      <c r="N9" s="216">
        <v>26.4</v>
      </c>
      <c r="O9" s="216">
        <v>53.4</v>
      </c>
      <c r="P9" s="216">
        <v>73</v>
      </c>
      <c r="Q9" s="216">
        <v>13.8</v>
      </c>
      <c r="R9" s="216"/>
      <c r="S9" s="120">
        <v>2.8</v>
      </c>
      <c r="T9" s="120">
        <v>3</v>
      </c>
      <c r="U9" s="120">
        <v>0</v>
      </c>
      <c r="V9" s="120">
        <v>54</v>
      </c>
      <c r="W9" s="120"/>
      <c r="X9" s="217"/>
      <c r="Y9" s="131"/>
      <c r="Z9" s="131"/>
      <c r="AA9" s="131"/>
      <c r="AB9" s="131"/>
      <c r="AC9" s="131"/>
      <c r="AD9" s="131"/>
      <c r="AE9" s="131"/>
      <c r="AF9" s="131"/>
      <c r="AG9" s="131"/>
      <c r="AH9" s="131"/>
      <c r="AI9" s="131"/>
      <c r="AJ9" s="131"/>
      <c r="AK9" s="131"/>
      <c r="AL9" s="131"/>
      <c r="AM9" s="131"/>
      <c r="AN9" s="131"/>
      <c r="AO9" s="131"/>
      <c r="AP9" s="131"/>
      <c r="AQ9" s="131"/>
    </row>
    <row r="10" spans="1:43" x14ac:dyDescent="0.55000000000000004">
      <c r="A10" s="210">
        <v>65</v>
      </c>
      <c r="B10" s="210" t="s">
        <v>1294</v>
      </c>
      <c r="C10" s="210" t="s">
        <v>1295</v>
      </c>
      <c r="D10" s="211">
        <v>6</v>
      </c>
      <c r="E10" s="131" t="s">
        <v>3746</v>
      </c>
      <c r="F10" s="214">
        <v>0.62847222222222221</v>
      </c>
      <c r="G10" s="131"/>
      <c r="H10" s="131">
        <v>1</v>
      </c>
      <c r="I10" s="131">
        <v>92865</v>
      </c>
      <c r="J10" s="212">
        <v>18039</v>
      </c>
      <c r="K10" s="131">
        <v>34.299999999999997</v>
      </c>
      <c r="L10" s="131">
        <v>72.599999999999994</v>
      </c>
      <c r="M10" s="131">
        <v>13.2</v>
      </c>
      <c r="N10" s="131">
        <v>33.5</v>
      </c>
      <c r="O10" s="131">
        <v>65.2</v>
      </c>
      <c r="P10" s="131">
        <v>24.2</v>
      </c>
      <c r="Q10" s="131">
        <v>6.3</v>
      </c>
      <c r="R10" s="131"/>
      <c r="S10" s="131">
        <v>2.9</v>
      </c>
      <c r="T10" s="131">
        <v>3</v>
      </c>
      <c r="U10" s="131">
        <v>3</v>
      </c>
      <c r="V10" s="131">
        <v>156</v>
      </c>
      <c r="W10" s="131">
        <v>0.84</v>
      </c>
      <c r="X10" s="213"/>
      <c r="Y10" s="120"/>
      <c r="Z10" s="120"/>
      <c r="AA10" s="120"/>
      <c r="AB10" s="120"/>
      <c r="AC10" s="120"/>
      <c r="AD10" s="120"/>
      <c r="AE10" s="120"/>
      <c r="AF10" s="120"/>
      <c r="AG10" s="120"/>
      <c r="AH10" s="120"/>
      <c r="AI10" s="120"/>
      <c r="AJ10" s="120"/>
      <c r="AK10" s="120"/>
      <c r="AL10" s="120"/>
      <c r="AM10" s="120"/>
      <c r="AN10" s="120"/>
      <c r="AO10" s="120"/>
      <c r="AP10" s="120"/>
      <c r="AQ10" s="120"/>
    </row>
    <row r="11" spans="1:43" x14ac:dyDescent="0.55000000000000004">
      <c r="A11" s="210">
        <v>66</v>
      </c>
      <c r="B11" s="210" t="s">
        <v>1301</v>
      </c>
      <c r="C11" s="210" t="s">
        <v>1302</v>
      </c>
      <c r="D11" s="211">
        <v>6</v>
      </c>
      <c r="E11" s="131" t="s">
        <v>3746</v>
      </c>
      <c r="F11" s="131"/>
      <c r="G11" s="131"/>
      <c r="H11" s="131">
        <v>0</v>
      </c>
      <c r="I11" s="131" t="s">
        <v>3750</v>
      </c>
      <c r="J11" s="212">
        <v>29274</v>
      </c>
      <c r="K11" s="131">
        <v>41.9</v>
      </c>
      <c r="L11" s="131">
        <v>92.5</v>
      </c>
      <c r="M11" s="131">
        <v>10.7</v>
      </c>
      <c r="N11" s="131">
        <v>19.399999999999999</v>
      </c>
      <c r="O11" s="131">
        <v>64.5</v>
      </c>
      <c r="P11" s="131">
        <v>85.5</v>
      </c>
      <c r="Q11" s="131">
        <v>29.1</v>
      </c>
      <c r="R11" s="131"/>
      <c r="S11" s="131">
        <v>4.2</v>
      </c>
      <c r="T11" s="131">
        <v>0</v>
      </c>
      <c r="U11" s="131">
        <v>2</v>
      </c>
      <c r="V11" s="131"/>
      <c r="W11" s="131">
        <v>0</v>
      </c>
      <c r="X11" s="213"/>
      <c r="Y11" s="120"/>
      <c r="Z11" s="120"/>
      <c r="AA11" s="120"/>
      <c r="AB11" s="120"/>
      <c r="AC11" s="120"/>
      <c r="AD11" s="120"/>
      <c r="AE11" s="120"/>
      <c r="AF11" s="120"/>
      <c r="AG11" s="120"/>
      <c r="AH11" s="120"/>
      <c r="AI11" s="120"/>
      <c r="AJ11" s="120"/>
      <c r="AK11" s="120"/>
      <c r="AL11" s="120"/>
      <c r="AM11" s="120"/>
      <c r="AN11" s="120"/>
      <c r="AO11" s="120"/>
      <c r="AP11" s="120"/>
      <c r="AQ11" s="120"/>
    </row>
    <row r="12" spans="1:43" x14ac:dyDescent="0.55000000000000004">
      <c r="A12" s="210" t="s">
        <v>3751</v>
      </c>
      <c r="B12" s="210" t="s">
        <v>3752</v>
      </c>
      <c r="C12" s="210" t="s">
        <v>1312</v>
      </c>
      <c r="D12" s="211">
        <v>0</v>
      </c>
      <c r="E12" s="131" t="s">
        <v>3753</v>
      </c>
      <c r="F12" s="214">
        <v>0.52430555555555558</v>
      </c>
      <c r="G12" s="214">
        <v>0.53541666666666665</v>
      </c>
      <c r="H12" s="131">
        <v>1</v>
      </c>
      <c r="I12" s="131">
        <v>72404</v>
      </c>
      <c r="J12" s="212">
        <v>16546</v>
      </c>
      <c r="K12" s="131">
        <v>32.5</v>
      </c>
      <c r="L12" s="131">
        <v>93.9</v>
      </c>
      <c r="M12" s="131">
        <v>8.8000000000000007</v>
      </c>
      <c r="N12" s="131">
        <v>28.6</v>
      </c>
      <c r="O12" s="131">
        <v>71</v>
      </c>
      <c r="P12" s="216">
        <v>86.3</v>
      </c>
      <c r="Q12" s="216">
        <v>32.5</v>
      </c>
      <c r="R12" s="131"/>
      <c r="S12" s="131">
        <v>6.7</v>
      </c>
      <c r="T12" s="131">
        <v>7</v>
      </c>
      <c r="U12" s="131">
        <v>8</v>
      </c>
      <c r="V12" s="131">
        <v>159</v>
      </c>
      <c r="W12" s="131">
        <v>1.9</v>
      </c>
      <c r="X12" s="217"/>
      <c r="Y12" s="131"/>
      <c r="Z12" s="131"/>
      <c r="AA12" s="131"/>
      <c r="AB12" s="131"/>
      <c r="AC12" s="131"/>
      <c r="AD12" s="131"/>
      <c r="AE12" s="131"/>
      <c r="AF12" s="131"/>
      <c r="AG12" s="131"/>
      <c r="AH12" s="131"/>
      <c r="AI12" s="131"/>
      <c r="AJ12" s="131"/>
      <c r="AK12" s="131"/>
      <c r="AL12" s="131"/>
      <c r="AM12" s="131"/>
      <c r="AN12" s="131"/>
      <c r="AO12" s="131"/>
      <c r="AP12" s="131"/>
      <c r="AQ12" s="131"/>
    </row>
    <row r="13" spans="1:43" x14ac:dyDescent="0.55000000000000004">
      <c r="A13" s="210">
        <v>69</v>
      </c>
      <c r="B13" s="210" t="s">
        <v>1326</v>
      </c>
      <c r="C13" s="210" t="s">
        <v>1327</v>
      </c>
      <c r="D13" s="211">
        <v>0</v>
      </c>
      <c r="E13" s="131" t="s">
        <v>3753</v>
      </c>
      <c r="F13" s="214">
        <v>0.3298611111111111</v>
      </c>
      <c r="G13" s="131"/>
      <c r="H13" s="131">
        <v>0</v>
      </c>
      <c r="I13" s="131">
        <v>97478</v>
      </c>
      <c r="J13" s="212">
        <v>32124</v>
      </c>
      <c r="K13" s="131">
        <v>35.6</v>
      </c>
      <c r="L13" s="131">
        <v>93.1</v>
      </c>
      <c r="M13" s="131">
        <v>11.4</v>
      </c>
      <c r="N13" s="131">
        <v>28.2</v>
      </c>
      <c r="O13" s="131">
        <v>63.3</v>
      </c>
      <c r="P13" s="131">
        <v>85</v>
      </c>
      <c r="Q13" s="131">
        <v>14.8</v>
      </c>
      <c r="R13" s="131"/>
      <c r="S13" s="131">
        <v>7.3</v>
      </c>
      <c r="T13" s="131">
        <v>1</v>
      </c>
      <c r="U13" s="131">
        <v>2</v>
      </c>
      <c r="V13" s="131">
        <v>100</v>
      </c>
      <c r="W13" s="131">
        <v>7.2</v>
      </c>
      <c r="X13" s="217"/>
      <c r="Y13" s="131"/>
      <c r="Z13" s="131"/>
      <c r="AA13" s="131"/>
      <c r="AB13" s="131"/>
      <c r="AC13" s="131"/>
      <c r="AD13" s="131"/>
      <c r="AE13" s="131"/>
      <c r="AF13" s="131"/>
      <c r="AG13" s="131"/>
      <c r="AH13" s="131"/>
      <c r="AI13" s="131"/>
      <c r="AJ13" s="131"/>
      <c r="AK13" s="131"/>
      <c r="AL13" s="131"/>
      <c r="AM13" s="131"/>
      <c r="AN13" s="131"/>
      <c r="AO13" s="131"/>
      <c r="AP13" s="131"/>
      <c r="AQ13" s="131"/>
    </row>
    <row r="14" spans="1:43" x14ac:dyDescent="0.55000000000000004">
      <c r="A14" s="210">
        <v>70</v>
      </c>
      <c r="B14" s="210" t="s">
        <v>1189</v>
      </c>
      <c r="C14" s="210" t="s">
        <v>1334</v>
      </c>
      <c r="D14" s="211">
        <v>3</v>
      </c>
      <c r="E14" s="120" t="s">
        <v>3754</v>
      </c>
      <c r="F14" s="218">
        <v>0.54166666666666663</v>
      </c>
      <c r="G14" s="218">
        <v>0.61458333333333337</v>
      </c>
      <c r="H14" s="120">
        <v>1</v>
      </c>
      <c r="I14" s="120">
        <v>70737</v>
      </c>
      <c r="J14" s="212">
        <v>28474</v>
      </c>
      <c r="K14" s="216">
        <v>32.5</v>
      </c>
      <c r="L14" s="216">
        <v>80.599999999999994</v>
      </c>
      <c r="M14" s="216">
        <v>12.3</v>
      </c>
      <c r="N14" s="216">
        <v>20.3</v>
      </c>
      <c r="O14" s="216">
        <v>63</v>
      </c>
      <c r="P14" s="216">
        <v>80.7</v>
      </c>
      <c r="Q14" s="216">
        <v>12.2</v>
      </c>
      <c r="R14" s="216"/>
      <c r="S14" s="120"/>
      <c r="T14" s="120">
        <v>10</v>
      </c>
      <c r="U14" s="120">
        <v>5</v>
      </c>
      <c r="V14" s="120">
        <v>43</v>
      </c>
      <c r="W14" s="120">
        <v>36.4</v>
      </c>
      <c r="X14" s="217"/>
      <c r="Y14" s="131"/>
      <c r="Z14" s="131"/>
      <c r="AA14" s="131"/>
      <c r="AB14" s="131"/>
      <c r="AC14" s="131"/>
      <c r="AD14" s="131"/>
      <c r="AE14" s="131"/>
      <c r="AF14" s="131"/>
      <c r="AG14" s="131"/>
      <c r="AH14" s="131"/>
      <c r="AI14" s="131"/>
      <c r="AJ14" s="131"/>
      <c r="AK14" s="131"/>
      <c r="AL14" s="131"/>
      <c r="AM14" s="131"/>
      <c r="AN14" s="131"/>
      <c r="AO14" s="131"/>
      <c r="AP14" s="131"/>
      <c r="AQ14" s="131"/>
    </row>
    <row r="15" spans="1:43" x14ac:dyDescent="0.55000000000000004">
      <c r="A15" s="210" t="s">
        <v>3755</v>
      </c>
      <c r="B15" s="210" t="s">
        <v>3756</v>
      </c>
      <c r="C15" s="210" t="s">
        <v>878</v>
      </c>
      <c r="D15" s="211">
        <v>0</v>
      </c>
      <c r="E15" s="131" t="s">
        <v>3753</v>
      </c>
      <c r="F15" s="214">
        <v>0.47222222222222221</v>
      </c>
      <c r="G15" s="214">
        <v>0.50555555555555554</v>
      </c>
      <c r="H15" s="131">
        <v>0</v>
      </c>
      <c r="I15" s="131">
        <v>80123</v>
      </c>
      <c r="J15" s="212">
        <v>41552</v>
      </c>
      <c r="K15" s="131">
        <v>36.1</v>
      </c>
      <c r="L15" s="131">
        <v>90.5</v>
      </c>
      <c r="M15" s="131">
        <v>7.3</v>
      </c>
      <c r="N15" s="131">
        <v>25.6</v>
      </c>
      <c r="O15" s="131">
        <v>70.900000000000006</v>
      </c>
      <c r="P15" s="131">
        <v>18.2</v>
      </c>
      <c r="Q15" s="131">
        <v>29.7</v>
      </c>
      <c r="R15" s="131"/>
      <c r="S15" s="131">
        <v>6.8</v>
      </c>
      <c r="T15" s="131">
        <v>9</v>
      </c>
      <c r="U15" s="131">
        <v>1</v>
      </c>
      <c r="V15" s="131">
        <v>80</v>
      </c>
      <c r="W15" s="131">
        <v>2.2000000000000002</v>
      </c>
      <c r="X15" s="217"/>
      <c r="Y15" s="131"/>
      <c r="Z15" s="131"/>
      <c r="AA15" s="131"/>
      <c r="AB15" s="131"/>
      <c r="AC15" s="131"/>
      <c r="AD15" s="131"/>
      <c r="AE15" s="131"/>
      <c r="AF15" s="131"/>
      <c r="AG15" s="131"/>
      <c r="AH15" s="131"/>
      <c r="AI15" s="131"/>
      <c r="AJ15" s="131"/>
      <c r="AK15" s="131"/>
      <c r="AL15" s="131"/>
      <c r="AM15" s="131"/>
      <c r="AN15" s="131"/>
      <c r="AO15" s="131"/>
      <c r="AP15" s="131"/>
      <c r="AQ15" s="131"/>
    </row>
    <row r="16" spans="1:43" x14ac:dyDescent="0.55000000000000004">
      <c r="A16" s="210">
        <v>73</v>
      </c>
      <c r="B16" s="210" t="s">
        <v>1354</v>
      </c>
      <c r="C16" s="210" t="s">
        <v>1355</v>
      </c>
      <c r="D16" s="211">
        <v>4</v>
      </c>
      <c r="E16" s="120" t="s">
        <v>3747</v>
      </c>
      <c r="F16" s="218">
        <v>0.21944444444444444</v>
      </c>
      <c r="G16" s="218">
        <v>0.22500000000000001</v>
      </c>
      <c r="H16" s="120">
        <v>0</v>
      </c>
      <c r="I16" s="120">
        <v>89119</v>
      </c>
      <c r="J16" s="212">
        <v>49445</v>
      </c>
      <c r="K16" s="120">
        <v>33.200000000000003</v>
      </c>
      <c r="L16" s="120">
        <v>51.2</v>
      </c>
      <c r="M16" s="120">
        <v>12.4</v>
      </c>
      <c r="N16" s="120">
        <v>78.400000000000006</v>
      </c>
      <c r="O16" s="120">
        <v>62.9</v>
      </c>
      <c r="P16" s="120">
        <v>34.200000000000003</v>
      </c>
      <c r="Q16" s="120">
        <v>2.6</v>
      </c>
      <c r="R16" s="120"/>
      <c r="S16" s="120">
        <v>0.6</v>
      </c>
      <c r="T16" s="120">
        <v>5</v>
      </c>
      <c r="U16" s="120">
        <v>0</v>
      </c>
      <c r="V16" s="219">
        <v>2353</v>
      </c>
      <c r="W16" s="120">
        <v>12.8</v>
      </c>
      <c r="X16" s="213"/>
      <c r="Y16" s="120"/>
      <c r="Z16" s="120"/>
      <c r="AA16" s="120"/>
      <c r="AB16" s="120"/>
      <c r="AC16" s="120"/>
      <c r="AD16" s="120"/>
      <c r="AE16" s="120"/>
      <c r="AF16" s="120"/>
      <c r="AG16" s="120"/>
      <c r="AH16" s="120"/>
      <c r="AI16" s="120"/>
      <c r="AJ16" s="120"/>
      <c r="AK16" s="120"/>
      <c r="AL16" s="120"/>
      <c r="AM16" s="120"/>
      <c r="AN16" s="120"/>
      <c r="AO16" s="120"/>
      <c r="AP16" s="120"/>
      <c r="AQ16" s="120"/>
    </row>
    <row r="17" spans="1:43" x14ac:dyDescent="0.55000000000000004">
      <c r="A17" s="210">
        <v>74</v>
      </c>
      <c r="B17" s="210" t="s">
        <v>1364</v>
      </c>
      <c r="C17" s="210" t="s">
        <v>913</v>
      </c>
      <c r="D17" s="211">
        <v>6</v>
      </c>
      <c r="E17" s="131" t="s">
        <v>3746</v>
      </c>
      <c r="F17" s="214">
        <v>0.625</v>
      </c>
      <c r="G17" s="214">
        <v>0.83333333333333337</v>
      </c>
      <c r="H17" s="131">
        <v>1</v>
      </c>
      <c r="I17" s="131">
        <v>30305</v>
      </c>
      <c r="J17" s="212">
        <v>21380</v>
      </c>
      <c r="K17" s="131">
        <v>37.700000000000003</v>
      </c>
      <c r="L17" s="131">
        <v>91.5</v>
      </c>
      <c r="M17" s="131">
        <v>3.4</v>
      </c>
      <c r="N17" s="131">
        <v>47.4</v>
      </c>
      <c r="O17" s="131">
        <v>67.3</v>
      </c>
      <c r="P17" s="131">
        <v>94.8</v>
      </c>
      <c r="Q17" s="131">
        <v>69.3</v>
      </c>
      <c r="R17" s="131"/>
      <c r="S17" s="131">
        <v>3.7</v>
      </c>
      <c r="T17" s="131">
        <v>7</v>
      </c>
      <c r="U17" s="131">
        <v>0</v>
      </c>
      <c r="V17" s="212">
        <v>1500</v>
      </c>
      <c r="W17" s="131"/>
      <c r="X17" s="213"/>
      <c r="Y17" s="120"/>
      <c r="Z17" s="120"/>
      <c r="AA17" s="120"/>
      <c r="AB17" s="120"/>
      <c r="AC17" s="120"/>
      <c r="AD17" s="120"/>
      <c r="AE17" s="120"/>
      <c r="AF17" s="120"/>
      <c r="AG17" s="120"/>
      <c r="AH17" s="120"/>
      <c r="AI17" s="120"/>
      <c r="AJ17" s="120"/>
      <c r="AK17" s="120"/>
      <c r="AL17" s="120"/>
      <c r="AM17" s="120"/>
      <c r="AN17" s="120"/>
      <c r="AO17" s="120"/>
      <c r="AP17" s="120"/>
      <c r="AQ17" s="120"/>
    </row>
    <row r="18" spans="1:43" x14ac:dyDescent="0.55000000000000004">
      <c r="A18" s="210">
        <v>75</v>
      </c>
      <c r="B18" s="210" t="s">
        <v>1371</v>
      </c>
      <c r="C18" s="210" t="s">
        <v>1372</v>
      </c>
      <c r="D18" s="211">
        <v>3</v>
      </c>
      <c r="E18" s="120" t="s">
        <v>3754</v>
      </c>
      <c r="F18" s="218">
        <v>0.79166666666666663</v>
      </c>
      <c r="G18" s="120"/>
      <c r="H18" s="120">
        <v>2</v>
      </c>
      <c r="I18" s="120">
        <v>76133</v>
      </c>
      <c r="J18" s="212">
        <v>46073</v>
      </c>
      <c r="K18" s="216">
        <v>36</v>
      </c>
      <c r="L18" s="216">
        <v>70.7</v>
      </c>
      <c r="M18" s="216">
        <v>12.6</v>
      </c>
      <c r="N18" s="216">
        <v>32.799999999999997</v>
      </c>
      <c r="O18" s="216">
        <v>64</v>
      </c>
      <c r="P18" s="216">
        <v>86.1</v>
      </c>
      <c r="Q18" s="216">
        <v>31.2</v>
      </c>
      <c r="R18" s="216"/>
      <c r="S18" s="120">
        <v>2.9</v>
      </c>
      <c r="T18" s="120">
        <v>3</v>
      </c>
      <c r="U18" s="120">
        <v>1</v>
      </c>
      <c r="V18" s="219">
        <v>1242</v>
      </c>
      <c r="W18" s="120"/>
      <c r="X18" s="217"/>
      <c r="Y18" s="131"/>
      <c r="Z18" s="131"/>
      <c r="AA18" s="131"/>
      <c r="AB18" s="131"/>
      <c r="AC18" s="131"/>
      <c r="AD18" s="131"/>
      <c r="AE18" s="131"/>
      <c r="AF18" s="131"/>
      <c r="AG18" s="131"/>
      <c r="AH18" s="131"/>
      <c r="AI18" s="131"/>
      <c r="AJ18" s="131"/>
      <c r="AK18" s="131"/>
      <c r="AL18" s="131"/>
      <c r="AM18" s="131"/>
      <c r="AN18" s="131"/>
      <c r="AO18" s="131"/>
      <c r="AP18" s="131"/>
      <c r="AQ18" s="131"/>
    </row>
    <row r="19" spans="1:43" x14ac:dyDescent="0.55000000000000004">
      <c r="A19" s="210">
        <v>76</v>
      </c>
      <c r="B19" s="210" t="s">
        <v>1378</v>
      </c>
      <c r="C19" s="210" t="s">
        <v>3757</v>
      </c>
      <c r="D19" s="211">
        <v>6</v>
      </c>
      <c r="E19" s="131" t="s">
        <v>3746</v>
      </c>
      <c r="F19" s="214">
        <v>0.33333333333333331</v>
      </c>
      <c r="G19" s="214">
        <v>0.625</v>
      </c>
      <c r="H19" s="131">
        <v>0</v>
      </c>
      <c r="I19" s="131">
        <v>96813</v>
      </c>
      <c r="J19" s="212">
        <v>21435</v>
      </c>
      <c r="K19" s="131">
        <v>41</v>
      </c>
      <c r="L19" s="131">
        <v>20.6</v>
      </c>
      <c r="M19" s="131">
        <v>11</v>
      </c>
      <c r="N19" s="131">
        <v>58.9</v>
      </c>
      <c r="O19" s="131">
        <v>50.6</v>
      </c>
      <c r="P19" s="131">
        <v>82</v>
      </c>
      <c r="Q19" s="131">
        <v>29.9</v>
      </c>
      <c r="R19" s="131"/>
      <c r="S19" s="131">
        <v>1.1000000000000001</v>
      </c>
      <c r="T19" s="131">
        <v>3</v>
      </c>
      <c r="U19" s="131">
        <v>2</v>
      </c>
      <c r="V19" s="212">
        <v>2700</v>
      </c>
      <c r="W19" s="131">
        <v>1.94</v>
      </c>
      <c r="X19" s="213"/>
      <c r="Y19" s="120"/>
      <c r="Z19" s="120"/>
      <c r="AA19" s="120"/>
      <c r="AB19" s="120"/>
      <c r="AC19" s="120"/>
      <c r="AD19" s="120"/>
      <c r="AE19" s="120"/>
      <c r="AF19" s="120"/>
      <c r="AG19" s="120"/>
      <c r="AH19" s="120"/>
      <c r="AI19" s="120"/>
      <c r="AJ19" s="120"/>
      <c r="AK19" s="120"/>
      <c r="AL19" s="120"/>
      <c r="AM19" s="120"/>
      <c r="AN19" s="120"/>
      <c r="AO19" s="120"/>
      <c r="AP19" s="120"/>
      <c r="AQ19" s="120"/>
    </row>
    <row r="20" spans="1:43" x14ac:dyDescent="0.55000000000000004">
      <c r="A20" s="210">
        <v>77</v>
      </c>
      <c r="B20" s="210" t="s">
        <v>1386</v>
      </c>
      <c r="C20" s="210" t="s">
        <v>1387</v>
      </c>
      <c r="D20" s="211">
        <v>6</v>
      </c>
      <c r="E20" s="131" t="s">
        <v>3758</v>
      </c>
      <c r="F20" s="214">
        <v>0.63194444444444442</v>
      </c>
      <c r="G20" s="131"/>
      <c r="H20" s="131">
        <v>1</v>
      </c>
      <c r="I20" s="131">
        <v>33607</v>
      </c>
      <c r="J20" s="212">
        <v>22801</v>
      </c>
      <c r="K20" s="131">
        <v>37.1</v>
      </c>
      <c r="L20" s="131">
        <v>50.2</v>
      </c>
      <c r="M20" s="131">
        <v>21.3</v>
      </c>
      <c r="N20" s="131">
        <v>48.7</v>
      </c>
      <c r="O20" s="131">
        <v>49</v>
      </c>
      <c r="P20" s="131">
        <v>62.3</v>
      </c>
      <c r="Q20" s="131">
        <v>14.4</v>
      </c>
      <c r="R20" s="131"/>
      <c r="S20" s="131">
        <v>5.3</v>
      </c>
      <c r="T20" s="131">
        <v>4</v>
      </c>
      <c r="U20" s="131">
        <v>0</v>
      </c>
      <c r="V20" s="131">
        <v>998</v>
      </c>
      <c r="W20" s="131">
        <v>13.55</v>
      </c>
      <c r="X20" s="213"/>
      <c r="Y20" s="120"/>
      <c r="Z20" s="120"/>
      <c r="AA20" s="120"/>
      <c r="AB20" s="120"/>
      <c r="AC20" s="120"/>
      <c r="AD20" s="120"/>
      <c r="AE20" s="120"/>
      <c r="AF20" s="120"/>
      <c r="AG20" s="120"/>
      <c r="AH20" s="120"/>
      <c r="AI20" s="120"/>
      <c r="AJ20" s="120"/>
      <c r="AK20" s="120"/>
      <c r="AL20" s="120"/>
      <c r="AM20" s="120"/>
      <c r="AN20" s="120"/>
      <c r="AO20" s="120"/>
      <c r="AP20" s="120"/>
      <c r="AQ20" s="120"/>
    </row>
    <row r="21" spans="1:43" ht="15.75" customHeight="1" x14ac:dyDescent="0.55000000000000004">
      <c r="A21" s="210">
        <v>78</v>
      </c>
      <c r="B21" s="210" t="s">
        <v>1139</v>
      </c>
      <c r="C21" s="210" t="s">
        <v>859</v>
      </c>
      <c r="D21" s="211">
        <v>6</v>
      </c>
      <c r="E21" s="131" t="s">
        <v>3746</v>
      </c>
      <c r="F21" s="131"/>
      <c r="G21" s="131"/>
      <c r="H21" s="131"/>
      <c r="I21" s="131">
        <v>75062</v>
      </c>
      <c r="J21" s="212">
        <v>41566</v>
      </c>
      <c r="K21" s="131">
        <v>32</v>
      </c>
      <c r="L21" s="131">
        <v>67.599999999999994</v>
      </c>
      <c r="M21" s="131">
        <v>11.6</v>
      </c>
      <c r="N21" s="131">
        <v>53.6</v>
      </c>
      <c r="O21" s="131">
        <v>69</v>
      </c>
      <c r="P21" s="131">
        <v>81.5</v>
      </c>
      <c r="Q21" s="131">
        <v>28.3</v>
      </c>
      <c r="R21" s="131"/>
      <c r="S21" s="131">
        <v>9.8000000000000007</v>
      </c>
      <c r="T21" s="131">
        <v>0</v>
      </c>
      <c r="U21" s="131">
        <v>0</v>
      </c>
      <c r="V21" s="131">
        <v>39</v>
      </c>
      <c r="W21" s="131">
        <v>3.1</v>
      </c>
      <c r="X21" s="213"/>
      <c r="Y21" s="120"/>
      <c r="Z21" s="120"/>
      <c r="AA21" s="120"/>
      <c r="AB21" s="120"/>
      <c r="AC21" s="120"/>
      <c r="AD21" s="120"/>
      <c r="AE21" s="120"/>
      <c r="AF21" s="120"/>
      <c r="AG21" s="120"/>
      <c r="AH21" s="120"/>
      <c r="AI21" s="120"/>
      <c r="AJ21" s="120"/>
      <c r="AK21" s="120"/>
      <c r="AL21" s="120"/>
      <c r="AM21" s="120"/>
      <c r="AN21" s="120"/>
      <c r="AO21" s="120"/>
      <c r="AP21" s="120"/>
      <c r="AQ21" s="120"/>
    </row>
    <row r="22" spans="1:43" ht="15.75" customHeight="1" x14ac:dyDescent="0.55000000000000004">
      <c r="A22" s="210">
        <v>79</v>
      </c>
      <c r="B22" s="210" t="s">
        <v>1394</v>
      </c>
      <c r="C22" s="210" t="s">
        <v>1095</v>
      </c>
      <c r="D22" s="211">
        <v>7</v>
      </c>
      <c r="E22" s="120" t="s">
        <v>3759</v>
      </c>
      <c r="F22" s="218">
        <v>0.58333333333333337</v>
      </c>
      <c r="G22" s="218">
        <v>0.63541666666666663</v>
      </c>
      <c r="H22" s="120">
        <v>1</v>
      </c>
      <c r="I22" s="131">
        <v>15205</v>
      </c>
      <c r="J22" s="212">
        <v>22586</v>
      </c>
      <c r="K22" s="131">
        <v>37.799999999999997</v>
      </c>
      <c r="L22" s="131">
        <v>87.3</v>
      </c>
      <c r="M22" s="131">
        <v>12.7</v>
      </c>
      <c r="N22" s="131">
        <v>38.6</v>
      </c>
      <c r="O22" s="131">
        <v>63.1</v>
      </c>
      <c r="P22" s="131">
        <v>87.7</v>
      </c>
      <c r="Q22" s="131">
        <v>26.5</v>
      </c>
      <c r="R22" s="131"/>
      <c r="S22" s="131"/>
      <c r="T22" s="131"/>
      <c r="U22" s="131"/>
      <c r="V22" s="131"/>
      <c r="W22" s="131"/>
      <c r="X22" s="213"/>
      <c r="Y22" s="120"/>
      <c r="Z22" s="120"/>
      <c r="AA22" s="120"/>
      <c r="AB22" s="120"/>
      <c r="AC22" s="120"/>
      <c r="AD22" s="120"/>
      <c r="AE22" s="120"/>
      <c r="AF22" s="120"/>
      <c r="AG22" s="120"/>
      <c r="AH22" s="120"/>
      <c r="AI22" s="120"/>
      <c r="AJ22" s="120"/>
      <c r="AK22" s="120"/>
      <c r="AL22" s="120"/>
      <c r="AM22" s="120"/>
      <c r="AN22" s="120"/>
      <c r="AO22" s="120"/>
      <c r="AP22" s="120"/>
      <c r="AQ22" s="120"/>
    </row>
    <row r="23" spans="1:43" ht="15.75" customHeight="1" x14ac:dyDescent="0.55000000000000004">
      <c r="A23" s="210">
        <v>80</v>
      </c>
      <c r="B23" s="210" t="s">
        <v>1401</v>
      </c>
      <c r="C23" s="210" t="s">
        <v>1046</v>
      </c>
      <c r="D23" s="211">
        <v>6</v>
      </c>
      <c r="E23" s="131" t="s">
        <v>3746</v>
      </c>
      <c r="F23" s="214">
        <v>0.45833333333333331</v>
      </c>
      <c r="G23" s="131"/>
      <c r="H23" s="131">
        <v>0</v>
      </c>
      <c r="I23" s="131" t="s">
        <v>3760</v>
      </c>
      <c r="J23" s="212">
        <v>24809</v>
      </c>
      <c r="K23" s="131">
        <v>38.9</v>
      </c>
      <c r="L23" s="131">
        <v>96.9</v>
      </c>
      <c r="M23" s="131">
        <v>9.6999999999999993</v>
      </c>
      <c r="N23" s="131">
        <v>28</v>
      </c>
      <c r="O23" s="131">
        <v>66.5</v>
      </c>
      <c r="P23" s="131">
        <v>90.6</v>
      </c>
      <c r="Q23" s="131">
        <v>39.700000000000003</v>
      </c>
      <c r="R23" s="131"/>
      <c r="S23" s="131">
        <v>4.0999999999999996</v>
      </c>
      <c r="T23" s="131">
        <v>4</v>
      </c>
      <c r="U23" s="131">
        <v>0</v>
      </c>
      <c r="V23" s="131"/>
      <c r="W23" s="131">
        <v>0</v>
      </c>
      <c r="X23" s="213"/>
      <c r="Y23" s="120"/>
      <c r="Z23" s="120"/>
      <c r="AA23" s="120"/>
      <c r="AB23" s="120"/>
      <c r="AC23" s="120"/>
      <c r="AD23" s="120"/>
      <c r="AE23" s="120"/>
      <c r="AF23" s="120"/>
      <c r="AG23" s="120"/>
      <c r="AH23" s="120"/>
      <c r="AI23" s="120"/>
      <c r="AJ23" s="120"/>
      <c r="AK23" s="120"/>
      <c r="AL23" s="120"/>
      <c r="AM23" s="120"/>
      <c r="AN23" s="120"/>
      <c r="AO23" s="120"/>
      <c r="AP23" s="120"/>
      <c r="AQ23" s="120"/>
    </row>
    <row r="24" spans="1:43" ht="15.75" customHeight="1" x14ac:dyDescent="0.55000000000000004">
      <c r="A24" s="210">
        <v>81</v>
      </c>
      <c r="B24" s="210" t="s">
        <v>1410</v>
      </c>
      <c r="C24" s="210" t="s">
        <v>1411</v>
      </c>
      <c r="D24" s="211">
        <v>4</v>
      </c>
      <c r="E24" s="120" t="s">
        <v>3747</v>
      </c>
      <c r="F24" s="218">
        <v>0.5</v>
      </c>
      <c r="G24" s="218">
        <v>0.5</v>
      </c>
      <c r="H24" s="120">
        <v>1</v>
      </c>
      <c r="I24" s="120">
        <v>77036</v>
      </c>
      <c r="J24" s="212">
        <v>76146</v>
      </c>
      <c r="K24" s="216">
        <v>28.3</v>
      </c>
      <c r="L24" s="216">
        <v>37.200000000000003</v>
      </c>
      <c r="M24" s="216">
        <v>16.899999999999999</v>
      </c>
      <c r="N24" s="216">
        <v>81.099999999999994</v>
      </c>
      <c r="O24" s="216">
        <v>58.5</v>
      </c>
      <c r="P24" s="216">
        <v>64.900000000000006</v>
      </c>
      <c r="Q24" s="216">
        <v>21.1</v>
      </c>
      <c r="R24" s="216"/>
      <c r="S24" s="120">
        <v>1.9</v>
      </c>
      <c r="T24" s="120">
        <v>5</v>
      </c>
      <c r="U24" s="120">
        <v>2</v>
      </c>
      <c r="V24" s="219">
        <v>4905</v>
      </c>
      <c r="W24" s="120">
        <v>13.4</v>
      </c>
      <c r="X24" s="217"/>
      <c r="Y24" s="131"/>
      <c r="Z24" s="131"/>
      <c r="AA24" s="131"/>
      <c r="AB24" s="131"/>
      <c r="AC24" s="131"/>
      <c r="AD24" s="131"/>
      <c r="AE24" s="131"/>
      <c r="AF24" s="131"/>
      <c r="AG24" s="131"/>
      <c r="AH24" s="131"/>
      <c r="AI24" s="131"/>
      <c r="AJ24" s="131"/>
      <c r="AK24" s="131"/>
      <c r="AL24" s="131"/>
      <c r="AM24" s="131"/>
      <c r="AN24" s="131"/>
      <c r="AO24" s="131"/>
      <c r="AP24" s="131"/>
      <c r="AQ24" s="131"/>
    </row>
    <row r="25" spans="1:43" ht="15.75" customHeight="1" x14ac:dyDescent="0.55000000000000004">
      <c r="A25" s="210">
        <v>82</v>
      </c>
      <c r="B25" s="210" t="s">
        <v>1414</v>
      </c>
      <c r="C25" s="210" t="s">
        <v>999</v>
      </c>
      <c r="D25" s="211">
        <v>6</v>
      </c>
      <c r="E25" s="131" t="s">
        <v>3746</v>
      </c>
      <c r="F25" s="214">
        <v>0.40625</v>
      </c>
      <c r="G25" s="214">
        <v>0.41458333333333336</v>
      </c>
      <c r="H25" s="131">
        <v>0</v>
      </c>
      <c r="I25" s="131">
        <v>60532</v>
      </c>
      <c r="J25" s="212">
        <v>27341</v>
      </c>
      <c r="K25" s="131">
        <v>33.700000000000003</v>
      </c>
      <c r="L25" s="131">
        <v>84</v>
      </c>
      <c r="M25" s="131">
        <v>6.3</v>
      </c>
      <c r="N25" s="131">
        <v>43.9</v>
      </c>
      <c r="O25" s="131">
        <v>73.400000000000006</v>
      </c>
      <c r="P25" s="131">
        <v>94.8</v>
      </c>
      <c r="Q25" s="131">
        <v>50.4</v>
      </c>
      <c r="R25" s="131"/>
      <c r="S25" s="131">
        <v>7.7</v>
      </c>
      <c r="T25" s="131">
        <v>5</v>
      </c>
      <c r="U25" s="131">
        <v>0</v>
      </c>
      <c r="V25" s="131">
        <v>43</v>
      </c>
      <c r="W25" s="131"/>
      <c r="X25" s="213"/>
      <c r="Y25" s="120"/>
      <c r="Z25" s="120"/>
      <c r="AA25" s="120"/>
      <c r="AB25" s="120"/>
      <c r="AC25" s="120"/>
      <c r="AD25" s="120"/>
      <c r="AE25" s="120"/>
      <c r="AF25" s="120"/>
      <c r="AG25" s="120"/>
      <c r="AH25" s="120"/>
      <c r="AI25" s="120"/>
      <c r="AJ25" s="120"/>
      <c r="AK25" s="120"/>
      <c r="AL25" s="120"/>
      <c r="AM25" s="120"/>
      <c r="AN25" s="120"/>
      <c r="AO25" s="120"/>
      <c r="AP25" s="120"/>
      <c r="AQ25" s="120"/>
    </row>
    <row r="26" spans="1:43" ht="15.75" customHeight="1" x14ac:dyDescent="0.55000000000000004">
      <c r="A26" s="210">
        <v>83</v>
      </c>
      <c r="B26" s="210" t="s">
        <v>1418</v>
      </c>
      <c r="C26" s="210" t="s">
        <v>1419</v>
      </c>
      <c r="D26" s="211">
        <v>4</v>
      </c>
      <c r="E26" s="131" t="s">
        <v>3747</v>
      </c>
      <c r="F26" s="214">
        <v>0</v>
      </c>
      <c r="G26" s="214">
        <v>3.472222222222222E-3</v>
      </c>
      <c r="H26" s="131">
        <v>3</v>
      </c>
      <c r="I26" s="131">
        <v>81650</v>
      </c>
      <c r="J26" s="212">
        <v>10319</v>
      </c>
      <c r="K26" s="131">
        <v>31.9</v>
      </c>
      <c r="L26" s="131">
        <v>89.4</v>
      </c>
      <c r="M26" s="131">
        <v>8</v>
      </c>
      <c r="N26" s="131">
        <v>34.9</v>
      </c>
      <c r="O26" s="131">
        <v>68.5</v>
      </c>
      <c r="P26" s="131">
        <v>82</v>
      </c>
      <c r="Q26" s="131">
        <v>14.5</v>
      </c>
      <c r="R26" s="131">
        <v>32.200000000000003</v>
      </c>
      <c r="S26" s="131">
        <v>29</v>
      </c>
      <c r="T26" s="131">
        <v>0</v>
      </c>
      <c r="U26" s="131">
        <v>2</v>
      </c>
      <c r="V26" s="131">
        <v>20</v>
      </c>
      <c r="W26" s="131"/>
      <c r="X26" s="213"/>
      <c r="Y26" s="120"/>
      <c r="Z26" s="120"/>
      <c r="AA26" s="120"/>
      <c r="AB26" s="120"/>
      <c r="AC26" s="120"/>
      <c r="AD26" s="120"/>
      <c r="AE26" s="120"/>
      <c r="AF26" s="120"/>
      <c r="AG26" s="120"/>
      <c r="AH26" s="120"/>
      <c r="AI26" s="120"/>
      <c r="AJ26" s="120"/>
      <c r="AK26" s="120"/>
      <c r="AL26" s="120"/>
      <c r="AM26" s="120"/>
      <c r="AN26" s="120"/>
      <c r="AO26" s="120"/>
      <c r="AP26" s="120"/>
      <c r="AQ26" s="120"/>
    </row>
    <row r="27" spans="1:43" ht="15.75" customHeight="1" x14ac:dyDescent="0.55000000000000004">
      <c r="A27" s="210">
        <v>84</v>
      </c>
      <c r="B27" s="210" t="s">
        <v>1226</v>
      </c>
      <c r="C27" s="210" t="s">
        <v>890</v>
      </c>
      <c r="D27" s="211">
        <v>6</v>
      </c>
      <c r="E27" s="120" t="s">
        <v>3746</v>
      </c>
      <c r="F27" s="218">
        <v>0.97083333333333333</v>
      </c>
      <c r="G27" s="218">
        <v>0.95833333333333337</v>
      </c>
      <c r="H27" s="120">
        <v>3</v>
      </c>
      <c r="I27" s="131">
        <v>95818</v>
      </c>
      <c r="J27" s="212">
        <v>21298</v>
      </c>
      <c r="K27" s="131">
        <v>37.4</v>
      </c>
      <c r="L27" s="131">
        <v>60.8</v>
      </c>
      <c r="M27" s="131">
        <v>13</v>
      </c>
      <c r="N27" s="131">
        <v>49.2</v>
      </c>
      <c r="O27" s="131">
        <v>59.7</v>
      </c>
      <c r="P27" s="131">
        <v>83.5</v>
      </c>
      <c r="Q27" s="131">
        <v>37.1</v>
      </c>
      <c r="R27" s="220"/>
      <c r="S27" s="221"/>
      <c r="T27" s="221"/>
      <c r="U27" s="221"/>
      <c r="V27" s="221"/>
      <c r="W27" s="221"/>
      <c r="X27" s="213"/>
      <c r="Y27" s="120"/>
      <c r="Z27" s="120"/>
      <c r="AA27" s="120"/>
      <c r="AB27" s="120"/>
      <c r="AC27" s="120"/>
      <c r="AD27" s="120"/>
      <c r="AE27" s="120"/>
      <c r="AF27" s="120"/>
      <c r="AG27" s="120"/>
      <c r="AH27" s="120"/>
      <c r="AI27" s="120"/>
      <c r="AJ27" s="120"/>
      <c r="AK27" s="120"/>
      <c r="AL27" s="120"/>
      <c r="AM27" s="120"/>
      <c r="AN27" s="120"/>
      <c r="AO27" s="120"/>
      <c r="AP27" s="120"/>
      <c r="AQ27" s="120"/>
    </row>
    <row r="28" spans="1:43" ht="15.75" customHeight="1" x14ac:dyDescent="0.55000000000000004">
      <c r="A28" s="210">
        <v>85</v>
      </c>
      <c r="B28" s="210" t="s">
        <v>1430</v>
      </c>
      <c r="C28" s="210" t="s">
        <v>999</v>
      </c>
      <c r="D28" s="211">
        <v>6</v>
      </c>
      <c r="E28" s="131" t="s">
        <v>3746</v>
      </c>
      <c r="F28" s="214">
        <v>0.33333333333333331</v>
      </c>
      <c r="G28" s="131"/>
      <c r="H28" s="131">
        <v>0</v>
      </c>
      <c r="I28" s="131">
        <v>46628</v>
      </c>
      <c r="J28" s="212">
        <v>26726</v>
      </c>
      <c r="K28" s="131">
        <v>34</v>
      </c>
      <c r="L28" s="131">
        <v>63.7</v>
      </c>
      <c r="M28" s="131">
        <v>18.3</v>
      </c>
      <c r="N28" s="131">
        <v>30.2</v>
      </c>
      <c r="O28" s="131">
        <v>62.9</v>
      </c>
      <c r="P28" s="131">
        <v>79.3</v>
      </c>
      <c r="Q28" s="131">
        <v>18.399999999999999</v>
      </c>
      <c r="R28" s="131"/>
      <c r="S28" s="131">
        <v>3.8</v>
      </c>
      <c r="T28" s="131">
        <v>1</v>
      </c>
      <c r="U28" s="131">
        <v>0</v>
      </c>
      <c r="V28" s="131">
        <v>255</v>
      </c>
      <c r="W28" s="131">
        <v>19.37</v>
      </c>
      <c r="X28" s="213"/>
      <c r="Y28" s="120"/>
      <c r="Z28" s="120"/>
      <c r="AA28" s="120"/>
      <c r="AB28" s="120"/>
      <c r="AC28" s="120"/>
      <c r="AD28" s="120"/>
      <c r="AE28" s="120"/>
      <c r="AF28" s="120"/>
      <c r="AG28" s="120"/>
      <c r="AH28" s="120"/>
      <c r="AI28" s="120"/>
      <c r="AJ28" s="120"/>
      <c r="AK28" s="120"/>
      <c r="AL28" s="120"/>
      <c r="AM28" s="120"/>
      <c r="AN28" s="120"/>
      <c r="AO28" s="120"/>
      <c r="AP28" s="120"/>
      <c r="AQ28" s="120"/>
    </row>
    <row r="29" spans="1:43" ht="15.75" customHeight="1" x14ac:dyDescent="0.55000000000000004">
      <c r="A29" s="210">
        <v>86</v>
      </c>
      <c r="B29" s="210" t="s">
        <v>1435</v>
      </c>
      <c r="C29" s="210" t="s">
        <v>1436</v>
      </c>
      <c r="D29" s="211">
        <v>6</v>
      </c>
      <c r="E29" s="131" t="s">
        <v>3761</v>
      </c>
      <c r="F29" s="214">
        <v>0.27083333333333331</v>
      </c>
      <c r="G29" s="214">
        <v>0.60416666666666663</v>
      </c>
      <c r="H29" s="131">
        <v>0</v>
      </c>
      <c r="I29" s="131">
        <v>35805</v>
      </c>
      <c r="J29" s="212">
        <v>21096</v>
      </c>
      <c r="K29" s="131">
        <v>32.5</v>
      </c>
      <c r="L29" s="131">
        <v>58.1</v>
      </c>
      <c r="M29" s="131">
        <v>19.8</v>
      </c>
      <c r="N29" s="131">
        <v>63.8</v>
      </c>
      <c r="O29" s="131">
        <v>57.5</v>
      </c>
      <c r="P29" s="131">
        <v>71</v>
      </c>
      <c r="Q29" s="131">
        <v>11.4</v>
      </c>
      <c r="R29" s="131">
        <v>30.6</v>
      </c>
      <c r="S29" s="131">
        <v>1.5</v>
      </c>
      <c r="T29" s="131">
        <v>1</v>
      </c>
      <c r="U29" s="131">
        <v>0</v>
      </c>
      <c r="V29" s="131">
        <v>369</v>
      </c>
      <c r="W29" s="131">
        <v>3.1</v>
      </c>
      <c r="X29" s="213"/>
      <c r="Y29" s="120"/>
      <c r="Z29" s="120"/>
      <c r="AA29" s="120"/>
      <c r="AB29" s="120"/>
      <c r="AC29" s="120"/>
      <c r="AD29" s="120"/>
      <c r="AE29" s="120"/>
      <c r="AF29" s="120"/>
      <c r="AG29" s="120"/>
      <c r="AH29" s="120"/>
      <c r="AI29" s="120"/>
      <c r="AJ29" s="120"/>
      <c r="AK29" s="120"/>
      <c r="AL29" s="120"/>
      <c r="AM29" s="120"/>
      <c r="AN29" s="120"/>
      <c r="AO29" s="120"/>
      <c r="AP29" s="120"/>
      <c r="AQ29" s="120"/>
    </row>
    <row r="30" spans="1:43" ht="15.75" customHeight="1" x14ac:dyDescent="0.55000000000000004">
      <c r="A30" s="210">
        <v>87</v>
      </c>
      <c r="B30" s="210" t="s">
        <v>1441</v>
      </c>
      <c r="C30" s="210" t="s">
        <v>1442</v>
      </c>
      <c r="D30" s="211">
        <v>6</v>
      </c>
      <c r="E30" s="131" t="s">
        <v>3746</v>
      </c>
      <c r="F30" s="214">
        <v>0.40277777777777779</v>
      </c>
      <c r="G30" s="131"/>
      <c r="H30" s="131">
        <v>0</v>
      </c>
      <c r="I30" s="131">
        <v>39301</v>
      </c>
      <c r="J30" s="212">
        <v>28485</v>
      </c>
      <c r="K30" s="131">
        <v>34.1</v>
      </c>
      <c r="L30" s="131">
        <v>51</v>
      </c>
      <c r="M30" s="131">
        <v>21.9</v>
      </c>
      <c r="N30" s="131">
        <v>39.200000000000003</v>
      </c>
      <c r="O30" s="131">
        <v>50.7</v>
      </c>
      <c r="P30" s="131">
        <v>67</v>
      </c>
      <c r="Q30" s="131">
        <v>11.2</v>
      </c>
      <c r="R30" s="131"/>
      <c r="S30" s="131">
        <v>6.2</v>
      </c>
      <c r="T30" s="131">
        <v>7</v>
      </c>
      <c r="U30" s="131">
        <v>3</v>
      </c>
      <c r="V30" s="131">
        <v>115</v>
      </c>
      <c r="W30" s="131">
        <v>4.95</v>
      </c>
      <c r="X30" s="213"/>
      <c r="Y30" s="120"/>
      <c r="Z30" s="120"/>
      <c r="AA30" s="120"/>
      <c r="AB30" s="120"/>
      <c r="AC30" s="120"/>
      <c r="AD30" s="120"/>
      <c r="AE30" s="120"/>
      <c r="AF30" s="120"/>
      <c r="AG30" s="120"/>
      <c r="AH30" s="120"/>
      <c r="AI30" s="120"/>
      <c r="AJ30" s="120"/>
      <c r="AK30" s="120"/>
      <c r="AL30" s="120"/>
      <c r="AM30" s="120"/>
      <c r="AN30" s="120"/>
      <c r="AO30" s="120"/>
      <c r="AP30" s="120"/>
      <c r="AQ30" s="120"/>
    </row>
    <row r="31" spans="1:43" ht="15.75" customHeight="1" x14ac:dyDescent="0.55000000000000004">
      <c r="A31" s="210">
        <v>88</v>
      </c>
      <c r="B31" s="210" t="s">
        <v>1448</v>
      </c>
      <c r="C31" s="210" t="s">
        <v>1449</v>
      </c>
      <c r="D31" s="211">
        <v>6</v>
      </c>
      <c r="E31" s="131" t="s">
        <v>3746</v>
      </c>
      <c r="F31" s="214">
        <v>0.35902777777777778</v>
      </c>
      <c r="G31" s="131"/>
      <c r="H31" s="131">
        <v>0</v>
      </c>
      <c r="I31" s="131">
        <v>60609</v>
      </c>
      <c r="J31" s="212">
        <v>2896016</v>
      </c>
      <c r="K31" s="131">
        <v>31.5</v>
      </c>
      <c r="L31" s="131">
        <v>42</v>
      </c>
      <c r="M31" s="131">
        <v>18.899999999999999</v>
      </c>
      <c r="N31" s="131">
        <v>56.2</v>
      </c>
      <c r="O31" s="131">
        <v>55.1</v>
      </c>
      <c r="P31" s="131">
        <v>71.8</v>
      </c>
      <c r="Q31" s="131">
        <v>25.5</v>
      </c>
      <c r="R31" s="131"/>
      <c r="S31" s="131"/>
      <c r="T31" s="131"/>
      <c r="U31" s="131"/>
      <c r="V31" s="212">
        <v>13400</v>
      </c>
      <c r="W31" s="131">
        <v>22.04</v>
      </c>
      <c r="X31" s="213"/>
      <c r="Y31" s="120"/>
      <c r="Z31" s="120"/>
      <c r="AA31" s="120"/>
      <c r="AB31" s="120"/>
      <c r="AC31" s="120"/>
      <c r="AD31" s="120"/>
      <c r="AE31" s="120"/>
      <c r="AF31" s="120"/>
      <c r="AG31" s="120"/>
      <c r="AH31" s="120"/>
      <c r="AI31" s="120"/>
      <c r="AJ31" s="120"/>
      <c r="AK31" s="120"/>
      <c r="AL31" s="120"/>
      <c r="AM31" s="120"/>
      <c r="AN31" s="120"/>
      <c r="AO31" s="120"/>
      <c r="AP31" s="120"/>
      <c r="AQ31" s="120"/>
    </row>
    <row r="32" spans="1:43" ht="15.75" customHeight="1" x14ac:dyDescent="0.55000000000000004">
      <c r="A32" s="210">
        <v>89</v>
      </c>
      <c r="B32" s="210" t="s">
        <v>1454</v>
      </c>
      <c r="C32" s="210" t="s">
        <v>1455</v>
      </c>
      <c r="D32" s="211">
        <v>5</v>
      </c>
      <c r="E32" s="131" t="s">
        <v>3762</v>
      </c>
      <c r="F32" s="214">
        <v>0.64583333333333337</v>
      </c>
      <c r="G32" s="214">
        <v>0.95833333333333337</v>
      </c>
      <c r="H32" s="131">
        <v>1</v>
      </c>
      <c r="I32" s="131">
        <v>83822</v>
      </c>
      <c r="J32" s="212">
        <v>1890</v>
      </c>
      <c r="K32" s="131">
        <v>38.299999999999997</v>
      </c>
      <c r="L32" s="131">
        <v>96</v>
      </c>
      <c r="M32" s="131">
        <v>7.7</v>
      </c>
      <c r="N32" s="131">
        <v>17</v>
      </c>
      <c r="O32" s="131">
        <v>51.2</v>
      </c>
      <c r="P32" s="131">
        <v>48.9</v>
      </c>
      <c r="Q32" s="131">
        <v>0</v>
      </c>
      <c r="R32" s="131">
        <v>29.1</v>
      </c>
      <c r="S32" s="131">
        <v>0.6</v>
      </c>
      <c r="T32" s="131">
        <v>0</v>
      </c>
      <c r="U32" s="131">
        <v>0</v>
      </c>
      <c r="V32" s="131">
        <v>16</v>
      </c>
      <c r="W32" s="131"/>
      <c r="X32" s="213"/>
      <c r="Y32" s="120"/>
      <c r="Z32" s="120"/>
      <c r="AA32" s="120"/>
      <c r="AB32" s="120"/>
      <c r="AC32" s="120"/>
      <c r="AD32" s="120"/>
      <c r="AE32" s="120"/>
      <c r="AF32" s="120"/>
      <c r="AG32" s="120"/>
      <c r="AH32" s="120"/>
      <c r="AI32" s="120"/>
      <c r="AJ32" s="120"/>
      <c r="AK32" s="120"/>
      <c r="AL32" s="120"/>
      <c r="AM32" s="120"/>
      <c r="AN32" s="120"/>
      <c r="AO32" s="120"/>
      <c r="AP32" s="120"/>
      <c r="AQ32" s="120"/>
    </row>
    <row r="33" spans="1:43" ht="15.75" customHeight="1" x14ac:dyDescent="0.55000000000000004">
      <c r="A33" s="210">
        <v>90</v>
      </c>
      <c r="B33" s="210" t="s">
        <v>1018</v>
      </c>
      <c r="C33" s="210" t="s">
        <v>1461</v>
      </c>
      <c r="D33" s="211">
        <v>6</v>
      </c>
      <c r="E33" s="131" t="s">
        <v>3746</v>
      </c>
      <c r="F33" s="131"/>
      <c r="G33" s="131"/>
      <c r="H33" s="131">
        <v>1</v>
      </c>
      <c r="I33" s="131">
        <v>66106</v>
      </c>
      <c r="J33" s="212">
        <v>24283</v>
      </c>
      <c r="K33" s="131">
        <v>32.299999999999997</v>
      </c>
      <c r="L33" s="131">
        <v>77.5</v>
      </c>
      <c r="M33" s="131">
        <v>16.3</v>
      </c>
      <c r="N33" s="131">
        <v>31.2</v>
      </c>
      <c r="O33" s="131">
        <v>62</v>
      </c>
      <c r="P33" s="131">
        <v>73.8</v>
      </c>
      <c r="Q33" s="131">
        <v>8.3000000000000007</v>
      </c>
      <c r="R33" s="131"/>
      <c r="S33" s="131">
        <v>6.3</v>
      </c>
      <c r="T33" s="131">
        <v>1</v>
      </c>
      <c r="U33" s="131">
        <v>0</v>
      </c>
      <c r="V33" s="131">
        <v>372</v>
      </c>
      <c r="W33" s="131"/>
      <c r="X33" s="213"/>
      <c r="Y33" s="120"/>
      <c r="Z33" s="120"/>
      <c r="AA33" s="120"/>
      <c r="AB33" s="120"/>
      <c r="AC33" s="120"/>
      <c r="AD33" s="120"/>
      <c r="AE33" s="120"/>
      <c r="AF33" s="120"/>
      <c r="AG33" s="120"/>
      <c r="AH33" s="120"/>
      <c r="AI33" s="120"/>
      <c r="AJ33" s="120"/>
      <c r="AK33" s="120"/>
      <c r="AL33" s="120"/>
      <c r="AM33" s="120"/>
      <c r="AN33" s="120"/>
      <c r="AO33" s="120"/>
      <c r="AP33" s="120"/>
      <c r="AQ33" s="120"/>
    </row>
    <row r="34" spans="1:43" ht="15.75" customHeight="1" x14ac:dyDescent="0.55000000000000004">
      <c r="A34" s="210">
        <v>91</v>
      </c>
      <c r="B34" s="210" t="s">
        <v>1467</v>
      </c>
      <c r="C34" s="210" t="s">
        <v>1468</v>
      </c>
      <c r="D34" s="211">
        <v>8</v>
      </c>
      <c r="E34" s="131" t="s">
        <v>3763</v>
      </c>
      <c r="F34" s="214">
        <v>0.54166666666666663</v>
      </c>
      <c r="G34" s="214">
        <v>0.75</v>
      </c>
      <c r="H34" s="131">
        <v>1</v>
      </c>
      <c r="I34" s="131">
        <v>54835</v>
      </c>
      <c r="J34" s="212">
        <v>16196</v>
      </c>
      <c r="K34" s="131">
        <v>42.1</v>
      </c>
      <c r="L34" s="131">
        <v>81.7</v>
      </c>
      <c r="M34" s="131">
        <v>10</v>
      </c>
      <c r="N34" s="131">
        <v>22.9</v>
      </c>
      <c r="O34" s="131">
        <v>56.4</v>
      </c>
      <c r="P34" s="131">
        <v>84.7</v>
      </c>
      <c r="Q34" s="131">
        <v>16.5</v>
      </c>
      <c r="R34" s="131">
        <v>13.2</v>
      </c>
      <c r="S34" s="131">
        <v>28.7</v>
      </c>
      <c r="T34" s="131">
        <v>3</v>
      </c>
      <c r="U34" s="131">
        <v>1</v>
      </c>
      <c r="V34" s="131"/>
      <c r="W34" s="131"/>
      <c r="X34" s="213"/>
      <c r="Y34" s="120"/>
      <c r="Z34" s="120"/>
      <c r="AA34" s="120"/>
      <c r="AB34" s="120"/>
      <c r="AC34" s="120"/>
      <c r="AD34" s="120"/>
      <c r="AE34" s="120"/>
      <c r="AF34" s="120"/>
      <c r="AG34" s="120"/>
      <c r="AH34" s="120"/>
      <c r="AI34" s="120"/>
      <c r="AJ34" s="120"/>
      <c r="AK34" s="120"/>
      <c r="AL34" s="120"/>
      <c r="AM34" s="120"/>
      <c r="AN34" s="120"/>
      <c r="AO34" s="120"/>
      <c r="AP34" s="120"/>
      <c r="AQ34" s="120"/>
    </row>
    <row r="35" spans="1:43" ht="15.75" customHeight="1" x14ac:dyDescent="0.55000000000000004">
      <c r="A35" s="210">
        <v>92</v>
      </c>
      <c r="B35" s="210" t="s">
        <v>1475</v>
      </c>
      <c r="C35" s="210" t="s">
        <v>1234</v>
      </c>
      <c r="D35" s="211">
        <v>5</v>
      </c>
      <c r="E35" s="131" t="s">
        <v>3762</v>
      </c>
      <c r="F35" s="214">
        <v>0.93055555555555558</v>
      </c>
      <c r="G35" s="131"/>
      <c r="H35" s="131">
        <v>3</v>
      </c>
      <c r="I35" s="131">
        <v>43229</v>
      </c>
      <c r="J35" s="212">
        <v>46347</v>
      </c>
      <c r="K35" s="131">
        <v>33.1</v>
      </c>
      <c r="L35" s="131">
        <v>48.8</v>
      </c>
      <c r="M35" s="131">
        <v>18.100000000000001</v>
      </c>
      <c r="N35" s="131">
        <v>57.5</v>
      </c>
      <c r="O35" s="131">
        <v>61.7</v>
      </c>
      <c r="P35" s="131">
        <v>31</v>
      </c>
      <c r="Q35" s="131">
        <v>10</v>
      </c>
      <c r="R35" s="131">
        <v>23.2</v>
      </c>
      <c r="S35" s="131">
        <v>5.0999999999999996</v>
      </c>
      <c r="T35" s="131">
        <v>4</v>
      </c>
      <c r="U35" s="131">
        <v>1</v>
      </c>
      <c r="V35" s="212">
        <v>1812</v>
      </c>
      <c r="W35" s="131">
        <v>15</v>
      </c>
      <c r="X35" s="213"/>
      <c r="Y35" s="120"/>
      <c r="Z35" s="120"/>
      <c r="AA35" s="120"/>
      <c r="AB35" s="120"/>
      <c r="AC35" s="120"/>
      <c r="AD35" s="120"/>
      <c r="AE35" s="120"/>
      <c r="AF35" s="120"/>
      <c r="AG35" s="120"/>
      <c r="AH35" s="120"/>
      <c r="AI35" s="120"/>
      <c r="AJ35" s="120"/>
      <c r="AK35" s="120"/>
      <c r="AL35" s="120"/>
      <c r="AM35" s="120"/>
      <c r="AN35" s="120"/>
      <c r="AO35" s="120"/>
      <c r="AP35" s="120"/>
      <c r="AQ35" s="120"/>
    </row>
    <row r="36" spans="1:43" ht="15.75" customHeight="1" x14ac:dyDescent="0.55000000000000004">
      <c r="A36" s="210">
        <v>93</v>
      </c>
      <c r="B36" s="210" t="s">
        <v>1484</v>
      </c>
      <c r="C36" s="210" t="s">
        <v>1485</v>
      </c>
      <c r="D36" s="211">
        <v>2</v>
      </c>
      <c r="E36" s="120" t="s">
        <v>3764</v>
      </c>
      <c r="F36" s="214">
        <v>0.37152777777777779</v>
      </c>
      <c r="G36" s="214">
        <v>0.47499999999999998</v>
      </c>
      <c r="H36" s="131">
        <v>0</v>
      </c>
      <c r="I36" s="131">
        <v>30303</v>
      </c>
      <c r="J36" s="212">
        <v>5934</v>
      </c>
      <c r="K36" s="131">
        <v>22</v>
      </c>
      <c r="L36" s="131">
        <v>30.1</v>
      </c>
      <c r="M36" s="131">
        <v>5.7</v>
      </c>
      <c r="N36" s="131">
        <v>80.2</v>
      </c>
      <c r="O36" s="131">
        <v>34.200000000000003</v>
      </c>
      <c r="P36" s="131">
        <v>10</v>
      </c>
      <c r="Q36" s="131">
        <v>8.9</v>
      </c>
      <c r="R36" s="131"/>
      <c r="S36" s="131">
        <v>0.9</v>
      </c>
      <c r="T36" s="131">
        <v>5</v>
      </c>
      <c r="U36" s="131">
        <v>0</v>
      </c>
      <c r="V36" s="212">
        <v>1500</v>
      </c>
      <c r="W36" s="131">
        <v>25.8</v>
      </c>
      <c r="X36" s="213"/>
      <c r="Y36" s="120"/>
      <c r="Z36" s="120"/>
      <c r="AA36" s="120"/>
      <c r="AB36" s="120"/>
      <c r="AC36" s="120"/>
      <c r="AD36" s="120"/>
      <c r="AE36" s="120"/>
      <c r="AF36" s="120"/>
      <c r="AG36" s="120"/>
      <c r="AH36" s="120"/>
      <c r="AI36" s="120"/>
      <c r="AJ36" s="120"/>
      <c r="AK36" s="120"/>
      <c r="AL36" s="120"/>
      <c r="AM36" s="120"/>
      <c r="AN36" s="120"/>
      <c r="AO36" s="120"/>
      <c r="AP36" s="120"/>
      <c r="AQ36" s="120"/>
    </row>
    <row r="37" spans="1:43" ht="15.75" customHeight="1" x14ac:dyDescent="0.55000000000000004">
      <c r="A37" s="210">
        <v>94</v>
      </c>
      <c r="B37" s="210" t="s">
        <v>1489</v>
      </c>
      <c r="C37" s="210" t="s">
        <v>1490</v>
      </c>
      <c r="D37" s="211">
        <v>3</v>
      </c>
      <c r="E37" s="120" t="s">
        <v>3754</v>
      </c>
      <c r="F37" s="120"/>
      <c r="G37" s="120"/>
      <c r="H37" s="120"/>
      <c r="I37" s="120">
        <v>53005</v>
      </c>
      <c r="J37" s="212">
        <v>19425</v>
      </c>
      <c r="K37" s="216">
        <v>46.6</v>
      </c>
      <c r="L37" s="216">
        <v>90.9</v>
      </c>
      <c r="M37" s="216">
        <v>5.9</v>
      </c>
      <c r="N37" s="216">
        <v>9.6</v>
      </c>
      <c r="O37" s="216">
        <v>61.1</v>
      </c>
      <c r="P37" s="216">
        <v>96.3</v>
      </c>
      <c r="Q37" s="216">
        <v>51.7</v>
      </c>
      <c r="R37" s="216"/>
      <c r="S37" s="120"/>
      <c r="T37" s="120">
        <v>9</v>
      </c>
      <c r="U37" s="120">
        <v>3</v>
      </c>
      <c r="V37" s="120">
        <v>65</v>
      </c>
      <c r="W37" s="120">
        <v>0</v>
      </c>
      <c r="X37" s="217"/>
      <c r="Y37" s="131"/>
      <c r="Z37" s="131"/>
      <c r="AA37" s="131"/>
      <c r="AB37" s="131"/>
      <c r="AC37" s="131"/>
      <c r="AD37" s="131"/>
      <c r="AE37" s="131"/>
      <c r="AF37" s="131"/>
      <c r="AG37" s="131"/>
      <c r="AH37" s="131"/>
      <c r="AI37" s="131"/>
      <c r="AJ37" s="131"/>
      <c r="AK37" s="131"/>
      <c r="AL37" s="131"/>
      <c r="AM37" s="131"/>
      <c r="AN37" s="131"/>
      <c r="AO37" s="131"/>
      <c r="AP37" s="131"/>
      <c r="AQ37" s="131"/>
    </row>
    <row r="38" spans="1:43" ht="15.75" customHeight="1" x14ac:dyDescent="0.55000000000000004">
      <c r="A38" s="210">
        <v>95</v>
      </c>
      <c r="B38" s="210" t="s">
        <v>1496</v>
      </c>
      <c r="C38" s="210" t="s">
        <v>1497</v>
      </c>
      <c r="D38" s="211">
        <v>0</v>
      </c>
      <c r="E38" s="131" t="s">
        <v>3753</v>
      </c>
      <c r="F38" s="214">
        <v>0.61736111111111114</v>
      </c>
      <c r="G38" s="214">
        <v>0.62361111111111112</v>
      </c>
      <c r="H38" s="131">
        <v>1</v>
      </c>
      <c r="I38" s="131">
        <v>55671</v>
      </c>
      <c r="J38" s="212">
        <v>3371</v>
      </c>
      <c r="K38" s="131">
        <v>24.8</v>
      </c>
      <c r="L38" s="131">
        <v>0.8</v>
      </c>
      <c r="M38" s="131">
        <v>37.5</v>
      </c>
      <c r="N38" s="131">
        <v>36.5</v>
      </c>
      <c r="O38" s="131">
        <v>48.4</v>
      </c>
      <c r="P38" s="131">
        <v>82</v>
      </c>
      <c r="Q38" s="131">
        <v>5.5</v>
      </c>
      <c r="R38" s="131"/>
      <c r="S38" s="131">
        <v>0.9</v>
      </c>
      <c r="T38" s="131">
        <v>2</v>
      </c>
      <c r="U38" s="131">
        <v>0</v>
      </c>
      <c r="V38" s="131">
        <v>41</v>
      </c>
      <c r="W38" s="131"/>
      <c r="X38" s="217"/>
      <c r="Y38" s="131"/>
      <c r="Z38" s="131"/>
      <c r="AA38" s="131"/>
      <c r="AB38" s="131"/>
      <c r="AC38" s="131"/>
      <c r="AD38" s="131"/>
      <c r="AE38" s="131"/>
      <c r="AF38" s="131"/>
      <c r="AG38" s="131"/>
      <c r="AH38" s="131"/>
      <c r="AI38" s="131"/>
      <c r="AJ38" s="131"/>
      <c r="AK38" s="131"/>
      <c r="AL38" s="131"/>
      <c r="AM38" s="131"/>
      <c r="AN38" s="131"/>
      <c r="AO38" s="131"/>
      <c r="AP38" s="131"/>
      <c r="AQ38" s="131"/>
    </row>
    <row r="39" spans="1:43" ht="15.75" customHeight="1" x14ac:dyDescent="0.55000000000000004">
      <c r="A39" s="210">
        <v>96</v>
      </c>
      <c r="B39" s="210" t="s">
        <v>1505</v>
      </c>
      <c r="C39" s="210" t="s">
        <v>1506</v>
      </c>
      <c r="D39" s="211">
        <v>3</v>
      </c>
      <c r="E39" s="120" t="s">
        <v>3754</v>
      </c>
      <c r="F39" s="218">
        <v>0.875</v>
      </c>
      <c r="G39" s="218">
        <v>0.25</v>
      </c>
      <c r="H39" s="120">
        <v>3</v>
      </c>
      <c r="I39" s="120">
        <v>75446</v>
      </c>
      <c r="J39" s="212">
        <v>2845</v>
      </c>
      <c r="K39" s="216">
        <v>39.4</v>
      </c>
      <c r="L39" s="216">
        <v>84.4</v>
      </c>
      <c r="M39" s="216">
        <v>10.9</v>
      </c>
      <c r="N39" s="216">
        <v>27.1</v>
      </c>
      <c r="O39" s="216">
        <v>50.4</v>
      </c>
      <c r="P39" s="216">
        <v>72.5</v>
      </c>
      <c r="Q39" s="216">
        <v>13.6</v>
      </c>
      <c r="R39" s="216"/>
      <c r="S39" s="120">
        <v>24.8</v>
      </c>
      <c r="T39" s="120">
        <v>0</v>
      </c>
      <c r="U39" s="120">
        <v>0</v>
      </c>
      <c r="V39" s="120">
        <v>4</v>
      </c>
      <c r="W39" s="120"/>
      <c r="X39" s="217"/>
      <c r="Y39" s="131"/>
      <c r="Z39" s="131"/>
      <c r="AA39" s="131"/>
      <c r="AB39" s="131"/>
      <c r="AC39" s="131"/>
      <c r="AD39" s="131"/>
      <c r="AE39" s="131"/>
      <c r="AF39" s="131"/>
      <c r="AG39" s="131"/>
      <c r="AH39" s="131"/>
      <c r="AI39" s="131"/>
      <c r="AJ39" s="131"/>
      <c r="AK39" s="131"/>
      <c r="AL39" s="131"/>
      <c r="AM39" s="131"/>
      <c r="AN39" s="131"/>
      <c r="AO39" s="131"/>
      <c r="AP39" s="131"/>
      <c r="AQ39" s="131"/>
    </row>
    <row r="40" spans="1:43" ht="15.75" customHeight="1" x14ac:dyDescent="0.55000000000000004">
      <c r="A40" s="210">
        <v>97</v>
      </c>
      <c r="B40" s="210" t="s">
        <v>1511</v>
      </c>
      <c r="C40" s="210" t="s">
        <v>1512</v>
      </c>
      <c r="D40" s="211">
        <v>6</v>
      </c>
      <c r="E40" s="131" t="s">
        <v>3746</v>
      </c>
      <c r="F40" s="214">
        <v>0.875</v>
      </c>
      <c r="G40" s="131"/>
      <c r="H40" s="131">
        <v>3</v>
      </c>
      <c r="I40" s="131">
        <v>93199</v>
      </c>
      <c r="J40" s="212">
        <v>29888</v>
      </c>
      <c r="K40" s="131">
        <v>36.5</v>
      </c>
      <c r="L40" s="131">
        <v>69.7</v>
      </c>
      <c r="M40" s="131">
        <v>9.8000000000000007</v>
      </c>
      <c r="N40" s="131">
        <v>46.4</v>
      </c>
      <c r="O40" s="131">
        <v>66.2</v>
      </c>
      <c r="P40" s="131">
        <v>86.8</v>
      </c>
      <c r="Q40" s="131">
        <v>42.2</v>
      </c>
      <c r="R40" s="131"/>
      <c r="S40" s="131">
        <v>4.9000000000000004</v>
      </c>
      <c r="T40" s="131">
        <v>0</v>
      </c>
      <c r="U40" s="131">
        <v>0</v>
      </c>
      <c r="V40" s="131">
        <v>150</v>
      </c>
      <c r="W40" s="131">
        <v>0</v>
      </c>
      <c r="X40" s="213"/>
      <c r="Y40" s="120"/>
      <c r="Z40" s="120"/>
      <c r="AA40" s="120"/>
      <c r="AB40" s="120"/>
      <c r="AC40" s="120"/>
      <c r="AD40" s="120"/>
      <c r="AE40" s="120"/>
      <c r="AF40" s="120"/>
      <c r="AG40" s="120"/>
      <c r="AH40" s="120"/>
      <c r="AI40" s="120"/>
      <c r="AJ40" s="120"/>
      <c r="AK40" s="120"/>
      <c r="AL40" s="120"/>
      <c r="AM40" s="120"/>
      <c r="AN40" s="120"/>
      <c r="AO40" s="120"/>
      <c r="AP40" s="120"/>
      <c r="AQ40" s="120"/>
    </row>
    <row r="41" spans="1:43" ht="15.75" customHeight="1" x14ac:dyDescent="0.55000000000000004">
      <c r="A41" s="210">
        <v>98</v>
      </c>
      <c r="B41" s="210" t="s">
        <v>1516</v>
      </c>
      <c r="C41" s="210" t="s">
        <v>1517</v>
      </c>
      <c r="D41" s="211">
        <v>7</v>
      </c>
      <c r="E41" s="131" t="s">
        <v>3765</v>
      </c>
      <c r="F41" s="214">
        <v>0.28472222222222221</v>
      </c>
      <c r="G41" s="214">
        <v>0.29166666666666669</v>
      </c>
      <c r="H41" s="131">
        <v>0</v>
      </c>
      <c r="I41" s="131">
        <v>98112</v>
      </c>
      <c r="J41" s="212">
        <v>21077</v>
      </c>
      <c r="K41" s="131">
        <v>39.4</v>
      </c>
      <c r="L41" s="131">
        <v>83.7</v>
      </c>
      <c r="M41" s="131">
        <v>5.6</v>
      </c>
      <c r="N41" s="131">
        <v>44.9</v>
      </c>
      <c r="O41" s="131">
        <v>69.099999999999994</v>
      </c>
      <c r="P41" s="131">
        <v>98.2</v>
      </c>
      <c r="Q41" s="131">
        <v>75.5</v>
      </c>
      <c r="R41" s="131">
        <v>4.4000000000000004</v>
      </c>
      <c r="S41" s="131">
        <v>1.8</v>
      </c>
      <c r="T41" s="131">
        <v>3</v>
      </c>
      <c r="U41" s="131">
        <v>0</v>
      </c>
      <c r="V41" s="212">
        <v>1262</v>
      </c>
      <c r="W41" s="131">
        <v>4.3</v>
      </c>
      <c r="X41" s="213"/>
      <c r="Y41" s="120"/>
      <c r="Z41" s="120"/>
      <c r="AA41" s="120"/>
      <c r="AB41" s="120"/>
      <c r="AC41" s="120"/>
      <c r="AD41" s="120"/>
      <c r="AE41" s="120"/>
      <c r="AF41" s="120"/>
      <c r="AG41" s="120"/>
      <c r="AH41" s="120"/>
      <c r="AI41" s="120"/>
      <c r="AJ41" s="120"/>
      <c r="AK41" s="120"/>
      <c r="AL41" s="120"/>
      <c r="AM41" s="120"/>
      <c r="AN41" s="120"/>
      <c r="AO41" s="120"/>
      <c r="AP41" s="120"/>
      <c r="AQ41" s="120"/>
    </row>
    <row r="42" spans="1:43" ht="15.75" customHeight="1" x14ac:dyDescent="0.55000000000000004">
      <c r="A42" s="210">
        <v>99</v>
      </c>
      <c r="B42" s="210" t="s">
        <v>1523</v>
      </c>
      <c r="C42" s="210" t="s">
        <v>1524</v>
      </c>
      <c r="D42" s="211">
        <v>3</v>
      </c>
      <c r="E42" s="120" t="s">
        <v>3754</v>
      </c>
      <c r="F42" s="218">
        <v>0.41666666666666669</v>
      </c>
      <c r="G42" s="120"/>
      <c r="H42" s="120">
        <v>0</v>
      </c>
      <c r="I42" s="120">
        <v>70806</v>
      </c>
      <c r="J42" s="212">
        <v>28706</v>
      </c>
      <c r="K42" s="216">
        <v>33.9</v>
      </c>
      <c r="L42" s="216">
        <v>47</v>
      </c>
      <c r="M42" s="216">
        <v>19.399999999999999</v>
      </c>
      <c r="N42" s="216">
        <v>56.9</v>
      </c>
      <c r="O42" s="216">
        <v>60.3</v>
      </c>
      <c r="P42" s="216">
        <v>83.2</v>
      </c>
      <c r="Q42" s="216">
        <v>36.5</v>
      </c>
      <c r="R42" s="216">
        <v>17.100000000000001</v>
      </c>
      <c r="S42" s="120">
        <v>1.3</v>
      </c>
      <c r="T42" s="120">
        <v>8</v>
      </c>
      <c r="U42" s="120">
        <v>0</v>
      </c>
      <c r="V42" s="120">
        <v>645</v>
      </c>
      <c r="W42" s="120">
        <v>27.1</v>
      </c>
      <c r="X42" s="217"/>
      <c r="Y42" s="131"/>
      <c r="Z42" s="131"/>
      <c r="AA42" s="131"/>
      <c r="AB42" s="131"/>
      <c r="AC42" s="131"/>
      <c r="AD42" s="131"/>
      <c r="AE42" s="131"/>
      <c r="AF42" s="131"/>
      <c r="AG42" s="131"/>
      <c r="AH42" s="131"/>
      <c r="AI42" s="131"/>
      <c r="AJ42" s="131"/>
      <c r="AK42" s="131"/>
      <c r="AL42" s="131"/>
      <c r="AM42" s="131"/>
      <c r="AN42" s="131"/>
      <c r="AO42" s="131"/>
      <c r="AP42" s="131"/>
      <c r="AQ42" s="131"/>
    </row>
    <row r="43" spans="1:43" ht="15.75" customHeight="1" x14ac:dyDescent="0.55000000000000004">
      <c r="A43" s="210">
        <v>100</v>
      </c>
      <c r="B43" s="210" t="s">
        <v>1530</v>
      </c>
      <c r="C43" s="210" t="s">
        <v>845</v>
      </c>
      <c r="D43" s="211">
        <v>0</v>
      </c>
      <c r="E43" s="131" t="s">
        <v>3753</v>
      </c>
      <c r="F43" s="214">
        <v>0.41041666666666665</v>
      </c>
      <c r="G43" s="214">
        <v>0.46527777777777779</v>
      </c>
      <c r="H43" s="131">
        <v>0</v>
      </c>
      <c r="I43" s="131">
        <v>17562</v>
      </c>
      <c r="J43" s="212">
        <v>4464</v>
      </c>
      <c r="K43" s="131">
        <v>28.5</v>
      </c>
      <c r="L43" s="131">
        <v>97</v>
      </c>
      <c r="M43" s="131">
        <v>7.3</v>
      </c>
      <c r="N43" s="131">
        <v>33</v>
      </c>
      <c r="O43" s="131"/>
      <c r="P43" s="131"/>
      <c r="Q43" s="131"/>
      <c r="R43" s="131"/>
      <c r="S43" s="131">
        <v>15.3</v>
      </c>
      <c r="T43" s="131">
        <v>0</v>
      </c>
      <c r="U43" s="131">
        <v>0</v>
      </c>
      <c r="V43" s="131"/>
      <c r="W43" s="131">
        <v>3.84</v>
      </c>
      <c r="X43" s="217"/>
      <c r="Y43" s="131"/>
      <c r="Z43" s="131"/>
      <c r="AA43" s="131"/>
      <c r="AB43" s="131"/>
      <c r="AC43" s="131"/>
      <c r="AD43" s="131"/>
      <c r="AE43" s="131"/>
      <c r="AF43" s="131"/>
      <c r="AG43" s="131"/>
      <c r="AH43" s="131"/>
      <c r="AI43" s="131"/>
      <c r="AJ43" s="131"/>
      <c r="AK43" s="131"/>
      <c r="AL43" s="131"/>
      <c r="AM43" s="131"/>
      <c r="AN43" s="131"/>
      <c r="AO43" s="131"/>
      <c r="AP43" s="131"/>
      <c r="AQ43" s="131"/>
    </row>
    <row r="44" spans="1:43" ht="15.75" customHeight="1" x14ac:dyDescent="0.55000000000000004">
      <c r="A44" s="210">
        <v>101</v>
      </c>
      <c r="B44" s="210" t="s">
        <v>1536</v>
      </c>
      <c r="C44" s="210" t="s">
        <v>1537</v>
      </c>
      <c r="D44" s="211">
        <v>4</v>
      </c>
      <c r="E44" s="131" t="s">
        <v>3747</v>
      </c>
      <c r="F44" s="214">
        <v>0.78055555555555556</v>
      </c>
      <c r="G44" s="214">
        <v>0.78472222222222221</v>
      </c>
      <c r="H44" s="131">
        <v>2</v>
      </c>
      <c r="I44" s="131">
        <v>84102</v>
      </c>
      <c r="J44" s="212">
        <v>17421</v>
      </c>
      <c r="K44" s="131">
        <v>28.9</v>
      </c>
      <c r="L44" s="131">
        <v>81.900000000000006</v>
      </c>
      <c r="M44" s="131">
        <v>5.6</v>
      </c>
      <c r="N44" s="131">
        <v>74.400000000000006</v>
      </c>
      <c r="O44" s="131">
        <v>69.900000000000006</v>
      </c>
      <c r="P44" s="131">
        <v>18.399999999999999</v>
      </c>
      <c r="Q44" s="131">
        <v>16.600000000000001</v>
      </c>
      <c r="R44" s="131"/>
      <c r="S44" s="131">
        <v>1.6</v>
      </c>
      <c r="T44" s="131">
        <v>6</v>
      </c>
      <c r="U44" s="131">
        <v>0</v>
      </c>
      <c r="V44" s="131">
        <v>413</v>
      </c>
      <c r="W44" s="131">
        <v>4.4000000000000004</v>
      </c>
      <c r="X44" s="213"/>
      <c r="Y44" s="120"/>
      <c r="Z44" s="120"/>
      <c r="AA44" s="120"/>
      <c r="AB44" s="120"/>
      <c r="AC44" s="120"/>
      <c r="AD44" s="120"/>
      <c r="AE44" s="120"/>
      <c r="AF44" s="120"/>
      <c r="AG44" s="120"/>
      <c r="AH44" s="120"/>
      <c r="AI44" s="120"/>
      <c r="AJ44" s="120"/>
      <c r="AK44" s="120"/>
      <c r="AL44" s="120"/>
      <c r="AM44" s="120"/>
      <c r="AN44" s="120"/>
      <c r="AO44" s="120"/>
      <c r="AP44" s="120"/>
      <c r="AQ44" s="120"/>
    </row>
    <row r="45" spans="1:43" ht="15.75" customHeight="1" x14ac:dyDescent="0.55000000000000004">
      <c r="A45" s="210">
        <v>102</v>
      </c>
      <c r="B45" s="210" t="s">
        <v>1543</v>
      </c>
      <c r="C45" s="210" t="s">
        <v>1544</v>
      </c>
      <c r="D45" s="131">
        <v>1</v>
      </c>
      <c r="E45" s="131" t="s">
        <v>3766</v>
      </c>
      <c r="F45" s="222" t="s">
        <v>3767</v>
      </c>
      <c r="G45" s="222" t="s">
        <v>3768</v>
      </c>
      <c r="H45" s="131">
        <v>0</v>
      </c>
      <c r="I45" s="131">
        <v>24060</v>
      </c>
      <c r="J45" s="212">
        <v>53311</v>
      </c>
      <c r="K45" s="131">
        <v>22.6</v>
      </c>
      <c r="L45" s="131">
        <v>83.5</v>
      </c>
      <c r="M45" s="131">
        <v>5.2</v>
      </c>
      <c r="N45" s="131">
        <v>61.9</v>
      </c>
      <c r="O45" s="131">
        <v>48.8</v>
      </c>
      <c r="P45" s="131">
        <v>92.5</v>
      </c>
      <c r="Q45" s="131">
        <v>59.4</v>
      </c>
      <c r="R45" s="131">
        <v>4.7</v>
      </c>
      <c r="S45" s="131">
        <v>5.5</v>
      </c>
      <c r="T45" s="131">
        <v>3</v>
      </c>
      <c r="U45" s="131">
        <v>0</v>
      </c>
      <c r="V45" s="131" t="s">
        <v>3769</v>
      </c>
      <c r="W45" s="131">
        <v>1.87</v>
      </c>
      <c r="X45" s="213"/>
      <c r="Y45" s="120"/>
      <c r="Z45" s="120"/>
      <c r="AA45" s="120"/>
      <c r="AB45" s="120"/>
      <c r="AC45" s="120"/>
      <c r="AD45" s="120"/>
      <c r="AE45" s="120"/>
      <c r="AF45" s="120"/>
      <c r="AG45" s="120"/>
      <c r="AH45" s="120"/>
      <c r="AI45" s="120"/>
      <c r="AJ45" s="120"/>
      <c r="AK45" s="120"/>
      <c r="AL45" s="120"/>
      <c r="AM45" s="120"/>
      <c r="AN45" s="120"/>
      <c r="AO45" s="120"/>
      <c r="AP45" s="120"/>
      <c r="AQ45" s="120"/>
    </row>
    <row r="46" spans="1:43" ht="15.75" customHeight="1" x14ac:dyDescent="0.55000000000000004">
      <c r="A46" s="210">
        <v>103</v>
      </c>
      <c r="B46" s="210" t="s">
        <v>1555</v>
      </c>
      <c r="C46" s="210" t="s">
        <v>859</v>
      </c>
      <c r="D46" s="211">
        <v>4</v>
      </c>
      <c r="E46" s="131" t="s">
        <v>3747</v>
      </c>
      <c r="F46" s="214">
        <v>0.57152777777777775</v>
      </c>
      <c r="G46" s="214">
        <v>0.5756944444444444</v>
      </c>
      <c r="H46" s="131">
        <v>1</v>
      </c>
      <c r="I46" s="131">
        <v>68114</v>
      </c>
      <c r="J46" s="212">
        <v>16928</v>
      </c>
      <c r="K46" s="131">
        <v>39.200000000000003</v>
      </c>
      <c r="L46" s="131">
        <v>86.1</v>
      </c>
      <c r="M46" s="131">
        <v>10.1</v>
      </c>
      <c r="N46" s="131">
        <v>50.3</v>
      </c>
      <c r="O46" s="131">
        <v>62.4</v>
      </c>
      <c r="P46" s="131">
        <v>26</v>
      </c>
      <c r="Q46" s="131">
        <v>24.8</v>
      </c>
      <c r="R46" s="131"/>
      <c r="S46" s="131">
        <v>2.2999999999999998</v>
      </c>
      <c r="T46" s="131">
        <v>1</v>
      </c>
      <c r="U46" s="131">
        <v>1</v>
      </c>
      <c r="V46" s="131">
        <v>764</v>
      </c>
      <c r="W46" s="131">
        <v>7.9</v>
      </c>
      <c r="X46" s="213"/>
      <c r="Y46" s="120"/>
      <c r="Z46" s="120"/>
      <c r="AA46" s="120"/>
      <c r="AB46" s="120"/>
      <c r="AC46" s="120"/>
      <c r="AD46" s="120"/>
      <c r="AE46" s="120"/>
      <c r="AF46" s="120"/>
      <c r="AG46" s="120"/>
      <c r="AH46" s="120"/>
      <c r="AI46" s="120"/>
      <c r="AJ46" s="120"/>
      <c r="AK46" s="120"/>
      <c r="AL46" s="120"/>
      <c r="AM46" s="120"/>
      <c r="AN46" s="120"/>
      <c r="AO46" s="120"/>
      <c r="AP46" s="120"/>
      <c r="AQ46" s="120"/>
    </row>
    <row r="47" spans="1:43" ht="15.75" customHeight="1" x14ac:dyDescent="0.55000000000000004">
      <c r="A47" s="210">
        <v>104</v>
      </c>
      <c r="B47" s="210" t="s">
        <v>1563</v>
      </c>
      <c r="C47" s="210" t="s">
        <v>1302</v>
      </c>
      <c r="D47" s="211">
        <v>3</v>
      </c>
      <c r="E47" s="131" t="s">
        <v>3754</v>
      </c>
      <c r="F47" s="131"/>
      <c r="G47" s="131"/>
      <c r="H47" s="131">
        <v>0</v>
      </c>
      <c r="I47" s="131">
        <v>80907</v>
      </c>
      <c r="J47" s="212">
        <v>26758</v>
      </c>
      <c r="K47" s="131">
        <v>40.700000000000003</v>
      </c>
      <c r="L47" s="131">
        <v>84.8</v>
      </c>
      <c r="M47" s="131">
        <v>10.6</v>
      </c>
      <c r="N47" s="131">
        <v>41.8</v>
      </c>
      <c r="O47" s="131">
        <v>58.6</v>
      </c>
      <c r="P47" s="131">
        <v>90.6</v>
      </c>
      <c r="Q47" s="131">
        <v>30.6</v>
      </c>
      <c r="R47" s="131"/>
      <c r="S47" s="131">
        <v>2.6</v>
      </c>
      <c r="T47" s="131">
        <v>0</v>
      </c>
      <c r="U47" s="131">
        <v>3</v>
      </c>
      <c r="V47" s="131">
        <v>501</v>
      </c>
      <c r="W47" s="131">
        <v>0</v>
      </c>
      <c r="X47" s="213"/>
      <c r="Y47" s="120"/>
      <c r="Z47" s="120"/>
      <c r="AA47" s="120"/>
      <c r="AB47" s="120"/>
      <c r="AC47" s="120"/>
      <c r="AD47" s="120"/>
      <c r="AE47" s="120"/>
      <c r="AF47" s="120"/>
      <c r="AG47" s="120"/>
      <c r="AH47" s="120"/>
      <c r="AI47" s="120"/>
      <c r="AJ47" s="120"/>
      <c r="AK47" s="120"/>
      <c r="AL47" s="120"/>
      <c r="AM47" s="120"/>
      <c r="AN47" s="120"/>
      <c r="AO47" s="120"/>
      <c r="AP47" s="120"/>
      <c r="AQ47" s="120"/>
    </row>
    <row r="48" spans="1:43" ht="15.75" customHeight="1" x14ac:dyDescent="0.55000000000000004">
      <c r="A48" s="210">
        <v>105</v>
      </c>
      <c r="B48" s="210" t="s">
        <v>1570</v>
      </c>
      <c r="C48" s="210" t="s">
        <v>845</v>
      </c>
      <c r="D48" s="211">
        <v>2</v>
      </c>
      <c r="E48" s="120" t="s">
        <v>3764</v>
      </c>
      <c r="F48" s="214">
        <v>0.79166666666666663</v>
      </c>
      <c r="G48" s="131"/>
      <c r="H48" s="131">
        <v>2</v>
      </c>
      <c r="I48" s="131">
        <v>63122</v>
      </c>
      <c r="J48" s="212">
        <v>38495</v>
      </c>
      <c r="K48" s="131">
        <v>42.5</v>
      </c>
      <c r="L48" s="131">
        <v>91.4</v>
      </c>
      <c r="M48" s="131">
        <v>9</v>
      </c>
      <c r="N48" s="131">
        <v>18.100000000000001</v>
      </c>
      <c r="O48" s="131">
        <v>65.599999999999994</v>
      </c>
      <c r="P48" s="131">
        <v>24</v>
      </c>
      <c r="Q48" s="131">
        <v>25.3</v>
      </c>
      <c r="R48" s="131"/>
      <c r="S48" s="131">
        <v>3.5</v>
      </c>
      <c r="T48" s="131">
        <v>2</v>
      </c>
      <c r="U48" s="131">
        <v>0</v>
      </c>
      <c r="V48" s="131">
        <v>57</v>
      </c>
      <c r="W48" s="131">
        <v>3.72</v>
      </c>
      <c r="X48" s="213"/>
      <c r="Y48" s="120"/>
      <c r="Z48" s="120"/>
      <c r="AA48" s="120"/>
      <c r="AB48" s="120"/>
      <c r="AC48" s="120"/>
      <c r="AD48" s="120"/>
      <c r="AE48" s="120"/>
      <c r="AF48" s="120"/>
      <c r="AG48" s="120"/>
      <c r="AH48" s="120"/>
      <c r="AI48" s="120"/>
      <c r="AJ48" s="120"/>
      <c r="AK48" s="120"/>
      <c r="AL48" s="120"/>
      <c r="AM48" s="120"/>
      <c r="AN48" s="120"/>
      <c r="AO48" s="120"/>
      <c r="AP48" s="120"/>
      <c r="AQ48" s="120"/>
    </row>
    <row r="49" spans="1:43" ht="15.75" customHeight="1" x14ac:dyDescent="0.55000000000000004">
      <c r="A49" s="210">
        <v>106</v>
      </c>
      <c r="B49" s="210" t="s">
        <v>1578</v>
      </c>
      <c r="C49" s="210" t="s">
        <v>1419</v>
      </c>
      <c r="D49" s="131">
        <v>1</v>
      </c>
      <c r="E49" s="131" t="s">
        <v>3766</v>
      </c>
      <c r="F49" s="222" t="s">
        <v>3770</v>
      </c>
      <c r="G49" s="222" t="s">
        <v>3771</v>
      </c>
      <c r="H49" s="131">
        <v>1</v>
      </c>
      <c r="I49" s="131">
        <v>60115</v>
      </c>
      <c r="J49" s="212">
        <v>46272</v>
      </c>
      <c r="K49" s="131">
        <v>23.8</v>
      </c>
      <c r="L49" s="131">
        <v>75.5</v>
      </c>
      <c r="M49" s="131">
        <v>10.7</v>
      </c>
      <c r="N49" s="131">
        <v>56.8</v>
      </c>
      <c r="O49" s="131">
        <v>58.8</v>
      </c>
      <c r="P49" s="131">
        <v>91.4</v>
      </c>
      <c r="Q49" s="131">
        <v>34.700000000000003</v>
      </c>
      <c r="R49" s="131">
        <v>9.6999999999999993</v>
      </c>
      <c r="S49" s="131">
        <v>5.2</v>
      </c>
      <c r="T49" s="131">
        <v>2</v>
      </c>
      <c r="U49" s="131">
        <v>1</v>
      </c>
      <c r="V49" s="131" t="s">
        <v>3772</v>
      </c>
      <c r="W49" s="131">
        <v>6.48</v>
      </c>
      <c r="X49" s="213"/>
      <c r="Y49" s="120"/>
      <c r="Z49" s="120"/>
      <c r="AA49" s="120"/>
      <c r="AB49" s="120"/>
      <c r="AC49" s="120"/>
      <c r="AD49" s="120"/>
      <c r="AE49" s="120"/>
      <c r="AF49" s="120"/>
      <c r="AG49" s="120"/>
      <c r="AH49" s="120"/>
      <c r="AI49" s="120"/>
      <c r="AJ49" s="120"/>
      <c r="AK49" s="120"/>
      <c r="AL49" s="120"/>
      <c r="AM49" s="120"/>
      <c r="AN49" s="120"/>
      <c r="AO49" s="120"/>
      <c r="AP49" s="120"/>
      <c r="AQ49" s="120"/>
    </row>
    <row r="50" spans="1:43" ht="15.75" customHeight="1" x14ac:dyDescent="0.55000000000000004">
      <c r="A50" s="210">
        <v>107</v>
      </c>
      <c r="B50" s="210" t="s">
        <v>1588</v>
      </c>
      <c r="C50" s="210" t="s">
        <v>1589</v>
      </c>
      <c r="D50" s="211">
        <v>6</v>
      </c>
      <c r="E50" s="131" t="s">
        <v>3773</v>
      </c>
      <c r="F50" s="214">
        <v>0.66666666666666663</v>
      </c>
      <c r="G50" s="131"/>
      <c r="H50" s="131">
        <v>1</v>
      </c>
      <c r="I50" s="131">
        <v>93458</v>
      </c>
      <c r="J50" s="212">
        <v>55431</v>
      </c>
      <c r="K50" s="131">
        <v>26.1</v>
      </c>
      <c r="L50" s="131">
        <v>51.2</v>
      </c>
      <c r="M50" s="131">
        <v>16.399999999999999</v>
      </c>
      <c r="N50" s="131">
        <v>53.2</v>
      </c>
      <c r="O50" s="131">
        <v>58.9</v>
      </c>
      <c r="P50" s="131">
        <v>48</v>
      </c>
      <c r="Q50" s="131">
        <v>6.2</v>
      </c>
      <c r="R50" s="131">
        <v>34</v>
      </c>
      <c r="S50" s="131">
        <v>5.5</v>
      </c>
      <c r="T50" s="131">
        <v>1</v>
      </c>
      <c r="U50" s="131">
        <v>0</v>
      </c>
      <c r="V50" s="131">
        <v>129</v>
      </c>
      <c r="W50" s="131">
        <v>3.5</v>
      </c>
      <c r="X50" s="213"/>
      <c r="Y50" s="120"/>
      <c r="Z50" s="120"/>
      <c r="AA50" s="120"/>
      <c r="AB50" s="120"/>
      <c r="AC50" s="120"/>
      <c r="AD50" s="120"/>
      <c r="AE50" s="120"/>
      <c r="AF50" s="120"/>
      <c r="AG50" s="120"/>
      <c r="AH50" s="120"/>
      <c r="AI50" s="120"/>
      <c r="AJ50" s="120"/>
      <c r="AK50" s="120"/>
      <c r="AL50" s="120"/>
      <c r="AM50" s="120"/>
      <c r="AN50" s="120"/>
      <c r="AO50" s="120"/>
      <c r="AP50" s="120"/>
      <c r="AQ50" s="120"/>
    </row>
    <row r="51" spans="1:43" ht="15.75" customHeight="1" x14ac:dyDescent="0.55000000000000004">
      <c r="A51" s="210">
        <v>108</v>
      </c>
      <c r="B51" s="210" t="s">
        <v>1596</v>
      </c>
      <c r="C51" s="210" t="s">
        <v>1597</v>
      </c>
      <c r="D51" s="211">
        <v>6</v>
      </c>
      <c r="E51" s="131" t="s">
        <v>3746</v>
      </c>
      <c r="F51" s="131"/>
      <c r="G51" s="131"/>
      <c r="H51" s="131">
        <v>0</v>
      </c>
      <c r="I51" s="131">
        <v>42420</v>
      </c>
      <c r="J51" s="212">
        <v>38192</v>
      </c>
      <c r="K51" s="131">
        <v>39.5</v>
      </c>
      <c r="L51" s="131">
        <v>87.6</v>
      </c>
      <c r="M51" s="131">
        <v>14.2</v>
      </c>
      <c r="N51" s="131">
        <v>38.200000000000003</v>
      </c>
      <c r="O51" s="131">
        <v>57.5</v>
      </c>
      <c r="P51" s="131">
        <v>84.8</v>
      </c>
      <c r="Q51" s="131">
        <v>17.3</v>
      </c>
      <c r="R51" s="131"/>
      <c r="S51" s="131">
        <v>5.3</v>
      </c>
      <c r="T51" s="131">
        <v>3</v>
      </c>
      <c r="U51" s="131">
        <v>1</v>
      </c>
      <c r="V51" s="131">
        <v>54</v>
      </c>
      <c r="W51" s="131">
        <v>3.57</v>
      </c>
      <c r="X51" s="213"/>
      <c r="Y51" s="120"/>
      <c r="Z51" s="120"/>
      <c r="AA51" s="120"/>
      <c r="AB51" s="120"/>
      <c r="AC51" s="120"/>
      <c r="AD51" s="120"/>
      <c r="AE51" s="120"/>
      <c r="AF51" s="120"/>
      <c r="AG51" s="120"/>
      <c r="AH51" s="120"/>
      <c r="AI51" s="120"/>
      <c r="AJ51" s="120"/>
      <c r="AK51" s="120"/>
      <c r="AL51" s="120"/>
      <c r="AM51" s="120"/>
      <c r="AN51" s="120"/>
      <c r="AO51" s="120"/>
      <c r="AP51" s="120"/>
      <c r="AQ51" s="120"/>
    </row>
    <row r="52" spans="1:43" ht="15.75" customHeight="1" x14ac:dyDescent="0.55000000000000004">
      <c r="A52" s="210">
        <v>109</v>
      </c>
      <c r="B52" s="210" t="s">
        <v>1601</v>
      </c>
      <c r="C52" s="210" t="s">
        <v>1602</v>
      </c>
      <c r="D52" s="211">
        <v>7</v>
      </c>
      <c r="E52" s="131" t="s">
        <v>3748</v>
      </c>
      <c r="F52" s="214">
        <v>0.59375</v>
      </c>
      <c r="G52" s="214">
        <v>0.67708333333333337</v>
      </c>
      <c r="H52" s="131">
        <v>1</v>
      </c>
      <c r="I52" s="131">
        <v>98284</v>
      </c>
      <c r="J52" s="212">
        <v>24331</v>
      </c>
      <c r="K52" s="131">
        <v>38.4</v>
      </c>
      <c r="L52" s="131">
        <v>88.7</v>
      </c>
      <c r="M52" s="131">
        <v>11.1</v>
      </c>
      <c r="N52" s="131">
        <v>28.2</v>
      </c>
      <c r="O52" s="131">
        <v>58.7</v>
      </c>
      <c r="P52" s="131">
        <v>89.7</v>
      </c>
      <c r="Q52" s="131">
        <v>16.5</v>
      </c>
      <c r="R52" s="131">
        <v>15</v>
      </c>
      <c r="S52" s="131">
        <v>14.9</v>
      </c>
      <c r="T52" s="131">
        <v>2</v>
      </c>
      <c r="U52" s="131">
        <v>2</v>
      </c>
      <c r="V52" s="131"/>
      <c r="W52" s="131"/>
      <c r="X52" s="213"/>
      <c r="Y52" s="120"/>
      <c r="Z52" s="120"/>
      <c r="AA52" s="120"/>
      <c r="AB52" s="120"/>
      <c r="AC52" s="120"/>
      <c r="AD52" s="120"/>
      <c r="AE52" s="120"/>
      <c r="AF52" s="120"/>
      <c r="AG52" s="120"/>
      <c r="AH52" s="120"/>
      <c r="AI52" s="120"/>
      <c r="AJ52" s="120"/>
      <c r="AK52" s="120"/>
      <c r="AL52" s="120"/>
      <c r="AM52" s="120"/>
      <c r="AN52" s="120"/>
      <c r="AO52" s="120"/>
      <c r="AP52" s="120"/>
      <c r="AQ52" s="120"/>
    </row>
    <row r="53" spans="1:43" ht="15.75" customHeight="1" x14ac:dyDescent="0.55000000000000004">
      <c r="A53" s="210">
        <v>110</v>
      </c>
      <c r="B53" s="210" t="s">
        <v>1606</v>
      </c>
      <c r="C53" s="210" t="s">
        <v>859</v>
      </c>
      <c r="D53" s="211">
        <v>7</v>
      </c>
      <c r="E53" s="131" t="s">
        <v>3774</v>
      </c>
      <c r="F53" s="214">
        <v>0.41666666666666669</v>
      </c>
      <c r="G53" s="131"/>
      <c r="H53" s="131">
        <v>0</v>
      </c>
      <c r="I53" s="131">
        <v>28327</v>
      </c>
      <c r="J53" s="212">
        <v>15433</v>
      </c>
      <c r="K53" s="131">
        <v>41.9</v>
      </c>
      <c r="L53" s="131">
        <v>84.3</v>
      </c>
      <c r="M53" s="131">
        <v>10.6</v>
      </c>
      <c r="N53" s="131">
        <v>20</v>
      </c>
      <c r="O53" s="131">
        <v>52.4</v>
      </c>
      <c r="P53" s="131">
        <v>90.4</v>
      </c>
      <c r="Q53" s="131">
        <v>24.7</v>
      </c>
      <c r="R53" s="131">
        <v>15.3</v>
      </c>
      <c r="S53" s="131">
        <v>9.9</v>
      </c>
      <c r="T53" s="131">
        <v>0</v>
      </c>
      <c r="U53" s="131">
        <v>2</v>
      </c>
      <c r="V53" s="131">
        <v>10</v>
      </c>
      <c r="W53" s="131"/>
      <c r="X53" s="213"/>
      <c r="Y53" s="120"/>
      <c r="Z53" s="120"/>
      <c r="AA53" s="120"/>
      <c r="AB53" s="120"/>
      <c r="AC53" s="120"/>
      <c r="AD53" s="120"/>
      <c r="AE53" s="120"/>
      <c r="AF53" s="120"/>
      <c r="AG53" s="120"/>
      <c r="AH53" s="120"/>
      <c r="AI53" s="120"/>
      <c r="AJ53" s="120"/>
      <c r="AK53" s="120"/>
      <c r="AL53" s="120"/>
      <c r="AM53" s="120"/>
      <c r="AN53" s="120"/>
      <c r="AO53" s="120"/>
      <c r="AP53" s="120"/>
      <c r="AQ53" s="120"/>
    </row>
    <row r="54" spans="1:43" ht="15.75" customHeight="1" x14ac:dyDescent="0.55000000000000004">
      <c r="A54" s="210">
        <v>111</v>
      </c>
      <c r="B54" s="210" t="s">
        <v>1612</v>
      </c>
      <c r="C54" s="210" t="s">
        <v>1613</v>
      </c>
      <c r="D54" s="211">
        <v>2</v>
      </c>
      <c r="E54" s="120" t="s">
        <v>3764</v>
      </c>
      <c r="F54" s="214">
        <v>0.4375</v>
      </c>
      <c r="G54" s="214">
        <v>0.43958333333333333</v>
      </c>
      <c r="H54" s="131">
        <v>0</v>
      </c>
      <c r="I54" s="131">
        <v>13905</v>
      </c>
      <c r="J54" s="212">
        <v>28026</v>
      </c>
      <c r="K54" s="131">
        <v>36.1</v>
      </c>
      <c r="L54" s="131">
        <v>79.599999999999994</v>
      </c>
      <c r="M54" s="131">
        <v>13.3</v>
      </c>
      <c r="N54" s="131">
        <v>52.5</v>
      </c>
      <c r="O54" s="131">
        <v>49</v>
      </c>
      <c r="P54" s="131">
        <v>21.7</v>
      </c>
      <c r="Q54" s="131">
        <v>13.2</v>
      </c>
      <c r="R54" s="131"/>
      <c r="S54" s="131">
        <v>1.5</v>
      </c>
      <c r="T54" s="131">
        <v>2</v>
      </c>
      <c r="U54" s="131">
        <v>0</v>
      </c>
      <c r="V54" s="131">
        <v>138</v>
      </c>
      <c r="W54" s="131">
        <v>2.23</v>
      </c>
      <c r="X54" s="213"/>
      <c r="Y54" s="120"/>
      <c r="Z54" s="120"/>
      <c r="AA54" s="120"/>
      <c r="AB54" s="120"/>
      <c r="AC54" s="120"/>
      <c r="AD54" s="120"/>
      <c r="AE54" s="120"/>
      <c r="AF54" s="120"/>
      <c r="AG54" s="120"/>
      <c r="AH54" s="120"/>
      <c r="AI54" s="120"/>
      <c r="AJ54" s="120"/>
      <c r="AK54" s="120"/>
      <c r="AL54" s="120"/>
      <c r="AM54" s="120"/>
      <c r="AN54" s="120"/>
      <c r="AO54" s="120"/>
      <c r="AP54" s="120"/>
      <c r="AQ54" s="120"/>
    </row>
    <row r="55" spans="1:43" ht="15.75" customHeight="1" x14ac:dyDescent="0.55000000000000004">
      <c r="A55" s="210">
        <v>112</v>
      </c>
      <c r="B55" s="210" t="s">
        <v>1619</v>
      </c>
      <c r="C55" s="210" t="s">
        <v>1620</v>
      </c>
      <c r="D55" s="211">
        <v>4</v>
      </c>
      <c r="E55" s="120" t="s">
        <v>3747</v>
      </c>
      <c r="F55" s="120"/>
      <c r="G55" s="120"/>
      <c r="H55" s="120">
        <v>1</v>
      </c>
      <c r="I55" s="120">
        <v>27030</v>
      </c>
      <c r="J55" s="212">
        <v>38374</v>
      </c>
      <c r="K55" s="216">
        <v>41.7</v>
      </c>
      <c r="L55" s="216">
        <v>87.6</v>
      </c>
      <c r="M55" s="216">
        <v>12.9</v>
      </c>
      <c r="N55" s="216">
        <v>29</v>
      </c>
      <c r="O55" s="216">
        <v>54</v>
      </c>
      <c r="P55" s="216">
        <v>68.2</v>
      </c>
      <c r="Q55" s="216">
        <v>14.6</v>
      </c>
      <c r="R55" s="216"/>
      <c r="S55" s="120">
        <v>0.1</v>
      </c>
      <c r="T55" s="120">
        <v>4</v>
      </c>
      <c r="U55" s="120">
        <v>2</v>
      </c>
      <c r="V55" s="120">
        <v>17</v>
      </c>
      <c r="W55" s="120">
        <v>52.7</v>
      </c>
      <c r="X55" s="217"/>
      <c r="Y55" s="131"/>
      <c r="Z55" s="131"/>
      <c r="AA55" s="131"/>
      <c r="AB55" s="131"/>
      <c r="AC55" s="131"/>
      <c r="AD55" s="131"/>
      <c r="AE55" s="131"/>
      <c r="AF55" s="131"/>
      <c r="AG55" s="131"/>
      <c r="AH55" s="131"/>
      <c r="AI55" s="131"/>
      <c r="AJ55" s="131"/>
      <c r="AK55" s="131"/>
      <c r="AL55" s="131"/>
      <c r="AM55" s="131"/>
      <c r="AN55" s="131"/>
      <c r="AO55" s="131"/>
      <c r="AP55" s="131"/>
      <c r="AQ55" s="131"/>
    </row>
    <row r="56" spans="1:43" ht="15.75" customHeight="1" x14ac:dyDescent="0.55000000000000004">
      <c r="A56" s="210">
        <v>113</v>
      </c>
      <c r="B56" s="210" t="s">
        <v>1623</v>
      </c>
      <c r="C56" s="210" t="s">
        <v>1624</v>
      </c>
      <c r="D56" s="211">
        <v>6</v>
      </c>
      <c r="E56" s="131" t="s">
        <v>3775</v>
      </c>
      <c r="F56" s="214">
        <v>0.5625</v>
      </c>
      <c r="G56" s="131"/>
      <c r="H56" s="131">
        <v>1</v>
      </c>
      <c r="I56" s="131">
        <v>76544</v>
      </c>
      <c r="J56" s="212">
        <v>29943</v>
      </c>
      <c r="K56" s="131">
        <v>21.9</v>
      </c>
      <c r="L56" s="131">
        <v>64</v>
      </c>
      <c r="M56" s="131">
        <v>11.8</v>
      </c>
      <c r="N56" s="131">
        <v>99.3</v>
      </c>
      <c r="O56" s="131">
        <v>59.4</v>
      </c>
      <c r="P56" s="131">
        <v>95.1</v>
      </c>
      <c r="Q56" s="131">
        <v>12.1</v>
      </c>
      <c r="R56" s="131"/>
      <c r="S56" s="131">
        <v>3</v>
      </c>
      <c r="T56" s="131">
        <v>1</v>
      </c>
      <c r="U56" s="131">
        <v>0</v>
      </c>
      <c r="V56" s="131"/>
      <c r="W56" s="131">
        <v>8.6199999999999992</v>
      </c>
      <c r="X56" s="213"/>
      <c r="Y56" s="120"/>
      <c r="Z56" s="120"/>
      <c r="AA56" s="120"/>
      <c r="AB56" s="120"/>
      <c r="AC56" s="120"/>
      <c r="AD56" s="120"/>
      <c r="AE56" s="120"/>
      <c r="AF56" s="120"/>
      <c r="AG56" s="120"/>
      <c r="AH56" s="120"/>
      <c r="AI56" s="120"/>
      <c r="AJ56" s="120"/>
      <c r="AK56" s="120"/>
      <c r="AL56" s="120"/>
      <c r="AM56" s="120"/>
      <c r="AN56" s="120"/>
      <c r="AO56" s="120"/>
      <c r="AP56" s="120"/>
      <c r="AQ56" s="120"/>
    </row>
    <row r="57" spans="1:43" ht="15.75" customHeight="1" x14ac:dyDescent="0.55000000000000004">
      <c r="A57" s="210">
        <v>114</v>
      </c>
      <c r="B57" s="210" t="s">
        <v>1630</v>
      </c>
      <c r="C57" s="210" t="s">
        <v>1631</v>
      </c>
      <c r="D57" s="211">
        <v>5</v>
      </c>
      <c r="E57" s="131" t="s">
        <v>3762</v>
      </c>
      <c r="F57" s="214">
        <v>0.34375</v>
      </c>
      <c r="G57" s="214">
        <v>0.11458333333333333</v>
      </c>
      <c r="H57" s="131">
        <v>0</v>
      </c>
      <c r="I57" s="131">
        <v>98444</v>
      </c>
      <c r="J57" s="212">
        <v>33956</v>
      </c>
      <c r="K57" s="131">
        <v>30.1</v>
      </c>
      <c r="L57" s="131">
        <v>53.4</v>
      </c>
      <c r="M57" s="131">
        <v>18.399999999999999</v>
      </c>
      <c r="N57" s="131">
        <v>59.7</v>
      </c>
      <c r="O57" s="131">
        <v>57.4</v>
      </c>
      <c r="P57" s="131">
        <v>31.2</v>
      </c>
      <c r="Q57" s="131">
        <v>5</v>
      </c>
      <c r="R57" s="131">
        <v>20.3</v>
      </c>
      <c r="S57" s="131">
        <v>2.6</v>
      </c>
      <c r="T57" s="131">
        <v>1</v>
      </c>
      <c r="U57" s="131">
        <v>1</v>
      </c>
      <c r="V57" s="131">
        <v>78</v>
      </c>
      <c r="W57" s="131">
        <v>8.1</v>
      </c>
      <c r="X57" s="213"/>
      <c r="Y57" s="120"/>
      <c r="Z57" s="120"/>
      <c r="AA57" s="120"/>
      <c r="AB57" s="120"/>
      <c r="AC57" s="120"/>
      <c r="AD57" s="120"/>
      <c r="AE57" s="120"/>
      <c r="AF57" s="120"/>
      <c r="AG57" s="120"/>
      <c r="AH57" s="120"/>
      <c r="AI57" s="120"/>
      <c r="AJ57" s="120"/>
      <c r="AK57" s="120"/>
      <c r="AL57" s="120"/>
      <c r="AM57" s="120"/>
      <c r="AN57" s="120"/>
      <c r="AO57" s="120"/>
      <c r="AP57" s="120"/>
      <c r="AQ57" s="120"/>
    </row>
    <row r="58" spans="1:43" ht="15.75" customHeight="1" x14ac:dyDescent="0.55000000000000004">
      <c r="A58" s="210">
        <v>115</v>
      </c>
      <c r="B58" s="210" t="s">
        <v>1641</v>
      </c>
      <c r="C58" s="210" t="s">
        <v>1642</v>
      </c>
      <c r="D58" s="211">
        <v>5</v>
      </c>
      <c r="E58" s="131" t="s">
        <v>3762</v>
      </c>
      <c r="F58" s="131"/>
      <c r="G58" s="131"/>
      <c r="H58" s="131">
        <v>1</v>
      </c>
      <c r="I58" s="131">
        <v>91602</v>
      </c>
      <c r="J58" s="212">
        <v>17473</v>
      </c>
      <c r="K58" s="131">
        <v>38</v>
      </c>
      <c r="L58" s="131">
        <v>76.8</v>
      </c>
      <c r="M58" s="131">
        <v>7.2</v>
      </c>
      <c r="N58" s="131">
        <v>66.8</v>
      </c>
      <c r="O58" s="131">
        <v>70.099999999999994</v>
      </c>
      <c r="P58" s="131">
        <v>11.3</v>
      </c>
      <c r="Q58" s="131">
        <v>37.299999999999997</v>
      </c>
      <c r="R58" s="131">
        <v>13</v>
      </c>
      <c r="S58" s="131">
        <v>4</v>
      </c>
      <c r="T58" s="131">
        <v>0</v>
      </c>
      <c r="U58" s="131">
        <v>0</v>
      </c>
      <c r="V58" s="212">
        <v>10075</v>
      </c>
      <c r="W58" s="131">
        <v>8.1</v>
      </c>
      <c r="X58" s="213"/>
      <c r="Y58" s="120"/>
      <c r="Z58" s="120"/>
      <c r="AA58" s="120"/>
      <c r="AB58" s="120"/>
      <c r="AC58" s="120"/>
      <c r="AD58" s="120"/>
      <c r="AE58" s="120"/>
      <c r="AF58" s="120"/>
      <c r="AG58" s="120"/>
      <c r="AH58" s="120"/>
      <c r="AI58" s="120"/>
      <c r="AJ58" s="120"/>
      <c r="AK58" s="120"/>
      <c r="AL58" s="120"/>
      <c r="AM58" s="120"/>
      <c r="AN58" s="120"/>
      <c r="AO58" s="120"/>
      <c r="AP58" s="120"/>
      <c r="AQ58" s="120"/>
    </row>
    <row r="59" spans="1:43" ht="15.75" customHeight="1" x14ac:dyDescent="0.55000000000000004">
      <c r="A59" s="210">
        <v>116</v>
      </c>
      <c r="B59" s="210" t="s">
        <v>1644</v>
      </c>
      <c r="C59" s="210" t="s">
        <v>1645</v>
      </c>
      <c r="D59" s="211">
        <v>5</v>
      </c>
      <c r="E59" s="131" t="s">
        <v>3762</v>
      </c>
      <c r="F59" s="214">
        <v>0.92708333333333337</v>
      </c>
      <c r="G59" s="131"/>
      <c r="H59" s="131">
        <v>3</v>
      </c>
      <c r="I59" s="131">
        <v>33013</v>
      </c>
      <c r="J59" s="212">
        <v>33852</v>
      </c>
      <c r="K59" s="131">
        <v>43.8</v>
      </c>
      <c r="L59" s="131">
        <v>94.3</v>
      </c>
      <c r="M59" s="131">
        <v>18.399999999999999</v>
      </c>
      <c r="N59" s="131">
        <v>40.1</v>
      </c>
      <c r="O59" s="131">
        <v>49.8</v>
      </c>
      <c r="P59" s="131">
        <v>35.700000000000003</v>
      </c>
      <c r="Q59" s="131">
        <v>6.7</v>
      </c>
      <c r="R59" s="131">
        <v>35.5</v>
      </c>
      <c r="S59" s="131">
        <v>1.3</v>
      </c>
      <c r="T59" s="131">
        <v>0</v>
      </c>
      <c r="U59" s="131">
        <v>2</v>
      </c>
      <c r="V59" s="131">
        <v>343</v>
      </c>
      <c r="W59" s="131">
        <v>3.8</v>
      </c>
      <c r="X59" s="213"/>
      <c r="Y59" s="120"/>
      <c r="Z59" s="120"/>
      <c r="AA59" s="120"/>
      <c r="AB59" s="120"/>
      <c r="AC59" s="120"/>
      <c r="AD59" s="120"/>
      <c r="AE59" s="120"/>
      <c r="AF59" s="120"/>
      <c r="AG59" s="120"/>
      <c r="AH59" s="120"/>
      <c r="AI59" s="120"/>
      <c r="AJ59" s="120"/>
      <c r="AK59" s="120"/>
      <c r="AL59" s="120"/>
      <c r="AM59" s="120"/>
      <c r="AN59" s="120"/>
      <c r="AO59" s="120"/>
      <c r="AP59" s="120"/>
      <c r="AQ59" s="120"/>
    </row>
    <row r="60" spans="1:43" ht="15.75" customHeight="1" x14ac:dyDescent="0.55000000000000004">
      <c r="A60" s="210">
        <v>117</v>
      </c>
      <c r="B60" s="210" t="s">
        <v>1570</v>
      </c>
      <c r="C60" s="210" t="s">
        <v>1649</v>
      </c>
      <c r="D60" s="211">
        <v>6</v>
      </c>
      <c r="E60" s="131" t="s">
        <v>3746</v>
      </c>
      <c r="F60" s="214">
        <v>0.3125</v>
      </c>
      <c r="G60" s="214">
        <v>0.34375</v>
      </c>
      <c r="H60" s="131">
        <v>0</v>
      </c>
      <c r="I60" s="131" t="s">
        <v>3776</v>
      </c>
      <c r="J60" s="212">
        <v>22942</v>
      </c>
      <c r="K60" s="131">
        <v>35.9</v>
      </c>
      <c r="L60" s="131">
        <v>71.7</v>
      </c>
      <c r="M60" s="131">
        <v>12</v>
      </c>
      <c r="N60" s="131">
        <v>42.9</v>
      </c>
      <c r="O60" s="131">
        <v>68.3</v>
      </c>
      <c r="P60" s="131">
        <v>92.6</v>
      </c>
      <c r="Q60" s="131">
        <v>39.200000000000003</v>
      </c>
      <c r="R60" s="131"/>
      <c r="S60" s="131">
        <v>3.9</v>
      </c>
      <c r="T60" s="131">
        <v>2</v>
      </c>
      <c r="U60" s="131">
        <v>0</v>
      </c>
      <c r="V60" s="131"/>
      <c r="W60" s="131">
        <v>0</v>
      </c>
      <c r="X60" s="213"/>
      <c r="Y60" s="120"/>
      <c r="Z60" s="120"/>
      <c r="AA60" s="120"/>
      <c r="AB60" s="120"/>
      <c r="AC60" s="120"/>
      <c r="AD60" s="120"/>
      <c r="AE60" s="120"/>
      <c r="AF60" s="120"/>
      <c r="AG60" s="120"/>
      <c r="AH60" s="120"/>
      <c r="AI60" s="120"/>
      <c r="AJ60" s="120"/>
      <c r="AK60" s="120"/>
      <c r="AL60" s="120"/>
      <c r="AM60" s="120"/>
      <c r="AN60" s="120"/>
      <c r="AO60" s="120"/>
      <c r="AP60" s="120"/>
      <c r="AQ60" s="120"/>
    </row>
    <row r="61" spans="1:43" ht="15.75" customHeight="1" x14ac:dyDescent="0.55000000000000004">
      <c r="A61" s="210">
        <v>118</v>
      </c>
      <c r="B61" s="210" t="s">
        <v>1654</v>
      </c>
      <c r="C61" s="210" t="s">
        <v>1655</v>
      </c>
      <c r="D61" s="211">
        <v>5</v>
      </c>
      <c r="E61" s="131" t="s">
        <v>3762</v>
      </c>
      <c r="F61" s="214">
        <v>0.10416666666666667</v>
      </c>
      <c r="G61" s="214">
        <v>0.10416666666666667</v>
      </c>
      <c r="H61" s="131">
        <v>3</v>
      </c>
      <c r="I61" s="131">
        <v>14202</v>
      </c>
      <c r="J61" s="212">
        <v>3911</v>
      </c>
      <c r="K61" s="131">
        <v>36.6</v>
      </c>
      <c r="L61" s="131">
        <v>60</v>
      </c>
      <c r="M61" s="131">
        <v>9.1999999999999993</v>
      </c>
      <c r="N61" s="131">
        <v>77.599999999999994</v>
      </c>
      <c r="O61" s="131">
        <v>53</v>
      </c>
      <c r="P61" s="131">
        <v>30.5</v>
      </c>
      <c r="Q61" s="131">
        <v>27.7</v>
      </c>
      <c r="R61" s="131">
        <v>16.100000000000001</v>
      </c>
      <c r="S61" s="131">
        <v>1.9</v>
      </c>
      <c r="T61" s="131">
        <v>5</v>
      </c>
      <c r="U61" s="131">
        <v>0</v>
      </c>
      <c r="V61" s="212">
        <v>1000</v>
      </c>
      <c r="W61" s="131">
        <v>22.3</v>
      </c>
      <c r="X61" s="213"/>
      <c r="Y61" s="120"/>
      <c r="Z61" s="120"/>
      <c r="AA61" s="120"/>
      <c r="AB61" s="120"/>
      <c r="AC61" s="120"/>
      <c r="AD61" s="120"/>
      <c r="AE61" s="120"/>
      <c r="AF61" s="120"/>
      <c r="AG61" s="120"/>
      <c r="AH61" s="120"/>
      <c r="AI61" s="120"/>
      <c r="AJ61" s="120"/>
      <c r="AK61" s="120"/>
      <c r="AL61" s="120"/>
      <c r="AM61" s="120"/>
      <c r="AN61" s="120"/>
      <c r="AO61" s="120"/>
      <c r="AP61" s="120"/>
      <c r="AQ61" s="120"/>
    </row>
    <row r="62" spans="1:43" ht="15.75" customHeight="1" x14ac:dyDescent="0.55000000000000004">
      <c r="A62" s="210">
        <v>119</v>
      </c>
      <c r="B62" s="210" t="s">
        <v>1659</v>
      </c>
      <c r="C62" s="210" t="s">
        <v>1660</v>
      </c>
      <c r="D62" s="211">
        <v>7</v>
      </c>
      <c r="E62" s="131" t="s">
        <v>3777</v>
      </c>
      <c r="F62" s="214">
        <v>0.47916666666666669</v>
      </c>
      <c r="G62" s="214"/>
      <c r="H62" s="131">
        <v>0</v>
      </c>
      <c r="I62" s="131">
        <v>41339</v>
      </c>
      <c r="J62" s="212">
        <v>10000</v>
      </c>
      <c r="K62" s="131">
        <v>40</v>
      </c>
      <c r="L62" s="131">
        <v>97.3</v>
      </c>
      <c r="M62" s="131"/>
      <c r="N62" s="131"/>
      <c r="O62" s="131"/>
      <c r="P62" s="131"/>
      <c r="Q62" s="131"/>
      <c r="R62" s="131"/>
      <c r="S62" s="131"/>
      <c r="T62" s="131"/>
      <c r="U62" s="131"/>
      <c r="V62" s="212"/>
      <c r="W62" s="131"/>
      <c r="X62" s="213"/>
      <c r="Y62" s="120"/>
      <c r="Z62" s="120"/>
      <c r="AA62" s="120"/>
      <c r="AB62" s="120"/>
      <c r="AC62" s="120"/>
      <c r="AD62" s="120"/>
      <c r="AE62" s="120"/>
      <c r="AF62" s="120"/>
      <c r="AG62" s="120"/>
      <c r="AH62" s="120"/>
      <c r="AI62" s="120"/>
      <c r="AJ62" s="120"/>
      <c r="AK62" s="120"/>
      <c r="AL62" s="120"/>
      <c r="AM62" s="120"/>
      <c r="AN62" s="120"/>
      <c r="AO62" s="120"/>
      <c r="AP62" s="120"/>
      <c r="AQ62" s="120"/>
    </row>
    <row r="63" spans="1:43" ht="15.75" customHeight="1" x14ac:dyDescent="0.55000000000000004">
      <c r="A63" s="210">
        <v>120</v>
      </c>
      <c r="B63" s="210" t="s">
        <v>1664</v>
      </c>
      <c r="C63" s="210" t="s">
        <v>1665</v>
      </c>
      <c r="D63" s="211">
        <v>4</v>
      </c>
      <c r="E63" s="131" t="s">
        <v>3747</v>
      </c>
      <c r="F63" s="214">
        <v>0.4236111111111111</v>
      </c>
      <c r="G63" s="214">
        <v>0.42708333333333331</v>
      </c>
      <c r="H63" s="131">
        <v>0</v>
      </c>
      <c r="I63" s="131">
        <v>85704</v>
      </c>
      <c r="J63" s="212">
        <v>30929</v>
      </c>
      <c r="K63" s="131">
        <v>48.1</v>
      </c>
      <c r="L63" s="131">
        <v>86.9</v>
      </c>
      <c r="M63" s="131">
        <v>9.1</v>
      </c>
      <c r="N63" s="131">
        <v>40.5</v>
      </c>
      <c r="O63" s="131">
        <v>53.9</v>
      </c>
      <c r="P63" s="131">
        <v>21.6</v>
      </c>
      <c r="Q63" s="131">
        <v>13.5</v>
      </c>
      <c r="R63" s="131"/>
      <c r="S63" s="131">
        <v>3.4</v>
      </c>
      <c r="T63" s="131">
        <v>5</v>
      </c>
      <c r="U63" s="131">
        <v>0</v>
      </c>
      <c r="V63" s="131">
        <v>994</v>
      </c>
      <c r="W63" s="131">
        <v>9.8000000000000007</v>
      </c>
      <c r="X63" s="213"/>
      <c r="Y63" s="120"/>
      <c r="Z63" s="120"/>
      <c r="AA63" s="120"/>
      <c r="AB63" s="120"/>
      <c r="AC63" s="120"/>
      <c r="AD63" s="120"/>
      <c r="AE63" s="120"/>
      <c r="AF63" s="120"/>
      <c r="AG63" s="120"/>
      <c r="AH63" s="120"/>
      <c r="AI63" s="120"/>
      <c r="AJ63" s="120"/>
      <c r="AK63" s="120"/>
      <c r="AL63" s="120"/>
      <c r="AM63" s="120"/>
      <c r="AN63" s="120"/>
      <c r="AO63" s="120"/>
      <c r="AP63" s="120"/>
      <c r="AQ63" s="120"/>
    </row>
    <row r="64" spans="1:43" ht="15.75" customHeight="1" x14ac:dyDescent="0.55000000000000004">
      <c r="A64" s="210">
        <v>121</v>
      </c>
      <c r="B64" s="210" t="s">
        <v>1671</v>
      </c>
      <c r="C64" s="210" t="s">
        <v>1046</v>
      </c>
      <c r="D64" s="211">
        <v>7</v>
      </c>
      <c r="E64" s="120" t="s">
        <v>3778</v>
      </c>
      <c r="F64" s="218">
        <v>0.45833333333333331</v>
      </c>
      <c r="G64" s="120"/>
      <c r="H64" s="120">
        <v>0</v>
      </c>
      <c r="I64" s="120">
        <v>44306</v>
      </c>
      <c r="J64" s="212">
        <v>22492</v>
      </c>
      <c r="K64" s="216">
        <v>31.7</v>
      </c>
      <c r="L64" s="216">
        <v>48.7</v>
      </c>
      <c r="M64" s="216">
        <v>29.9</v>
      </c>
      <c r="N64" s="216">
        <v>52.4</v>
      </c>
      <c r="O64" s="216">
        <v>50.2</v>
      </c>
      <c r="P64" s="216">
        <v>78.400000000000006</v>
      </c>
      <c r="Q64" s="216">
        <v>7.3</v>
      </c>
      <c r="R64" s="216"/>
      <c r="S64" s="120">
        <v>3.6</v>
      </c>
      <c r="T64" s="120">
        <v>2</v>
      </c>
      <c r="U64" s="120">
        <v>0</v>
      </c>
      <c r="V64" s="120">
        <v>26</v>
      </c>
      <c r="W64" s="120"/>
      <c r="X64" s="217"/>
      <c r="Y64" s="131"/>
      <c r="Z64" s="131"/>
      <c r="AA64" s="131"/>
      <c r="AB64" s="131"/>
      <c r="AC64" s="131"/>
      <c r="AD64" s="131"/>
      <c r="AE64" s="131"/>
      <c r="AF64" s="131"/>
      <c r="AG64" s="131"/>
      <c r="AH64" s="131"/>
      <c r="AI64" s="131"/>
      <c r="AJ64" s="131"/>
      <c r="AK64" s="131"/>
      <c r="AL64" s="131"/>
      <c r="AM64" s="131"/>
      <c r="AN64" s="131"/>
      <c r="AO64" s="131"/>
      <c r="AP64" s="131"/>
      <c r="AQ64" s="131"/>
    </row>
    <row r="65" spans="1:43" ht="15.75" customHeight="1" x14ac:dyDescent="0.55000000000000004">
      <c r="A65" s="210">
        <v>122</v>
      </c>
      <c r="B65" s="210" t="s">
        <v>1676</v>
      </c>
      <c r="C65" s="210" t="s">
        <v>1677</v>
      </c>
      <c r="D65" s="211">
        <v>5</v>
      </c>
      <c r="E65" s="131" t="s">
        <v>3762</v>
      </c>
      <c r="F65" s="214">
        <v>0.37361111111111112</v>
      </c>
      <c r="G65" s="222" t="s">
        <v>3779</v>
      </c>
      <c r="H65" s="131">
        <v>0</v>
      </c>
      <c r="I65" s="131">
        <v>89701</v>
      </c>
      <c r="J65" s="212">
        <v>27625</v>
      </c>
      <c r="K65" s="131">
        <v>40.200000000000003</v>
      </c>
      <c r="L65" s="131">
        <v>79.3</v>
      </c>
      <c r="M65" s="131">
        <v>12.3</v>
      </c>
      <c r="N65" s="131">
        <v>41.4</v>
      </c>
      <c r="O65" s="131">
        <v>52.8</v>
      </c>
      <c r="P65" s="131">
        <v>36.6</v>
      </c>
      <c r="Q65" s="131">
        <v>39.1</v>
      </c>
      <c r="R65" s="131">
        <v>23.6</v>
      </c>
      <c r="S65" s="131">
        <v>5.5</v>
      </c>
      <c r="T65" s="131">
        <v>5</v>
      </c>
      <c r="U65" s="131">
        <v>2</v>
      </c>
      <c r="V65" s="131"/>
      <c r="W65" s="131"/>
      <c r="X65" s="213"/>
      <c r="Y65" s="120"/>
      <c r="Z65" s="120"/>
      <c r="AA65" s="120"/>
      <c r="AB65" s="120"/>
      <c r="AC65" s="120"/>
      <c r="AD65" s="120"/>
      <c r="AE65" s="120"/>
      <c r="AF65" s="120"/>
      <c r="AG65" s="120"/>
      <c r="AH65" s="120"/>
      <c r="AI65" s="120"/>
      <c r="AJ65" s="120"/>
      <c r="AK65" s="120"/>
      <c r="AL65" s="120"/>
      <c r="AM65" s="120"/>
      <c r="AN65" s="120"/>
      <c r="AO65" s="120"/>
      <c r="AP65" s="120"/>
      <c r="AQ65" s="120"/>
    </row>
    <row r="66" spans="1:43" ht="15.75" customHeight="1" x14ac:dyDescent="0.55000000000000004">
      <c r="A66" s="210">
        <v>123</v>
      </c>
      <c r="B66" s="210" t="s">
        <v>1681</v>
      </c>
      <c r="C66" s="210" t="s">
        <v>1682</v>
      </c>
      <c r="D66" s="211">
        <v>4</v>
      </c>
      <c r="E66" s="131" t="s">
        <v>3747</v>
      </c>
      <c r="F66" s="214">
        <v>0.55625000000000002</v>
      </c>
      <c r="G66" s="214">
        <v>0.55972222222222223</v>
      </c>
      <c r="H66" s="131">
        <v>1</v>
      </c>
      <c r="I66" s="131">
        <v>90740</v>
      </c>
      <c r="J66" s="212">
        <v>23729</v>
      </c>
      <c r="K66" s="131">
        <v>57.5</v>
      </c>
      <c r="L66" s="131">
        <v>83.2</v>
      </c>
      <c r="M66" s="131">
        <v>6.1</v>
      </c>
      <c r="N66" s="131">
        <v>25.2</v>
      </c>
      <c r="O66" s="131">
        <v>94.4</v>
      </c>
      <c r="P66" s="131">
        <v>42.3</v>
      </c>
      <c r="Q66" s="131">
        <v>12.6</v>
      </c>
      <c r="R66" s="131"/>
      <c r="S66" s="131">
        <v>5.8</v>
      </c>
      <c r="T66" s="131">
        <v>1</v>
      </c>
      <c r="U66" s="131">
        <v>0</v>
      </c>
      <c r="V66" s="131">
        <v>36</v>
      </c>
      <c r="W66" s="131">
        <v>4.0999999999999996</v>
      </c>
      <c r="X66" s="213"/>
      <c r="Y66" s="120"/>
      <c r="Z66" s="120"/>
      <c r="AA66" s="120"/>
      <c r="AB66" s="120"/>
      <c r="AC66" s="120"/>
      <c r="AD66" s="120"/>
      <c r="AE66" s="120"/>
      <c r="AF66" s="120"/>
      <c r="AG66" s="120"/>
      <c r="AH66" s="120"/>
      <c r="AI66" s="120"/>
      <c r="AJ66" s="120"/>
      <c r="AK66" s="120"/>
      <c r="AL66" s="120"/>
      <c r="AM66" s="120"/>
      <c r="AN66" s="120"/>
      <c r="AO66" s="120"/>
      <c r="AP66" s="120"/>
      <c r="AQ66" s="120"/>
    </row>
    <row r="67" spans="1:43" ht="15.75" customHeight="1" x14ac:dyDescent="0.55000000000000004">
      <c r="A67" s="210">
        <v>124</v>
      </c>
      <c r="B67" s="210" t="s">
        <v>1689</v>
      </c>
      <c r="C67" s="210" t="s">
        <v>1690</v>
      </c>
      <c r="D67" s="131">
        <v>1</v>
      </c>
      <c r="E67" s="131" t="s">
        <v>3766</v>
      </c>
      <c r="F67" s="222" t="s">
        <v>3780</v>
      </c>
      <c r="G67" s="222" t="s">
        <v>3781</v>
      </c>
      <c r="H67" s="131">
        <v>0</v>
      </c>
      <c r="I67" s="131">
        <v>94621</v>
      </c>
      <c r="J67" s="212">
        <v>29870</v>
      </c>
      <c r="K67" s="131">
        <v>28.8</v>
      </c>
      <c r="L67" s="131">
        <v>20.3</v>
      </c>
      <c r="M67" s="131">
        <v>28.8</v>
      </c>
      <c r="N67" s="131">
        <v>63.3</v>
      </c>
      <c r="O67" s="131">
        <v>51.5</v>
      </c>
      <c r="P67" s="131">
        <v>58.7</v>
      </c>
      <c r="Q67" s="131">
        <v>6.5</v>
      </c>
      <c r="R67" s="131">
        <v>22.9</v>
      </c>
      <c r="S67" s="131">
        <v>4.3</v>
      </c>
      <c r="T67" s="131">
        <v>2</v>
      </c>
      <c r="U67" s="131">
        <v>0</v>
      </c>
      <c r="V67" s="131">
        <v>695</v>
      </c>
      <c r="W67" s="131">
        <v>26.2</v>
      </c>
      <c r="X67" s="213"/>
      <c r="Y67" s="120"/>
      <c r="Z67" s="120"/>
      <c r="AA67" s="120"/>
      <c r="AB67" s="120"/>
      <c r="AC67" s="120"/>
      <c r="AD67" s="120"/>
      <c r="AE67" s="120"/>
      <c r="AF67" s="120"/>
      <c r="AG67" s="120"/>
      <c r="AH67" s="120"/>
      <c r="AI67" s="120"/>
      <c r="AJ67" s="120"/>
      <c r="AK67" s="120"/>
      <c r="AL67" s="120"/>
      <c r="AM67" s="120"/>
      <c r="AN67" s="120"/>
      <c r="AO67" s="120"/>
      <c r="AP67" s="120"/>
      <c r="AQ67" s="120"/>
    </row>
    <row r="68" spans="1:43" ht="15.75" customHeight="1" x14ac:dyDescent="0.55000000000000004">
      <c r="A68" s="210">
        <v>125</v>
      </c>
      <c r="B68" s="210" t="s">
        <v>1694</v>
      </c>
      <c r="C68" s="210" t="s">
        <v>1695</v>
      </c>
      <c r="D68" s="211">
        <v>5</v>
      </c>
      <c r="E68" s="131" t="s">
        <v>3762</v>
      </c>
      <c r="F68" s="214">
        <v>0.45833333333333331</v>
      </c>
      <c r="G68" s="214">
        <v>0.66666666666666663</v>
      </c>
      <c r="H68" s="131">
        <v>0</v>
      </c>
      <c r="I68" s="131">
        <v>98105</v>
      </c>
      <c r="J68" s="212">
        <v>43924</v>
      </c>
      <c r="K68" s="131">
        <v>23.1</v>
      </c>
      <c r="L68" s="131">
        <v>71.400000000000006</v>
      </c>
      <c r="M68" s="131">
        <v>4.5999999999999996</v>
      </c>
      <c r="N68" s="131">
        <v>65.5</v>
      </c>
      <c r="O68" s="131">
        <v>57.5</v>
      </c>
      <c r="P68" s="131">
        <v>9</v>
      </c>
      <c r="Q68" s="131">
        <v>14.5</v>
      </c>
      <c r="R68" s="131">
        <v>9.6999999999999993</v>
      </c>
      <c r="S68" s="131">
        <v>1.8</v>
      </c>
      <c r="T68" s="131">
        <v>3</v>
      </c>
      <c r="U68" s="131">
        <v>0</v>
      </c>
      <c r="V68" s="212">
        <v>1444</v>
      </c>
      <c r="W68" s="131">
        <v>3.2</v>
      </c>
      <c r="X68" s="213"/>
      <c r="Y68" s="120"/>
      <c r="Z68" s="120"/>
      <c r="AA68" s="120"/>
      <c r="AB68" s="120"/>
      <c r="AC68" s="120"/>
      <c r="AD68" s="120"/>
      <c r="AE68" s="120"/>
      <c r="AF68" s="120"/>
      <c r="AG68" s="120"/>
      <c r="AH68" s="120"/>
      <c r="AI68" s="120"/>
      <c r="AJ68" s="120"/>
      <c r="AK68" s="120"/>
      <c r="AL68" s="120"/>
      <c r="AM68" s="120"/>
      <c r="AN68" s="120"/>
      <c r="AO68" s="120"/>
      <c r="AP68" s="120"/>
      <c r="AQ68" s="120"/>
    </row>
    <row r="69" spans="1:43" ht="15.75" customHeight="1" x14ac:dyDescent="0.55000000000000004">
      <c r="A69" s="210">
        <v>126</v>
      </c>
      <c r="B69" s="210" t="s">
        <v>1702</v>
      </c>
      <c r="C69" s="210" t="s">
        <v>1061</v>
      </c>
      <c r="D69" s="211">
        <v>7</v>
      </c>
      <c r="E69" s="131" t="s">
        <v>3782</v>
      </c>
      <c r="F69" s="214">
        <v>0</v>
      </c>
      <c r="G69" s="214">
        <v>3.472222222222222E-3</v>
      </c>
      <c r="H69" s="131">
        <v>3</v>
      </c>
      <c r="I69" s="131">
        <v>80012</v>
      </c>
      <c r="J69" s="212">
        <v>46665</v>
      </c>
      <c r="K69" s="131">
        <v>32.799999999999997</v>
      </c>
      <c r="L69" s="131">
        <v>51.4</v>
      </c>
      <c r="M69" s="131">
        <v>15.7</v>
      </c>
      <c r="N69" s="131">
        <v>50.8</v>
      </c>
      <c r="O69" s="131">
        <v>62.8</v>
      </c>
      <c r="P69" s="131">
        <v>83.1</v>
      </c>
      <c r="Q69" s="131">
        <v>21.4</v>
      </c>
      <c r="R69" s="131">
        <v>26.5</v>
      </c>
      <c r="S69" s="131">
        <v>2</v>
      </c>
      <c r="T69" s="131">
        <v>1</v>
      </c>
      <c r="U69" s="131">
        <v>1</v>
      </c>
      <c r="V69" s="131">
        <v>729</v>
      </c>
      <c r="W69" s="131">
        <v>2.7</v>
      </c>
      <c r="X69" s="213"/>
      <c r="Y69" s="120"/>
      <c r="Z69" s="120"/>
      <c r="AA69" s="120"/>
      <c r="AB69" s="120"/>
      <c r="AC69" s="120"/>
      <c r="AD69" s="120"/>
      <c r="AE69" s="120"/>
      <c r="AF69" s="120"/>
      <c r="AG69" s="120"/>
      <c r="AH69" s="120"/>
      <c r="AI69" s="120"/>
      <c r="AJ69" s="120"/>
      <c r="AK69" s="120"/>
      <c r="AL69" s="120"/>
      <c r="AM69" s="120"/>
      <c r="AN69" s="120"/>
      <c r="AO69" s="120"/>
      <c r="AP69" s="120"/>
      <c r="AQ69" s="120"/>
    </row>
    <row r="70" spans="1:43" ht="15.75" customHeight="1" x14ac:dyDescent="0.55000000000000004">
      <c r="A70" s="210">
        <v>127</v>
      </c>
      <c r="B70" s="210" t="s">
        <v>1711</v>
      </c>
      <c r="C70" s="210" t="s">
        <v>1712</v>
      </c>
      <c r="D70" s="211">
        <v>3</v>
      </c>
      <c r="E70" s="120" t="s">
        <v>3754</v>
      </c>
      <c r="F70" s="218">
        <v>0.43402777777777779</v>
      </c>
      <c r="G70" s="120"/>
      <c r="H70" s="120">
        <v>0</v>
      </c>
      <c r="I70" s="120">
        <v>53154</v>
      </c>
      <c r="J70" s="212">
        <v>34451</v>
      </c>
      <c r="K70" s="216">
        <v>37.4</v>
      </c>
      <c r="L70" s="216">
        <v>87.7</v>
      </c>
      <c r="M70" s="216">
        <v>8.1999999999999993</v>
      </c>
      <c r="N70" s="216">
        <v>38.700000000000003</v>
      </c>
      <c r="O70" s="216">
        <v>69</v>
      </c>
      <c r="P70" s="216">
        <v>92.2</v>
      </c>
      <c r="Q70" s="216">
        <v>29.3</v>
      </c>
      <c r="R70" s="216">
        <v>7.6</v>
      </c>
      <c r="S70" s="120"/>
      <c r="T70" s="120">
        <v>5</v>
      </c>
      <c r="U70" s="120">
        <v>0</v>
      </c>
      <c r="V70" s="120">
        <v>44</v>
      </c>
      <c r="W70" s="120">
        <v>17.3</v>
      </c>
      <c r="X70" s="217"/>
      <c r="Y70" s="131"/>
      <c r="Z70" s="131"/>
      <c r="AA70" s="131"/>
      <c r="AB70" s="131"/>
      <c r="AC70" s="131"/>
      <c r="AD70" s="131"/>
      <c r="AE70" s="131"/>
      <c r="AF70" s="131"/>
      <c r="AG70" s="131"/>
      <c r="AH70" s="131"/>
      <c r="AI70" s="131"/>
      <c r="AJ70" s="131"/>
      <c r="AK70" s="131"/>
      <c r="AL70" s="131"/>
      <c r="AM70" s="131"/>
      <c r="AN70" s="131"/>
      <c r="AO70" s="131"/>
      <c r="AP70" s="131"/>
      <c r="AQ70" s="131"/>
    </row>
    <row r="71" spans="1:43" ht="15.75" customHeight="1" x14ac:dyDescent="0.55000000000000004">
      <c r="A71" s="210">
        <v>128</v>
      </c>
      <c r="B71" s="210" t="s">
        <v>1716</v>
      </c>
      <c r="C71" s="210" t="s">
        <v>1312</v>
      </c>
      <c r="D71" s="211">
        <v>6</v>
      </c>
      <c r="E71" s="131" t="s">
        <v>3746</v>
      </c>
      <c r="F71" s="214">
        <v>0.6875</v>
      </c>
      <c r="G71" s="131"/>
      <c r="H71" s="131">
        <v>1</v>
      </c>
      <c r="I71" s="131">
        <v>55405</v>
      </c>
      <c r="J71" s="212">
        <v>15411</v>
      </c>
      <c r="K71" s="131">
        <v>31.1</v>
      </c>
      <c r="L71" s="131">
        <v>69.599999999999994</v>
      </c>
      <c r="M71" s="131">
        <v>12.6</v>
      </c>
      <c r="N71" s="131">
        <v>64.3</v>
      </c>
      <c r="O71" s="131">
        <v>59.4</v>
      </c>
      <c r="P71" s="131">
        <v>85</v>
      </c>
      <c r="Q71" s="131">
        <v>27.9</v>
      </c>
      <c r="R71" s="131"/>
      <c r="S71" s="131">
        <v>3.3</v>
      </c>
      <c r="T71" s="131">
        <v>3</v>
      </c>
      <c r="U71" s="131">
        <v>0</v>
      </c>
      <c r="V71" s="131">
        <v>800</v>
      </c>
      <c r="W71" s="131">
        <v>8.3000000000000007</v>
      </c>
      <c r="X71" s="213"/>
      <c r="Y71" s="120"/>
      <c r="Z71" s="120"/>
      <c r="AA71" s="120"/>
      <c r="AB71" s="120"/>
      <c r="AC71" s="120"/>
      <c r="AD71" s="120"/>
      <c r="AE71" s="120"/>
      <c r="AF71" s="120"/>
      <c r="AG71" s="120"/>
      <c r="AH71" s="120"/>
      <c r="AI71" s="120"/>
      <c r="AJ71" s="120"/>
      <c r="AK71" s="120"/>
      <c r="AL71" s="120"/>
      <c r="AM71" s="120"/>
      <c r="AN71" s="120"/>
      <c r="AO71" s="120"/>
      <c r="AP71" s="120"/>
      <c r="AQ71" s="120"/>
    </row>
    <row r="72" spans="1:43" ht="15.75" customHeight="1" x14ac:dyDescent="0.55000000000000004">
      <c r="A72" s="210">
        <v>129</v>
      </c>
      <c r="B72" s="210" t="s">
        <v>1721</v>
      </c>
      <c r="C72" s="210" t="s">
        <v>1722</v>
      </c>
      <c r="D72" s="211">
        <v>0</v>
      </c>
      <c r="E72" s="131" t="s">
        <v>3753</v>
      </c>
      <c r="F72" s="214">
        <v>0.39583333333333331</v>
      </c>
      <c r="G72" s="214">
        <v>0.40902777777777777</v>
      </c>
      <c r="H72" s="131">
        <v>0</v>
      </c>
      <c r="I72" s="131" t="s">
        <v>3783</v>
      </c>
      <c r="J72" s="212">
        <v>27560</v>
      </c>
      <c r="K72" s="131">
        <v>42.7</v>
      </c>
      <c r="L72" s="131">
        <v>92.8</v>
      </c>
      <c r="M72" s="131">
        <v>14</v>
      </c>
      <c r="N72" s="131"/>
      <c r="O72" s="131">
        <v>66.2</v>
      </c>
      <c r="P72" s="131">
        <v>95.9</v>
      </c>
      <c r="Q72" s="131">
        <v>55.9</v>
      </c>
      <c r="R72" s="131">
        <v>2.6</v>
      </c>
      <c r="S72" s="131">
        <v>14.9</v>
      </c>
      <c r="T72" s="131">
        <v>5</v>
      </c>
      <c r="U72" s="131">
        <v>0</v>
      </c>
      <c r="V72" s="131">
        <v>48</v>
      </c>
      <c r="W72" s="131">
        <v>0</v>
      </c>
      <c r="X72" s="217"/>
      <c r="Y72" s="131"/>
      <c r="Z72" s="131"/>
      <c r="AA72" s="131"/>
      <c r="AB72" s="131"/>
      <c r="AC72" s="131"/>
      <c r="AD72" s="131"/>
      <c r="AE72" s="131"/>
      <c r="AF72" s="131"/>
      <c r="AG72" s="131"/>
      <c r="AH72" s="131"/>
      <c r="AI72" s="131"/>
      <c r="AJ72" s="131"/>
      <c r="AK72" s="131"/>
      <c r="AL72" s="131"/>
      <c r="AM72" s="131"/>
      <c r="AN72" s="131"/>
      <c r="AO72" s="131"/>
      <c r="AP72" s="131"/>
      <c r="AQ72" s="131"/>
    </row>
    <row r="73" spans="1:43" ht="15.75" customHeight="1" x14ac:dyDescent="0.55000000000000004">
      <c r="A73" s="210">
        <v>130</v>
      </c>
      <c r="B73" s="210" t="s">
        <v>1728</v>
      </c>
      <c r="C73" s="210" t="s">
        <v>1729</v>
      </c>
      <c r="D73" s="211">
        <v>4</v>
      </c>
      <c r="E73" s="131" t="s">
        <v>3747</v>
      </c>
      <c r="F73" s="214">
        <v>0.39583333333333331</v>
      </c>
      <c r="G73" s="214">
        <v>0.33333333333333331</v>
      </c>
      <c r="H73" s="131">
        <v>0</v>
      </c>
      <c r="I73" s="131">
        <v>13407</v>
      </c>
      <c r="J73" s="212">
        <v>5453</v>
      </c>
      <c r="K73" s="131">
        <v>43.4</v>
      </c>
      <c r="L73" s="131">
        <v>97.3</v>
      </c>
      <c r="M73" s="131">
        <v>11.4</v>
      </c>
      <c r="N73" s="131">
        <v>27.1</v>
      </c>
      <c r="O73" s="131">
        <v>55.7</v>
      </c>
      <c r="P73" s="131">
        <v>88.1</v>
      </c>
      <c r="Q73" s="131">
        <v>17.3</v>
      </c>
      <c r="R73" s="131">
        <v>7.4</v>
      </c>
      <c r="S73" s="131">
        <v>26.5</v>
      </c>
      <c r="T73" s="131">
        <v>0</v>
      </c>
      <c r="U73" s="131">
        <v>0</v>
      </c>
      <c r="V73" s="131">
        <v>16</v>
      </c>
      <c r="W73" s="131"/>
      <c r="X73" s="213"/>
      <c r="Y73" s="120"/>
      <c r="Z73" s="120"/>
      <c r="AA73" s="120"/>
      <c r="AB73" s="120"/>
      <c r="AC73" s="120"/>
      <c r="AD73" s="120"/>
      <c r="AE73" s="120"/>
      <c r="AF73" s="120"/>
      <c r="AG73" s="120"/>
      <c r="AH73" s="120"/>
      <c r="AI73" s="120"/>
      <c r="AJ73" s="120"/>
      <c r="AK73" s="120"/>
      <c r="AL73" s="120"/>
      <c r="AM73" s="120"/>
      <c r="AN73" s="120"/>
      <c r="AO73" s="120"/>
      <c r="AP73" s="120"/>
      <c r="AQ73" s="120"/>
    </row>
    <row r="74" spans="1:43" ht="15.75" customHeight="1" x14ac:dyDescent="0.55000000000000004">
      <c r="A74" s="210">
        <v>131</v>
      </c>
      <c r="B74" s="210" t="s">
        <v>1733</v>
      </c>
      <c r="C74" s="210" t="s">
        <v>1734</v>
      </c>
      <c r="D74" s="211">
        <v>7</v>
      </c>
      <c r="E74" s="131" t="s">
        <v>3784</v>
      </c>
      <c r="F74" s="214">
        <v>0.89930555555555558</v>
      </c>
      <c r="G74" s="214">
        <v>0.90625</v>
      </c>
      <c r="H74" s="131">
        <v>3</v>
      </c>
      <c r="I74" s="131">
        <v>98003</v>
      </c>
      <c r="J74" s="212">
        <v>44151</v>
      </c>
      <c r="K74" s="131">
        <v>34.700000000000003</v>
      </c>
      <c r="L74" s="131">
        <v>55.4</v>
      </c>
      <c r="M74" s="131">
        <v>14.9</v>
      </c>
      <c r="N74" s="131">
        <v>50.8</v>
      </c>
      <c r="O74" s="131">
        <v>57.8</v>
      </c>
      <c r="P74" s="131">
        <v>87.6</v>
      </c>
      <c r="Q74" s="131">
        <v>21.2</v>
      </c>
      <c r="R74" s="131">
        <v>18.600000000000001</v>
      </c>
      <c r="S74" s="131">
        <v>1.8</v>
      </c>
      <c r="T74" s="131">
        <v>3</v>
      </c>
      <c r="U74" s="131">
        <v>1</v>
      </c>
      <c r="V74" s="131">
        <v>136</v>
      </c>
      <c r="W74" s="131">
        <v>3.3</v>
      </c>
      <c r="X74" s="213"/>
      <c r="Y74" s="120"/>
      <c r="Z74" s="120"/>
      <c r="AA74" s="120"/>
      <c r="AB74" s="120"/>
      <c r="AC74" s="120"/>
      <c r="AD74" s="120"/>
      <c r="AE74" s="120"/>
      <c r="AF74" s="120"/>
      <c r="AG74" s="120"/>
      <c r="AH74" s="120"/>
      <c r="AI74" s="120"/>
      <c r="AJ74" s="120"/>
      <c r="AK74" s="120"/>
      <c r="AL74" s="120"/>
      <c r="AM74" s="120"/>
      <c r="AN74" s="120"/>
      <c r="AO74" s="120"/>
      <c r="AP74" s="120"/>
      <c r="AQ74" s="120"/>
    </row>
    <row r="75" spans="1:43" ht="15.75" customHeight="1" x14ac:dyDescent="0.55000000000000004">
      <c r="A75" s="210">
        <v>132</v>
      </c>
      <c r="B75" s="210" t="s">
        <v>1738</v>
      </c>
      <c r="C75" s="210" t="s">
        <v>1014</v>
      </c>
      <c r="D75" s="131">
        <v>1</v>
      </c>
      <c r="E75" s="131" t="s">
        <v>3766</v>
      </c>
      <c r="F75" s="222" t="s">
        <v>3785</v>
      </c>
      <c r="G75" s="222" t="s">
        <v>3786</v>
      </c>
      <c r="H75" s="131">
        <v>0</v>
      </c>
      <c r="I75" s="131">
        <v>90405</v>
      </c>
      <c r="J75" s="212">
        <v>27186</v>
      </c>
      <c r="K75" s="131">
        <v>40.799999999999997</v>
      </c>
      <c r="L75" s="131">
        <v>79.5</v>
      </c>
      <c r="M75" s="131">
        <v>7.1</v>
      </c>
      <c r="N75" s="131">
        <v>66.900000000000006</v>
      </c>
      <c r="O75" s="131">
        <v>63.7</v>
      </c>
      <c r="P75" s="131">
        <v>96.1</v>
      </c>
      <c r="Q75" s="131">
        <v>63.9</v>
      </c>
      <c r="R75" s="131">
        <v>12</v>
      </c>
      <c r="S75" s="131">
        <v>1.5</v>
      </c>
      <c r="T75" s="131">
        <v>0</v>
      </c>
      <c r="U75" s="131">
        <v>0</v>
      </c>
      <c r="V75" s="131">
        <v>216</v>
      </c>
      <c r="W75" s="131">
        <v>7.35</v>
      </c>
      <c r="X75" s="213"/>
      <c r="Y75" s="120"/>
      <c r="Z75" s="120"/>
      <c r="AA75" s="120"/>
      <c r="AB75" s="120"/>
      <c r="AC75" s="120"/>
      <c r="AD75" s="120"/>
      <c r="AE75" s="120"/>
      <c r="AF75" s="120"/>
      <c r="AG75" s="120"/>
      <c r="AH75" s="120"/>
      <c r="AI75" s="120"/>
      <c r="AJ75" s="120"/>
      <c r="AK75" s="120"/>
      <c r="AL75" s="120"/>
      <c r="AM75" s="120"/>
      <c r="AN75" s="120"/>
      <c r="AO75" s="120"/>
      <c r="AP75" s="120"/>
      <c r="AQ75" s="120"/>
    </row>
    <row r="76" spans="1:43" ht="15.75" customHeight="1" x14ac:dyDescent="0.55000000000000004">
      <c r="A76" s="210">
        <v>133</v>
      </c>
      <c r="B76" s="210" t="s">
        <v>1744</v>
      </c>
      <c r="C76" s="210" t="s">
        <v>1745</v>
      </c>
      <c r="D76" s="211">
        <v>7</v>
      </c>
      <c r="E76" s="131" t="s">
        <v>3787</v>
      </c>
      <c r="F76" s="214">
        <v>0.77083333333333337</v>
      </c>
      <c r="G76" s="214">
        <v>0.10416666666666667</v>
      </c>
      <c r="H76" s="131">
        <v>2</v>
      </c>
      <c r="I76" s="131">
        <v>33012</v>
      </c>
      <c r="J76" s="212">
        <v>72248</v>
      </c>
      <c r="K76" s="131">
        <v>44.1</v>
      </c>
      <c r="L76" s="131">
        <v>94.1</v>
      </c>
      <c r="M76" s="131">
        <v>19.2</v>
      </c>
      <c r="N76" s="131">
        <v>46.7</v>
      </c>
      <c r="O76" s="131">
        <v>51</v>
      </c>
      <c r="P76" s="131">
        <v>68.3</v>
      </c>
      <c r="Q76" s="131">
        <v>15</v>
      </c>
      <c r="R76" s="131">
        <v>32.299999999999997</v>
      </c>
      <c r="S76" s="131">
        <v>2.5</v>
      </c>
      <c r="T76" s="131">
        <v>2</v>
      </c>
      <c r="U76" s="131">
        <v>3</v>
      </c>
      <c r="V76" s="131">
        <v>355</v>
      </c>
      <c r="W76" s="131">
        <v>1.7</v>
      </c>
      <c r="X76" s="213"/>
      <c r="Y76" s="120"/>
      <c r="Z76" s="120"/>
      <c r="AA76" s="120"/>
      <c r="AB76" s="120"/>
      <c r="AC76" s="120"/>
      <c r="AD76" s="120"/>
      <c r="AE76" s="120"/>
      <c r="AF76" s="120"/>
      <c r="AG76" s="120"/>
      <c r="AH76" s="120"/>
      <c r="AI76" s="120"/>
      <c r="AJ76" s="120"/>
      <c r="AK76" s="120"/>
      <c r="AL76" s="120"/>
      <c r="AM76" s="120"/>
      <c r="AN76" s="120"/>
      <c r="AO76" s="120"/>
      <c r="AP76" s="120"/>
      <c r="AQ76" s="120"/>
    </row>
    <row r="77" spans="1:43" ht="15.75" customHeight="1" x14ac:dyDescent="0.55000000000000004">
      <c r="A77" s="210">
        <v>134</v>
      </c>
      <c r="B77" s="210" t="s">
        <v>1751</v>
      </c>
      <c r="C77" s="210" t="s">
        <v>1752</v>
      </c>
      <c r="D77" s="211">
        <v>6</v>
      </c>
      <c r="E77" s="131" t="s">
        <v>3775</v>
      </c>
      <c r="F77" s="214">
        <v>0.34375</v>
      </c>
      <c r="G77" s="214">
        <v>0.47916666666666669</v>
      </c>
      <c r="H77" s="131">
        <v>0</v>
      </c>
      <c r="I77" s="131">
        <v>20003</v>
      </c>
      <c r="J77" s="212">
        <v>26454</v>
      </c>
      <c r="K77" s="131">
        <v>34.1</v>
      </c>
      <c r="L77" s="131">
        <v>55.9</v>
      </c>
      <c r="M77" s="131">
        <v>12.6</v>
      </c>
      <c r="N77" s="131">
        <v>53</v>
      </c>
      <c r="O77" s="131">
        <v>59.4</v>
      </c>
      <c r="P77" s="131">
        <v>25.3</v>
      </c>
      <c r="Q77" s="131">
        <v>25.3</v>
      </c>
      <c r="R77" s="131"/>
      <c r="S77" s="131">
        <v>3.8</v>
      </c>
      <c r="T77" s="131">
        <v>5</v>
      </c>
      <c r="U77" s="131">
        <v>1</v>
      </c>
      <c r="V77" s="212">
        <v>3900</v>
      </c>
      <c r="W77" s="131">
        <v>13.91</v>
      </c>
      <c r="X77" s="213"/>
      <c r="Y77" s="120"/>
      <c r="Z77" s="120"/>
      <c r="AA77" s="120"/>
      <c r="AB77" s="120"/>
      <c r="AC77" s="120"/>
      <c r="AD77" s="120"/>
      <c r="AE77" s="120"/>
      <c r="AF77" s="120"/>
      <c r="AG77" s="120"/>
      <c r="AH77" s="120"/>
      <c r="AI77" s="120"/>
      <c r="AJ77" s="120"/>
      <c r="AK77" s="120"/>
      <c r="AL77" s="120"/>
      <c r="AM77" s="120"/>
      <c r="AN77" s="120"/>
      <c r="AO77" s="120"/>
      <c r="AP77" s="120"/>
      <c r="AQ77" s="120"/>
    </row>
    <row r="78" spans="1:43" ht="15.75" customHeight="1" x14ac:dyDescent="0.55000000000000004">
      <c r="A78" s="210">
        <v>135</v>
      </c>
      <c r="B78" s="210" t="s">
        <v>1760</v>
      </c>
      <c r="C78" s="210" t="s">
        <v>1761</v>
      </c>
      <c r="D78" s="211">
        <v>2</v>
      </c>
      <c r="E78" s="120" t="s">
        <v>3764</v>
      </c>
      <c r="F78" s="214">
        <v>0.64583333333333337</v>
      </c>
      <c r="G78" s="131"/>
      <c r="H78" s="131">
        <v>1</v>
      </c>
      <c r="I78" s="131">
        <v>96101</v>
      </c>
      <c r="J78" s="212">
        <v>5490</v>
      </c>
      <c r="K78" s="131">
        <v>44.7</v>
      </c>
      <c r="L78" s="131">
        <v>85.5</v>
      </c>
      <c r="M78" s="131">
        <v>12.6</v>
      </c>
      <c r="N78" s="131">
        <v>32.4</v>
      </c>
      <c r="O78" s="131">
        <v>59.4</v>
      </c>
      <c r="P78" s="131">
        <v>85</v>
      </c>
      <c r="Q78" s="131">
        <v>27.9</v>
      </c>
      <c r="R78" s="131"/>
      <c r="S78" s="131">
        <v>0.6</v>
      </c>
      <c r="T78" s="131">
        <v>0</v>
      </c>
      <c r="U78" s="131">
        <v>0</v>
      </c>
      <c r="V78" s="131">
        <v>9</v>
      </c>
      <c r="W78" s="131"/>
      <c r="X78" s="213"/>
      <c r="Y78" s="120"/>
      <c r="Z78" s="120"/>
      <c r="AA78" s="120"/>
      <c r="AB78" s="120"/>
      <c r="AC78" s="120"/>
      <c r="AD78" s="120"/>
      <c r="AE78" s="120"/>
      <c r="AF78" s="120"/>
      <c r="AG78" s="120"/>
      <c r="AH78" s="120"/>
      <c r="AI78" s="120"/>
      <c r="AJ78" s="120"/>
      <c r="AK78" s="120"/>
      <c r="AL78" s="120"/>
      <c r="AM78" s="120"/>
      <c r="AN78" s="120"/>
      <c r="AO78" s="120"/>
      <c r="AP78" s="120"/>
      <c r="AQ78" s="120"/>
    </row>
    <row r="79" spans="1:43" ht="15.75" customHeight="1" x14ac:dyDescent="0.55000000000000004">
      <c r="A79" s="210">
        <v>136</v>
      </c>
      <c r="B79" s="210" t="s">
        <v>1766</v>
      </c>
      <c r="C79" s="210" t="s">
        <v>1767</v>
      </c>
      <c r="D79" s="211">
        <v>1</v>
      </c>
      <c r="E79" s="131" t="s">
        <v>3766</v>
      </c>
      <c r="F79" s="214">
        <v>0.875</v>
      </c>
      <c r="G79" s="222" t="s">
        <v>3788</v>
      </c>
      <c r="H79" s="131">
        <v>3</v>
      </c>
      <c r="I79" s="131">
        <v>93117</v>
      </c>
      <c r="J79" s="212">
        <v>53217</v>
      </c>
      <c r="K79" s="131">
        <v>22.4</v>
      </c>
      <c r="L79" s="131">
        <v>67.2</v>
      </c>
      <c r="M79" s="131">
        <v>7.9</v>
      </c>
      <c r="N79" s="131">
        <v>61.7</v>
      </c>
      <c r="O79" s="131">
        <v>59.9</v>
      </c>
      <c r="P79" s="131">
        <v>85.9</v>
      </c>
      <c r="Q79" s="131">
        <v>43.4</v>
      </c>
      <c r="R79" s="131">
        <v>8.9</v>
      </c>
      <c r="S79" s="131">
        <v>4.0999999999999996</v>
      </c>
      <c r="T79" s="131">
        <v>3</v>
      </c>
      <c r="U79" s="131">
        <v>2</v>
      </c>
      <c r="V79" s="131">
        <v>260</v>
      </c>
      <c r="W79" s="131">
        <v>3.75</v>
      </c>
      <c r="X79" s="213"/>
      <c r="Y79" s="120"/>
      <c r="Z79" s="120"/>
      <c r="AA79" s="120"/>
      <c r="AB79" s="120"/>
      <c r="AC79" s="120"/>
      <c r="AD79" s="120"/>
      <c r="AE79" s="120"/>
      <c r="AF79" s="120"/>
      <c r="AG79" s="120"/>
      <c r="AH79" s="120"/>
      <c r="AI79" s="120"/>
      <c r="AJ79" s="120"/>
      <c r="AK79" s="120"/>
      <c r="AL79" s="120"/>
      <c r="AM79" s="120"/>
      <c r="AN79" s="120"/>
      <c r="AO79" s="120"/>
      <c r="AP79" s="120"/>
      <c r="AQ79" s="120"/>
    </row>
    <row r="80" spans="1:43" ht="15.75" customHeight="1" x14ac:dyDescent="0.55000000000000004">
      <c r="A80" s="210">
        <v>137</v>
      </c>
      <c r="B80" s="210" t="s">
        <v>1774</v>
      </c>
      <c r="C80" s="210" t="s">
        <v>1775</v>
      </c>
      <c r="D80" s="211">
        <v>0</v>
      </c>
      <c r="E80" s="131" t="s">
        <v>3753</v>
      </c>
      <c r="F80" s="214">
        <v>0.44374999999999998</v>
      </c>
      <c r="G80" s="214">
        <v>0.44583333333333336</v>
      </c>
      <c r="H80" s="131">
        <v>0</v>
      </c>
      <c r="I80" s="131">
        <v>98271</v>
      </c>
      <c r="J80" s="212">
        <v>27184</v>
      </c>
      <c r="K80" s="131">
        <v>37.6</v>
      </c>
      <c r="L80" s="131">
        <v>76.8</v>
      </c>
      <c r="M80" s="131">
        <v>11.3</v>
      </c>
      <c r="N80" s="131">
        <v>21.6</v>
      </c>
      <c r="O80" s="131">
        <v>57.2</v>
      </c>
      <c r="P80" s="131">
        <v>90</v>
      </c>
      <c r="Q80" s="131">
        <v>17</v>
      </c>
      <c r="R80" s="131">
        <v>10.4</v>
      </c>
      <c r="S80" s="131">
        <v>8.6</v>
      </c>
      <c r="T80" s="131">
        <v>2</v>
      </c>
      <c r="U80" s="131">
        <v>1</v>
      </c>
      <c r="V80" s="131">
        <v>45</v>
      </c>
      <c r="W80" s="131">
        <v>6.2</v>
      </c>
      <c r="X80" s="217"/>
      <c r="Y80" s="131"/>
      <c r="Z80" s="131"/>
      <c r="AA80" s="131"/>
      <c r="AB80" s="131"/>
      <c r="AC80" s="131"/>
      <c r="AD80" s="131"/>
      <c r="AE80" s="131"/>
      <c r="AF80" s="131"/>
      <c r="AG80" s="131"/>
      <c r="AH80" s="131"/>
      <c r="AI80" s="131"/>
      <c r="AJ80" s="131"/>
      <c r="AK80" s="131"/>
      <c r="AL80" s="131"/>
      <c r="AM80" s="131"/>
      <c r="AN80" s="131"/>
      <c r="AO80" s="131"/>
      <c r="AP80" s="131"/>
      <c r="AQ80" s="131"/>
    </row>
    <row r="81" spans="1:43" ht="15.75" customHeight="1" x14ac:dyDescent="0.55000000000000004">
      <c r="A81" s="210">
        <v>138</v>
      </c>
      <c r="B81" s="210" t="s">
        <v>1782</v>
      </c>
      <c r="C81" s="210" t="s">
        <v>1783</v>
      </c>
      <c r="D81" s="211">
        <v>3</v>
      </c>
      <c r="E81" s="131" t="s">
        <v>3754</v>
      </c>
      <c r="F81" s="214">
        <v>0.87847222222222221</v>
      </c>
      <c r="G81" s="214">
        <v>0.88263888888888886</v>
      </c>
      <c r="H81" s="131">
        <v>3</v>
      </c>
      <c r="I81" s="131">
        <v>29401</v>
      </c>
      <c r="J81" s="212">
        <v>10593</v>
      </c>
      <c r="K81" s="131">
        <v>26.3</v>
      </c>
      <c r="L81" s="131">
        <v>88.1</v>
      </c>
      <c r="M81" s="131">
        <v>2.6</v>
      </c>
      <c r="N81" s="131">
        <v>38.729999999999997</v>
      </c>
      <c r="O81" s="131">
        <v>46.3</v>
      </c>
      <c r="P81" s="131">
        <v>96.7</v>
      </c>
      <c r="Q81" s="131">
        <v>74.400000000000006</v>
      </c>
      <c r="R81" s="131">
        <v>3.5</v>
      </c>
      <c r="S81" s="131">
        <v>0.9</v>
      </c>
      <c r="T81" s="131">
        <v>2</v>
      </c>
      <c r="U81" s="131">
        <v>0</v>
      </c>
      <c r="V81" s="131"/>
      <c r="W81" s="131">
        <v>6.9</v>
      </c>
      <c r="X81" s="217"/>
      <c r="Y81" s="131"/>
      <c r="Z81" s="131"/>
      <c r="AA81" s="131"/>
      <c r="AB81" s="131"/>
      <c r="AC81" s="131"/>
      <c r="AD81" s="131"/>
      <c r="AE81" s="131"/>
      <c r="AF81" s="131"/>
      <c r="AG81" s="131"/>
      <c r="AH81" s="131"/>
      <c r="AI81" s="131"/>
      <c r="AJ81" s="131"/>
      <c r="AK81" s="131"/>
      <c r="AL81" s="131"/>
      <c r="AM81" s="131"/>
      <c r="AN81" s="131"/>
      <c r="AO81" s="131"/>
      <c r="AP81" s="131"/>
      <c r="AQ81" s="131"/>
    </row>
    <row r="82" spans="1:43" ht="15.75" customHeight="1" x14ac:dyDescent="0.55000000000000004">
      <c r="A82" s="210">
        <v>139</v>
      </c>
      <c r="B82" s="210" t="s">
        <v>1790</v>
      </c>
      <c r="C82" s="210" t="s">
        <v>3789</v>
      </c>
      <c r="D82" s="211">
        <v>2</v>
      </c>
      <c r="E82" s="131" t="s">
        <v>3775</v>
      </c>
      <c r="F82" s="214">
        <v>0.44791666666666669</v>
      </c>
      <c r="G82" s="214">
        <v>0.46875</v>
      </c>
      <c r="H82" s="131">
        <v>0</v>
      </c>
      <c r="I82" s="131">
        <v>37406</v>
      </c>
      <c r="J82" s="212">
        <v>14627</v>
      </c>
      <c r="K82" s="131">
        <v>35.299999999999997</v>
      </c>
      <c r="L82" s="131">
        <v>16.600000000000001</v>
      </c>
      <c r="M82" s="131">
        <v>34.5</v>
      </c>
      <c r="N82" s="131">
        <v>53.7</v>
      </c>
      <c r="O82" s="131">
        <v>43.5</v>
      </c>
      <c r="P82" s="131">
        <v>43.4</v>
      </c>
      <c r="Q82" s="131">
        <v>2</v>
      </c>
      <c r="R82" s="131">
        <v>13.8</v>
      </c>
      <c r="S82" s="131">
        <v>4.9000000000000004</v>
      </c>
      <c r="T82" s="131">
        <v>1</v>
      </c>
      <c r="U82" s="131">
        <v>0</v>
      </c>
      <c r="V82" s="131">
        <v>477</v>
      </c>
      <c r="W82" s="131">
        <v>15.5</v>
      </c>
      <c r="X82" s="213"/>
      <c r="Y82" s="120"/>
      <c r="Z82" s="120"/>
      <c r="AA82" s="120"/>
      <c r="AB82" s="120"/>
      <c r="AC82" s="120"/>
      <c r="AD82" s="120"/>
      <c r="AE82" s="120"/>
      <c r="AF82" s="120"/>
      <c r="AG82" s="120"/>
      <c r="AH82" s="120"/>
      <c r="AI82" s="120"/>
      <c r="AJ82" s="120"/>
      <c r="AK82" s="120"/>
      <c r="AL82" s="120"/>
      <c r="AM82" s="120"/>
      <c r="AN82" s="120"/>
      <c r="AO82" s="120"/>
      <c r="AP82" s="120"/>
      <c r="AQ82" s="120"/>
    </row>
    <row r="83" spans="1:43" ht="15.75" customHeight="1" x14ac:dyDescent="0.55000000000000004">
      <c r="A83" s="210">
        <v>140</v>
      </c>
      <c r="B83" s="210" t="s">
        <v>1799</v>
      </c>
      <c r="C83" s="210" t="s">
        <v>1800</v>
      </c>
      <c r="D83" s="131">
        <v>1</v>
      </c>
      <c r="E83" s="131" t="s">
        <v>3766</v>
      </c>
      <c r="F83" s="222" t="s">
        <v>3780</v>
      </c>
      <c r="G83" s="222" t="s">
        <v>3790</v>
      </c>
      <c r="H83" s="131">
        <v>0</v>
      </c>
      <c r="I83" s="131">
        <v>97470</v>
      </c>
      <c r="J83" s="212">
        <v>20320</v>
      </c>
      <c r="K83" s="131">
        <v>41.3</v>
      </c>
      <c r="L83" s="131">
        <v>92</v>
      </c>
      <c r="M83" s="131">
        <v>13.4</v>
      </c>
      <c r="N83" s="131">
        <v>41.4</v>
      </c>
      <c r="O83" s="131">
        <v>47</v>
      </c>
      <c r="P83" s="131">
        <v>88.8</v>
      </c>
      <c r="Q83" s="131">
        <v>14.4</v>
      </c>
      <c r="R83" s="131">
        <v>13.3</v>
      </c>
      <c r="S83" s="131">
        <v>5.3</v>
      </c>
      <c r="T83" s="131">
        <v>5</v>
      </c>
      <c r="U83" s="131">
        <v>3</v>
      </c>
      <c r="V83" s="131">
        <v>37</v>
      </c>
      <c r="W83" s="131">
        <v>9.1</v>
      </c>
      <c r="X83" s="213"/>
      <c r="Y83" s="120"/>
      <c r="Z83" s="120"/>
      <c r="AA83" s="120"/>
      <c r="AB83" s="120"/>
      <c r="AC83" s="120"/>
      <c r="AD83" s="120"/>
      <c r="AE83" s="120"/>
      <c r="AF83" s="120"/>
      <c r="AG83" s="120"/>
      <c r="AH83" s="120"/>
      <c r="AI83" s="120"/>
      <c r="AJ83" s="120"/>
      <c r="AK83" s="120"/>
      <c r="AL83" s="120"/>
      <c r="AM83" s="120"/>
      <c r="AN83" s="120"/>
      <c r="AO83" s="120"/>
      <c r="AP83" s="120"/>
      <c r="AQ83" s="120"/>
    </row>
    <row r="84" spans="1:43" ht="15.75" customHeight="1" x14ac:dyDescent="0.55000000000000004">
      <c r="A84" s="210">
        <v>141</v>
      </c>
      <c r="B84" s="210" t="s">
        <v>1806</v>
      </c>
      <c r="C84" s="210" t="s">
        <v>999</v>
      </c>
      <c r="D84" s="211">
        <v>8</v>
      </c>
      <c r="E84" s="131" t="s">
        <v>3791</v>
      </c>
      <c r="F84" s="214">
        <v>0.875</v>
      </c>
      <c r="G84" s="214">
        <v>0.47222222222222221</v>
      </c>
      <c r="H84" s="131">
        <v>3</v>
      </c>
      <c r="I84" s="131">
        <v>75861</v>
      </c>
      <c r="J84" s="212">
        <v>9017</v>
      </c>
      <c r="K84" s="131">
        <v>40.6</v>
      </c>
      <c r="L84" s="131">
        <v>41.3</v>
      </c>
      <c r="M84" s="131">
        <v>9.3000000000000007</v>
      </c>
      <c r="N84" s="131">
        <v>27.5</v>
      </c>
      <c r="O84" s="131">
        <v>8.3000000000000007</v>
      </c>
      <c r="P84" s="131">
        <v>70.5</v>
      </c>
      <c r="Q84" s="131">
        <v>2.9</v>
      </c>
      <c r="R84" s="131">
        <v>14.6</v>
      </c>
      <c r="S84" s="131"/>
      <c r="T84" s="131">
        <v>0</v>
      </c>
      <c r="U84" s="131">
        <v>1</v>
      </c>
      <c r="V84" s="131">
        <v>39</v>
      </c>
      <c r="W84" s="131">
        <v>0</v>
      </c>
      <c r="X84" s="213"/>
      <c r="Y84" s="120"/>
      <c r="Z84" s="120"/>
      <c r="AA84" s="120"/>
      <c r="AB84" s="120"/>
      <c r="AC84" s="120"/>
      <c r="AD84" s="120"/>
      <c r="AE84" s="120"/>
      <c r="AF84" s="120"/>
      <c r="AG84" s="120"/>
      <c r="AH84" s="120"/>
      <c r="AI84" s="120"/>
      <c r="AJ84" s="120"/>
      <c r="AK84" s="120"/>
      <c r="AL84" s="120"/>
      <c r="AM84" s="120"/>
      <c r="AN84" s="120"/>
      <c r="AO84" s="120"/>
      <c r="AP84" s="120"/>
      <c r="AQ84" s="120"/>
    </row>
    <row r="85" spans="1:43" ht="15.75" customHeight="1" x14ac:dyDescent="0.55000000000000004">
      <c r="A85" s="210" t="s">
        <v>3792</v>
      </c>
      <c r="B85" s="210" t="s">
        <v>3793</v>
      </c>
      <c r="C85" s="210" t="s">
        <v>1811</v>
      </c>
      <c r="D85" s="211">
        <v>6</v>
      </c>
      <c r="E85" s="120" t="s">
        <v>3794</v>
      </c>
      <c r="F85" s="214">
        <v>0.45694444444444443</v>
      </c>
      <c r="G85" s="214">
        <v>0.63472222222222219</v>
      </c>
      <c r="H85" s="131">
        <v>0</v>
      </c>
      <c r="I85" s="131">
        <v>92408</v>
      </c>
      <c r="J85" s="212">
        <v>15271</v>
      </c>
      <c r="K85" s="131">
        <v>30.2</v>
      </c>
      <c r="L85" s="131">
        <v>37.299999999999997</v>
      </c>
      <c r="M85" s="131">
        <v>21.8</v>
      </c>
      <c r="N85" s="131">
        <v>62.4</v>
      </c>
      <c r="O85" s="131">
        <v>44.6</v>
      </c>
      <c r="P85" s="131">
        <v>38.200000000000003</v>
      </c>
      <c r="Q85" s="131">
        <v>5.9</v>
      </c>
      <c r="R85" s="131">
        <v>24</v>
      </c>
      <c r="S85" s="131">
        <v>1.1000000000000001</v>
      </c>
      <c r="T85" s="131">
        <v>4</v>
      </c>
      <c r="U85" s="131">
        <v>3</v>
      </c>
      <c r="V85" s="131">
        <v>303</v>
      </c>
      <c r="W85" s="131">
        <v>20</v>
      </c>
      <c r="X85" s="213"/>
      <c r="Y85" s="120"/>
      <c r="Z85" s="120"/>
      <c r="AA85" s="120"/>
      <c r="AB85" s="120"/>
      <c r="AC85" s="120"/>
      <c r="AD85" s="120"/>
      <c r="AE85" s="120"/>
      <c r="AF85" s="120"/>
      <c r="AG85" s="120"/>
      <c r="AH85" s="120"/>
      <c r="AI85" s="120"/>
      <c r="AJ85" s="120"/>
      <c r="AK85" s="120"/>
      <c r="AL85" s="120"/>
      <c r="AM85" s="120"/>
      <c r="AN85" s="120"/>
      <c r="AO85" s="120"/>
      <c r="AP85" s="120"/>
      <c r="AQ85" s="120"/>
    </row>
    <row r="86" spans="1:43" ht="15.75" customHeight="1" x14ac:dyDescent="0.55000000000000004">
      <c r="A86" s="210">
        <v>144</v>
      </c>
      <c r="B86" s="210" t="s">
        <v>1819</v>
      </c>
      <c r="C86" s="210" t="s">
        <v>1820</v>
      </c>
      <c r="D86" s="211">
        <v>5</v>
      </c>
      <c r="E86" s="131" t="s">
        <v>3762</v>
      </c>
      <c r="F86" s="214">
        <v>0.75</v>
      </c>
      <c r="G86" s="214">
        <v>3.125E-2</v>
      </c>
      <c r="H86" s="131">
        <v>2</v>
      </c>
      <c r="I86" s="131">
        <v>49004</v>
      </c>
      <c r="J86" s="212">
        <v>15828</v>
      </c>
      <c r="K86" s="131">
        <v>38.200000000000003</v>
      </c>
      <c r="L86" s="131">
        <v>82.3</v>
      </c>
      <c r="M86" s="131">
        <v>12</v>
      </c>
      <c r="N86" s="131">
        <v>21.9</v>
      </c>
      <c r="O86" s="131">
        <v>59.8</v>
      </c>
      <c r="P86" s="131">
        <v>91.4</v>
      </c>
      <c r="Q86" s="131">
        <v>29</v>
      </c>
      <c r="R86" s="131">
        <v>9.3000000000000007</v>
      </c>
      <c r="S86" s="131">
        <v>3.5</v>
      </c>
      <c r="T86" s="131">
        <v>0</v>
      </c>
      <c r="U86" s="131">
        <v>0</v>
      </c>
      <c r="V86" s="131">
        <v>257</v>
      </c>
      <c r="W86" s="131">
        <v>7.9</v>
      </c>
      <c r="X86" s="213"/>
      <c r="Y86" s="120"/>
      <c r="Z86" s="120"/>
      <c r="AA86" s="120"/>
      <c r="AB86" s="120"/>
      <c r="AC86" s="120"/>
      <c r="AD86" s="120"/>
      <c r="AE86" s="120"/>
      <c r="AF86" s="120"/>
      <c r="AG86" s="120"/>
      <c r="AH86" s="120"/>
      <c r="AI86" s="120"/>
      <c r="AJ86" s="120"/>
      <c r="AK86" s="120"/>
      <c r="AL86" s="120"/>
      <c r="AM86" s="120"/>
      <c r="AN86" s="120"/>
      <c r="AO86" s="120"/>
      <c r="AP86" s="120"/>
      <c r="AQ86" s="120"/>
    </row>
    <row r="87" spans="1:43" ht="15.75" customHeight="1" x14ac:dyDescent="0.55000000000000004">
      <c r="A87" s="129" t="s">
        <v>3795</v>
      </c>
      <c r="B87" s="129"/>
      <c r="C87" s="129"/>
      <c r="D87" s="211">
        <v>7</v>
      </c>
      <c r="E87" s="120" t="s">
        <v>3765</v>
      </c>
      <c r="F87" s="218">
        <v>0.95833333333333337</v>
      </c>
      <c r="G87" s="120"/>
      <c r="H87" s="120">
        <v>3</v>
      </c>
      <c r="I87" s="120">
        <v>15221</v>
      </c>
      <c r="J87" s="212">
        <v>30666</v>
      </c>
      <c r="K87" s="216">
        <v>43.1</v>
      </c>
      <c r="L87" s="216">
        <v>47.2</v>
      </c>
      <c r="M87" s="216">
        <v>18</v>
      </c>
      <c r="N87" s="216">
        <v>50.1</v>
      </c>
      <c r="O87" s="216">
        <v>56.7</v>
      </c>
      <c r="P87" s="216">
        <v>93</v>
      </c>
      <c r="Q87" s="216">
        <v>36.5</v>
      </c>
      <c r="R87" s="216">
        <v>9.6999999999999993</v>
      </c>
      <c r="S87" s="120">
        <v>1.4</v>
      </c>
      <c r="T87" s="120">
        <v>4</v>
      </c>
      <c r="U87" s="120">
        <v>0</v>
      </c>
      <c r="V87" s="120">
        <v>46</v>
      </c>
      <c r="W87" s="120">
        <v>25.2</v>
      </c>
      <c r="X87" s="217"/>
      <c r="Y87" s="131"/>
      <c r="Z87" s="131"/>
      <c r="AA87" s="131"/>
      <c r="AB87" s="131"/>
      <c r="AC87" s="131"/>
      <c r="AD87" s="131"/>
      <c r="AE87" s="131"/>
      <c r="AF87" s="131"/>
      <c r="AG87" s="131"/>
      <c r="AH87" s="131"/>
      <c r="AI87" s="131"/>
      <c r="AJ87" s="131"/>
      <c r="AK87" s="131"/>
      <c r="AL87" s="131"/>
      <c r="AM87" s="131"/>
      <c r="AN87" s="131"/>
      <c r="AO87" s="131"/>
      <c r="AP87" s="131"/>
      <c r="AQ87" s="131"/>
    </row>
    <row r="88" spans="1:43" ht="15.75" customHeight="1" x14ac:dyDescent="0.55000000000000004">
      <c r="A88" s="210">
        <v>147</v>
      </c>
      <c r="B88" s="210" t="s">
        <v>1828</v>
      </c>
      <c r="C88" s="210" t="s">
        <v>1649</v>
      </c>
      <c r="D88" s="211">
        <v>5</v>
      </c>
      <c r="E88" s="131" t="s">
        <v>3762</v>
      </c>
      <c r="F88" s="214">
        <v>8.1944444444444445E-2</v>
      </c>
      <c r="G88" s="214">
        <v>0.21875</v>
      </c>
      <c r="H88" s="131">
        <v>3</v>
      </c>
      <c r="I88" s="131">
        <v>32806</v>
      </c>
      <c r="J88" s="212">
        <v>26797</v>
      </c>
      <c r="K88" s="131">
        <v>38.6</v>
      </c>
      <c r="L88" s="131">
        <v>83.9</v>
      </c>
      <c r="M88" s="131">
        <v>11</v>
      </c>
      <c r="N88" s="131">
        <v>35.9</v>
      </c>
      <c r="O88" s="131">
        <v>64.900000000000006</v>
      </c>
      <c r="P88" s="131">
        <v>28.5</v>
      </c>
      <c r="Q88" s="131">
        <v>21.3</v>
      </c>
      <c r="R88" s="131">
        <v>16.8</v>
      </c>
      <c r="S88" s="131">
        <v>0.6</v>
      </c>
      <c r="T88" s="131">
        <v>1</v>
      </c>
      <c r="U88" s="131">
        <v>2</v>
      </c>
      <c r="V88" s="131">
        <v>697</v>
      </c>
      <c r="W88" s="131">
        <v>5.8</v>
      </c>
      <c r="X88" s="213"/>
      <c r="Y88" s="120"/>
      <c r="Z88" s="120"/>
      <c r="AA88" s="120"/>
      <c r="AB88" s="120"/>
      <c r="AC88" s="120"/>
      <c r="AD88" s="120"/>
      <c r="AE88" s="120"/>
      <c r="AF88" s="120"/>
      <c r="AG88" s="120"/>
      <c r="AH88" s="120"/>
      <c r="AI88" s="120"/>
      <c r="AJ88" s="120"/>
      <c r="AK88" s="120"/>
      <c r="AL88" s="120"/>
      <c r="AM88" s="120"/>
      <c r="AN88" s="120"/>
      <c r="AO88" s="120"/>
      <c r="AP88" s="120"/>
      <c r="AQ88" s="120"/>
    </row>
    <row r="89" spans="1:43" ht="15.75" customHeight="1" x14ac:dyDescent="0.55000000000000004">
      <c r="A89" s="210">
        <v>148</v>
      </c>
      <c r="B89" s="210" t="s">
        <v>1319</v>
      </c>
      <c r="C89" s="210" t="s">
        <v>1833</v>
      </c>
      <c r="D89" s="211">
        <v>8</v>
      </c>
      <c r="E89" s="131" t="s">
        <v>3796</v>
      </c>
      <c r="F89" s="214">
        <v>0.87430555555555556</v>
      </c>
      <c r="G89" s="214">
        <v>0.10416666666666667</v>
      </c>
      <c r="H89" s="131">
        <v>3</v>
      </c>
      <c r="I89" s="131">
        <v>75202</v>
      </c>
      <c r="J89" s="212">
        <v>2236</v>
      </c>
      <c r="K89" s="131">
        <v>30.8</v>
      </c>
      <c r="L89" s="131">
        <v>68.900000000000006</v>
      </c>
      <c r="M89" s="131">
        <v>3.3</v>
      </c>
      <c r="N89" s="131">
        <v>83</v>
      </c>
      <c r="O89" s="131">
        <v>87.2</v>
      </c>
      <c r="P89" s="131">
        <v>100</v>
      </c>
      <c r="Q89" s="131">
        <v>72.400000000000006</v>
      </c>
      <c r="R89" s="131">
        <v>8.1</v>
      </c>
      <c r="S89" s="131">
        <v>2</v>
      </c>
      <c r="T89" s="131">
        <v>2</v>
      </c>
      <c r="U89" s="131">
        <v>0</v>
      </c>
      <c r="V89" s="212">
        <v>2841</v>
      </c>
      <c r="W89" s="131">
        <v>9.1</v>
      </c>
      <c r="X89" s="213"/>
      <c r="Y89" s="120"/>
      <c r="Z89" s="120"/>
      <c r="AA89" s="120"/>
      <c r="AB89" s="120"/>
      <c r="AC89" s="120"/>
      <c r="AD89" s="120"/>
      <c r="AE89" s="120"/>
      <c r="AF89" s="120"/>
      <c r="AG89" s="120"/>
      <c r="AH89" s="120"/>
      <c r="AI89" s="120"/>
      <c r="AJ89" s="120"/>
      <c r="AK89" s="120"/>
      <c r="AL89" s="120"/>
      <c r="AM89" s="120"/>
      <c r="AN89" s="120"/>
      <c r="AO89" s="120"/>
      <c r="AP89" s="120"/>
      <c r="AQ89" s="120"/>
    </row>
    <row r="90" spans="1:43" ht="15.75" customHeight="1" x14ac:dyDescent="0.55000000000000004">
      <c r="A90" s="210">
        <v>149</v>
      </c>
      <c r="B90" s="210" t="s">
        <v>1841</v>
      </c>
      <c r="C90" s="210" t="s">
        <v>1842</v>
      </c>
      <c r="D90" s="131">
        <v>4</v>
      </c>
      <c r="E90" s="131" t="s">
        <v>3747</v>
      </c>
      <c r="F90" s="222" t="s">
        <v>3797</v>
      </c>
      <c r="G90" s="222" t="s">
        <v>3798</v>
      </c>
      <c r="H90" s="131">
        <v>2</v>
      </c>
      <c r="I90" s="131">
        <v>98233</v>
      </c>
      <c r="J90" s="212">
        <v>14871</v>
      </c>
      <c r="K90" s="131">
        <v>35.299999999999997</v>
      </c>
      <c r="L90" s="131">
        <v>76.5</v>
      </c>
      <c r="M90" s="131">
        <v>12.3</v>
      </c>
      <c r="N90" s="131">
        <v>38</v>
      </c>
      <c r="O90" s="131">
        <v>56.5</v>
      </c>
      <c r="P90" s="131">
        <v>32</v>
      </c>
      <c r="Q90" s="131">
        <v>2.1</v>
      </c>
      <c r="R90" s="131">
        <v>11.3</v>
      </c>
      <c r="S90" s="131">
        <v>3.8</v>
      </c>
      <c r="T90" s="131">
        <v>3</v>
      </c>
      <c r="U90" s="131">
        <v>2</v>
      </c>
      <c r="V90" s="131">
        <v>20</v>
      </c>
      <c r="W90" s="131"/>
      <c r="X90" s="213"/>
      <c r="Y90" s="120"/>
      <c r="Z90" s="120"/>
      <c r="AA90" s="120"/>
      <c r="AB90" s="120"/>
      <c r="AC90" s="120"/>
      <c r="AD90" s="120"/>
      <c r="AE90" s="120"/>
      <c r="AF90" s="120"/>
      <c r="AG90" s="120"/>
      <c r="AH90" s="120"/>
      <c r="AI90" s="120"/>
      <c r="AJ90" s="120"/>
      <c r="AK90" s="120"/>
      <c r="AL90" s="120"/>
      <c r="AM90" s="120"/>
      <c r="AN90" s="120"/>
      <c r="AO90" s="120"/>
      <c r="AP90" s="120"/>
      <c r="AQ90" s="120"/>
    </row>
    <row r="91" spans="1:43" ht="15.75" customHeight="1" x14ac:dyDescent="0.55000000000000004">
      <c r="A91" s="210">
        <v>150</v>
      </c>
      <c r="B91" s="210" t="s">
        <v>1850</v>
      </c>
      <c r="C91" s="210" t="s">
        <v>1851</v>
      </c>
      <c r="D91" s="211">
        <v>4</v>
      </c>
      <c r="E91" s="131" t="s">
        <v>3799</v>
      </c>
      <c r="F91" s="214">
        <v>0.54166666666666663</v>
      </c>
      <c r="G91" s="131"/>
      <c r="H91" s="131">
        <v>1</v>
      </c>
      <c r="I91" s="131">
        <v>33315</v>
      </c>
      <c r="J91" s="212">
        <v>14110</v>
      </c>
      <c r="K91" s="131">
        <v>43.1</v>
      </c>
      <c r="L91" s="131">
        <v>87.5</v>
      </c>
      <c r="M91" s="131">
        <v>9.5</v>
      </c>
      <c r="N91" s="131">
        <v>47.1</v>
      </c>
      <c r="O91" s="131">
        <v>68.7</v>
      </c>
      <c r="P91" s="131">
        <v>89.4</v>
      </c>
      <c r="Q91" s="131">
        <v>35.700000000000003</v>
      </c>
      <c r="R91" s="131">
        <v>19.600000000000001</v>
      </c>
      <c r="S91" s="131">
        <v>4.5999999999999996</v>
      </c>
      <c r="T91" s="131">
        <v>0</v>
      </c>
      <c r="U91" s="131">
        <v>1</v>
      </c>
      <c r="V91" s="131">
        <v>500</v>
      </c>
      <c r="W91" s="131">
        <v>10.3</v>
      </c>
      <c r="X91" s="213"/>
      <c r="Y91" s="120"/>
      <c r="Z91" s="120"/>
      <c r="AA91" s="120"/>
      <c r="AB91" s="120"/>
      <c r="AC91" s="120"/>
      <c r="AD91" s="120"/>
      <c r="AE91" s="120"/>
      <c r="AF91" s="120"/>
      <c r="AG91" s="120"/>
      <c r="AH91" s="120"/>
      <c r="AI91" s="120"/>
      <c r="AJ91" s="120"/>
      <c r="AK91" s="120"/>
      <c r="AL91" s="120"/>
      <c r="AM91" s="120"/>
      <c r="AN91" s="120"/>
      <c r="AO91" s="120"/>
      <c r="AP91" s="120"/>
      <c r="AQ91" s="120"/>
    </row>
    <row r="92" spans="1:43" ht="15.75" customHeight="1" x14ac:dyDescent="0.55000000000000004">
      <c r="A92" s="210">
        <v>151</v>
      </c>
      <c r="B92" s="210" t="s">
        <v>1855</v>
      </c>
      <c r="C92" s="210" t="s">
        <v>1856</v>
      </c>
      <c r="D92" s="211">
        <v>5</v>
      </c>
      <c r="E92" s="131" t="s">
        <v>3762</v>
      </c>
      <c r="F92" s="214">
        <v>4.1666666666666664E-2</v>
      </c>
      <c r="G92" s="214">
        <v>0.39583333333333331</v>
      </c>
      <c r="H92" s="131">
        <v>3</v>
      </c>
      <c r="I92" s="131">
        <v>39194</v>
      </c>
      <c r="J92" s="212">
        <v>21085</v>
      </c>
      <c r="K92" s="131">
        <v>34.700000000000003</v>
      </c>
      <c r="L92" s="131">
        <v>31.8</v>
      </c>
      <c r="M92" s="131">
        <v>30.4</v>
      </c>
      <c r="N92" s="131">
        <v>41.2</v>
      </c>
      <c r="O92" s="131">
        <v>33.299999999999997</v>
      </c>
      <c r="P92" s="131">
        <v>55.1</v>
      </c>
      <c r="Q92" s="131">
        <v>4.0999999999999996</v>
      </c>
      <c r="R92" s="131">
        <v>14.7</v>
      </c>
      <c r="S92" s="131">
        <v>43</v>
      </c>
      <c r="T92" s="131">
        <v>4</v>
      </c>
      <c r="U92" s="131">
        <v>1</v>
      </c>
      <c r="V92" s="131">
        <v>28</v>
      </c>
      <c r="W92" s="131"/>
      <c r="X92" s="213"/>
      <c r="Y92" s="120"/>
      <c r="Z92" s="120"/>
      <c r="AA92" s="120"/>
      <c r="AB92" s="120"/>
      <c r="AC92" s="120"/>
      <c r="AD92" s="120"/>
      <c r="AE92" s="120"/>
      <c r="AF92" s="120"/>
      <c r="AG92" s="120"/>
      <c r="AH92" s="120"/>
      <c r="AI92" s="120"/>
      <c r="AJ92" s="120"/>
      <c r="AK92" s="120"/>
      <c r="AL92" s="120"/>
      <c r="AM92" s="120"/>
      <c r="AN92" s="120"/>
      <c r="AO92" s="120"/>
      <c r="AP92" s="120"/>
      <c r="AQ92" s="120"/>
    </row>
    <row r="93" spans="1:43" ht="15.75" customHeight="1" x14ac:dyDescent="0.55000000000000004">
      <c r="A93" s="210">
        <v>152</v>
      </c>
      <c r="B93" s="210" t="s">
        <v>1467</v>
      </c>
      <c r="C93" s="210" t="s">
        <v>1860</v>
      </c>
      <c r="D93" s="211">
        <v>4</v>
      </c>
      <c r="E93" s="131" t="s">
        <v>3747</v>
      </c>
      <c r="F93" s="214">
        <v>0.52083333333333337</v>
      </c>
      <c r="G93" s="214">
        <v>0.6875</v>
      </c>
      <c r="H93" s="131">
        <v>1</v>
      </c>
      <c r="I93" s="131">
        <v>54474</v>
      </c>
      <c r="J93" s="212">
        <v>3723</v>
      </c>
      <c r="K93" s="131">
        <v>42.2</v>
      </c>
      <c r="L93" s="131">
        <v>96.7</v>
      </c>
      <c r="M93" s="131">
        <v>7.1</v>
      </c>
      <c r="N93" s="131">
        <v>27.3</v>
      </c>
      <c r="O93" s="131">
        <v>69.599999999999994</v>
      </c>
      <c r="P93" s="131">
        <v>95.3</v>
      </c>
      <c r="Q93" s="131">
        <v>26.5</v>
      </c>
      <c r="R93" s="131">
        <v>4.9000000000000004</v>
      </c>
      <c r="S93" s="131">
        <v>2.5</v>
      </c>
      <c r="T93" s="131">
        <v>0</v>
      </c>
      <c r="U93" s="131">
        <v>1</v>
      </c>
      <c r="V93" s="131">
        <v>12</v>
      </c>
      <c r="W93" s="131"/>
      <c r="X93" s="213"/>
      <c r="Y93" s="120"/>
      <c r="Z93" s="120"/>
      <c r="AA93" s="120"/>
      <c r="AB93" s="120"/>
      <c r="AC93" s="120"/>
      <c r="AD93" s="120"/>
      <c r="AE93" s="120"/>
      <c r="AF93" s="120"/>
      <c r="AG93" s="120"/>
      <c r="AH93" s="120"/>
      <c r="AI93" s="120"/>
      <c r="AJ93" s="120"/>
      <c r="AK93" s="120"/>
      <c r="AL93" s="120"/>
      <c r="AM93" s="120"/>
      <c r="AN93" s="120"/>
      <c r="AO93" s="120"/>
      <c r="AP93" s="120"/>
      <c r="AQ93" s="120"/>
    </row>
    <row r="94" spans="1:43" ht="15.75" customHeight="1" x14ac:dyDescent="0.55000000000000004">
      <c r="A94" s="210">
        <v>153</v>
      </c>
      <c r="B94" s="210" t="s">
        <v>1865</v>
      </c>
      <c r="C94" s="210" t="s">
        <v>1014</v>
      </c>
      <c r="D94" s="211">
        <v>6</v>
      </c>
      <c r="E94" s="131" t="s">
        <v>3746</v>
      </c>
      <c r="F94" s="214">
        <v>0.3263888888888889</v>
      </c>
      <c r="G94" s="131"/>
      <c r="H94" s="131">
        <v>0</v>
      </c>
      <c r="I94" s="131">
        <v>32807</v>
      </c>
      <c r="J94" s="212">
        <v>33310</v>
      </c>
      <c r="K94" s="131">
        <v>35.200000000000003</v>
      </c>
      <c r="L94" s="131">
        <v>74.5</v>
      </c>
      <c r="M94" s="131">
        <v>19.8</v>
      </c>
      <c r="N94" s="131">
        <v>53.2</v>
      </c>
      <c r="O94" s="131">
        <v>59.9</v>
      </c>
      <c r="P94" s="131">
        <v>80.400000000000006</v>
      </c>
      <c r="Q94" s="131">
        <v>16.2</v>
      </c>
      <c r="R94" s="131">
        <v>23.6</v>
      </c>
      <c r="S94" s="131">
        <v>3.7</v>
      </c>
      <c r="T94" s="131">
        <v>8</v>
      </c>
      <c r="U94" s="131">
        <v>2</v>
      </c>
      <c r="V94" s="131">
        <v>697</v>
      </c>
      <c r="W94" s="131">
        <v>5.77</v>
      </c>
      <c r="X94" s="213"/>
      <c r="Y94" s="120"/>
      <c r="Z94" s="120"/>
      <c r="AA94" s="120"/>
      <c r="AB94" s="120"/>
      <c r="AC94" s="120"/>
      <c r="AD94" s="120"/>
      <c r="AE94" s="120"/>
      <c r="AF94" s="120"/>
      <c r="AG94" s="120"/>
      <c r="AH94" s="120"/>
      <c r="AI94" s="120"/>
      <c r="AJ94" s="120"/>
      <c r="AK94" s="120"/>
      <c r="AL94" s="120"/>
      <c r="AM94" s="120"/>
      <c r="AN94" s="120"/>
      <c r="AO94" s="120"/>
      <c r="AP94" s="120"/>
      <c r="AQ94" s="120"/>
    </row>
    <row r="95" spans="1:43" ht="15.75" customHeight="1" x14ac:dyDescent="0.55000000000000004">
      <c r="A95" s="210">
        <v>154</v>
      </c>
      <c r="B95" s="210" t="s">
        <v>1869</v>
      </c>
      <c r="C95" s="210" t="s">
        <v>1870</v>
      </c>
      <c r="D95" s="211">
        <v>8</v>
      </c>
      <c r="E95" s="131" t="s">
        <v>3800</v>
      </c>
      <c r="F95" s="214">
        <v>0.91666666666666663</v>
      </c>
      <c r="G95" s="214">
        <v>0.96666666666666667</v>
      </c>
      <c r="H95" s="131">
        <v>3</v>
      </c>
      <c r="I95" s="131">
        <v>89119</v>
      </c>
      <c r="J95" s="212">
        <v>52171</v>
      </c>
      <c r="K95" s="131">
        <v>34.5</v>
      </c>
      <c r="L95" s="131">
        <v>52.5</v>
      </c>
      <c r="M95" s="131">
        <v>12.4</v>
      </c>
      <c r="N95" s="131">
        <v>78.400000000000006</v>
      </c>
      <c r="O95" s="131">
        <v>61.1</v>
      </c>
      <c r="P95" s="131">
        <v>78.7</v>
      </c>
      <c r="Q95" s="131">
        <v>17.2</v>
      </c>
      <c r="R95" s="131">
        <v>26.5</v>
      </c>
      <c r="S95" s="131">
        <v>4</v>
      </c>
      <c r="T95" s="131">
        <v>5</v>
      </c>
      <c r="U95" s="131">
        <v>0</v>
      </c>
      <c r="V95" s="212">
        <v>2353</v>
      </c>
      <c r="W95" s="131">
        <v>8</v>
      </c>
      <c r="X95" s="213"/>
      <c r="Y95" s="120"/>
      <c r="Z95" s="120"/>
      <c r="AA95" s="120"/>
      <c r="AB95" s="120"/>
      <c r="AC95" s="120"/>
      <c r="AD95" s="120"/>
      <c r="AE95" s="120"/>
      <c r="AF95" s="120"/>
      <c r="AG95" s="120"/>
      <c r="AH95" s="120"/>
      <c r="AI95" s="120"/>
      <c r="AJ95" s="120"/>
      <c r="AK95" s="120"/>
      <c r="AL95" s="120"/>
      <c r="AM95" s="120"/>
      <c r="AN95" s="120"/>
      <c r="AO95" s="120"/>
      <c r="AP95" s="120"/>
      <c r="AQ95" s="120"/>
    </row>
    <row r="96" spans="1:43" ht="15.75" customHeight="1" x14ac:dyDescent="0.55000000000000004">
      <c r="A96" s="210">
        <v>155</v>
      </c>
      <c r="B96" s="210" t="s">
        <v>1878</v>
      </c>
      <c r="C96" s="210" t="s">
        <v>1879</v>
      </c>
      <c r="D96" s="211">
        <v>3</v>
      </c>
      <c r="E96" s="120" t="s">
        <v>3754</v>
      </c>
      <c r="F96" s="218">
        <v>0.47222222222222221</v>
      </c>
      <c r="G96" s="120"/>
      <c r="H96" s="120">
        <v>0</v>
      </c>
      <c r="I96" s="120">
        <v>78161</v>
      </c>
      <c r="J96" s="131">
        <v>628</v>
      </c>
      <c r="K96" s="216">
        <v>44.7</v>
      </c>
      <c r="L96" s="216">
        <v>89</v>
      </c>
      <c r="M96" s="216">
        <v>8.5</v>
      </c>
      <c r="N96" s="216">
        <v>19</v>
      </c>
      <c r="O96" s="216">
        <v>67.8</v>
      </c>
      <c r="P96" s="216">
        <v>96.8</v>
      </c>
      <c r="Q96" s="216">
        <v>21.9</v>
      </c>
      <c r="R96" s="216">
        <v>5.7</v>
      </c>
      <c r="S96" s="120">
        <v>24.8</v>
      </c>
      <c r="T96" s="120">
        <v>0</v>
      </c>
      <c r="U96" s="120">
        <v>0</v>
      </c>
      <c r="V96" s="120"/>
      <c r="W96" s="120"/>
      <c r="X96" s="217"/>
      <c r="Y96" s="131"/>
      <c r="Z96" s="131"/>
      <c r="AA96" s="131"/>
      <c r="AB96" s="131"/>
      <c r="AC96" s="131"/>
      <c r="AD96" s="131"/>
      <c r="AE96" s="131"/>
      <c r="AF96" s="131"/>
      <c r="AG96" s="131"/>
      <c r="AH96" s="131"/>
      <c r="AI96" s="131"/>
      <c r="AJ96" s="131"/>
      <c r="AK96" s="131"/>
      <c r="AL96" s="131"/>
      <c r="AM96" s="131"/>
      <c r="AN96" s="131"/>
      <c r="AO96" s="131"/>
      <c r="AP96" s="131"/>
      <c r="AQ96" s="131"/>
    </row>
    <row r="97" spans="1:43" ht="15.75" customHeight="1" x14ac:dyDescent="0.55000000000000004">
      <c r="A97" s="210">
        <v>156</v>
      </c>
      <c r="B97" s="210" t="s">
        <v>1887</v>
      </c>
      <c r="C97" s="210" t="s">
        <v>1888</v>
      </c>
      <c r="D97" s="211">
        <v>7</v>
      </c>
      <c r="E97" s="131" t="s">
        <v>3801</v>
      </c>
      <c r="F97" s="214">
        <v>0.32916666666666666</v>
      </c>
      <c r="G97" s="214">
        <v>0.34652777777777777</v>
      </c>
      <c r="H97" s="131">
        <v>0</v>
      </c>
      <c r="I97" s="131">
        <v>96021</v>
      </c>
      <c r="J97" s="212">
        <v>16670</v>
      </c>
      <c r="K97" s="131">
        <v>35.799999999999997</v>
      </c>
      <c r="L97" s="131">
        <v>96.4</v>
      </c>
      <c r="M97" s="131">
        <v>12.8</v>
      </c>
      <c r="N97" s="131">
        <v>30.1</v>
      </c>
      <c r="O97" s="131">
        <v>51.4</v>
      </c>
      <c r="P97" s="131">
        <v>78</v>
      </c>
      <c r="Q97" s="131">
        <v>10.8</v>
      </c>
      <c r="R97" s="131">
        <v>7.8</v>
      </c>
      <c r="S97" s="131">
        <v>17.7</v>
      </c>
      <c r="T97" s="131">
        <v>1</v>
      </c>
      <c r="U97" s="131">
        <v>0</v>
      </c>
      <c r="V97" s="131"/>
      <c r="W97" s="131"/>
      <c r="X97" s="217"/>
      <c r="Y97" s="131"/>
      <c r="Z97" s="131"/>
      <c r="AA97" s="131"/>
      <c r="AB97" s="131"/>
      <c r="AC97" s="131"/>
      <c r="AD97" s="131"/>
      <c r="AE97" s="131"/>
      <c r="AF97" s="131"/>
      <c r="AG97" s="131"/>
      <c r="AH97" s="131"/>
      <c r="AI97" s="131"/>
      <c r="AJ97" s="131"/>
      <c r="AK97" s="131"/>
      <c r="AL97" s="131"/>
      <c r="AM97" s="131"/>
      <c r="AN97" s="131"/>
      <c r="AO97" s="131"/>
      <c r="AP97" s="131"/>
      <c r="AQ97" s="131"/>
    </row>
    <row r="98" spans="1:43" ht="15.75" customHeight="1" x14ac:dyDescent="0.55000000000000004">
      <c r="A98" s="210">
        <v>157</v>
      </c>
      <c r="B98" s="210" t="s">
        <v>1893</v>
      </c>
      <c r="C98" s="210" t="s">
        <v>1894</v>
      </c>
      <c r="D98" s="211">
        <v>4</v>
      </c>
      <c r="E98" s="131" t="s">
        <v>3747</v>
      </c>
      <c r="F98" s="214">
        <v>0.11805555555555555</v>
      </c>
      <c r="G98" s="131"/>
      <c r="H98" s="131">
        <v>0</v>
      </c>
      <c r="I98" s="131">
        <v>15462</v>
      </c>
      <c r="J98" s="131">
        <v>574</v>
      </c>
      <c r="K98" s="131">
        <v>22.5</v>
      </c>
      <c r="L98" s="131">
        <v>100</v>
      </c>
      <c r="M98" s="131">
        <v>0</v>
      </c>
      <c r="N98" s="131">
        <v>0</v>
      </c>
      <c r="O98" s="131">
        <v>39.5</v>
      </c>
      <c r="P98" s="131">
        <v>81.900000000000006</v>
      </c>
      <c r="Q98" s="131">
        <v>0</v>
      </c>
      <c r="R98" s="131">
        <v>2.4</v>
      </c>
      <c r="S98" s="131">
        <v>13.6</v>
      </c>
      <c r="T98" s="131"/>
      <c r="U98" s="131"/>
      <c r="V98" s="131"/>
      <c r="W98" s="131"/>
      <c r="X98" s="213"/>
      <c r="Y98" s="120"/>
      <c r="Z98" s="120"/>
      <c r="AA98" s="120"/>
      <c r="AB98" s="120"/>
      <c r="AC98" s="120"/>
      <c r="AD98" s="120"/>
      <c r="AE98" s="120"/>
      <c r="AF98" s="120"/>
      <c r="AG98" s="120"/>
      <c r="AH98" s="120"/>
      <c r="AI98" s="120"/>
      <c r="AJ98" s="120"/>
      <c r="AK98" s="120"/>
      <c r="AL98" s="120"/>
      <c r="AM98" s="120"/>
      <c r="AN98" s="120"/>
      <c r="AO98" s="120"/>
      <c r="AP98" s="120"/>
      <c r="AQ98" s="120"/>
    </row>
    <row r="99" spans="1:43" ht="15.75" customHeight="1" x14ac:dyDescent="0.55000000000000004">
      <c r="A99" s="210">
        <v>158</v>
      </c>
      <c r="B99" s="210" t="s">
        <v>1899</v>
      </c>
      <c r="C99" s="210" t="s">
        <v>1900</v>
      </c>
      <c r="D99" s="211">
        <v>0</v>
      </c>
      <c r="E99" s="131" t="s">
        <v>3753</v>
      </c>
      <c r="F99" s="214">
        <v>0.59791666666666665</v>
      </c>
      <c r="G99" s="214">
        <v>0.65277777777777779</v>
      </c>
      <c r="H99" s="131">
        <v>1</v>
      </c>
      <c r="I99" s="131">
        <v>33076</v>
      </c>
      <c r="J99" s="212">
        <v>35123</v>
      </c>
      <c r="K99" s="131">
        <v>40</v>
      </c>
      <c r="L99" s="131">
        <v>80.8</v>
      </c>
      <c r="M99" s="131">
        <v>10.7</v>
      </c>
      <c r="N99" s="131">
        <v>20</v>
      </c>
      <c r="O99" s="131">
        <v>64.8</v>
      </c>
      <c r="P99" s="131">
        <v>96.1</v>
      </c>
      <c r="Q99" s="131">
        <v>56</v>
      </c>
      <c r="R99" s="131">
        <v>5.2</v>
      </c>
      <c r="S99" s="131">
        <v>3.8</v>
      </c>
      <c r="T99" s="131">
        <v>2</v>
      </c>
      <c r="U99" s="131">
        <v>5</v>
      </c>
      <c r="V99" s="131">
        <v>38</v>
      </c>
      <c r="W99" s="131">
        <v>3.7</v>
      </c>
      <c r="X99" s="217"/>
      <c r="Y99" s="131"/>
      <c r="Z99" s="131"/>
      <c r="AA99" s="131"/>
      <c r="AB99" s="131"/>
      <c r="AC99" s="131"/>
      <c r="AD99" s="131"/>
      <c r="AE99" s="131"/>
      <c r="AF99" s="131"/>
      <c r="AG99" s="131"/>
      <c r="AH99" s="131"/>
      <c r="AI99" s="131"/>
      <c r="AJ99" s="131"/>
      <c r="AK99" s="131"/>
      <c r="AL99" s="131"/>
      <c r="AM99" s="131"/>
      <c r="AN99" s="131"/>
      <c r="AO99" s="131"/>
      <c r="AP99" s="131"/>
      <c r="AQ99" s="131"/>
    </row>
    <row r="100" spans="1:43" ht="15.75" customHeight="1" x14ac:dyDescent="0.55000000000000004">
      <c r="A100" s="210">
        <v>159</v>
      </c>
      <c r="B100" s="210" t="s">
        <v>1907</v>
      </c>
      <c r="C100" s="210" t="s">
        <v>1147</v>
      </c>
      <c r="D100" s="211">
        <v>4</v>
      </c>
      <c r="E100" s="120" t="s">
        <v>3747</v>
      </c>
      <c r="F100" s="120"/>
      <c r="G100" s="218">
        <v>0.66666666666666663</v>
      </c>
      <c r="H100" s="120">
        <v>0</v>
      </c>
      <c r="I100" s="120">
        <v>48238</v>
      </c>
      <c r="J100" s="212">
        <v>28447</v>
      </c>
      <c r="K100" s="216">
        <v>35.9</v>
      </c>
      <c r="L100" s="216">
        <v>1.5</v>
      </c>
      <c r="M100" s="216">
        <v>35.299999999999997</v>
      </c>
      <c r="N100" s="216">
        <v>52.1</v>
      </c>
      <c r="O100" s="216">
        <v>34.9</v>
      </c>
      <c r="P100" s="216">
        <v>78.5</v>
      </c>
      <c r="Q100" s="216">
        <v>10</v>
      </c>
      <c r="R100" s="216">
        <v>11.3</v>
      </c>
      <c r="S100" s="120">
        <v>2.2999999999999998</v>
      </c>
      <c r="T100" s="120">
        <v>0</v>
      </c>
      <c r="U100" s="120">
        <v>0</v>
      </c>
      <c r="V100" s="219">
        <v>3847</v>
      </c>
      <c r="W100" s="120">
        <v>39.4</v>
      </c>
      <c r="X100" s="217"/>
      <c r="Y100" s="131"/>
      <c r="Z100" s="131"/>
      <c r="AA100" s="131"/>
      <c r="AB100" s="131"/>
      <c r="AC100" s="131"/>
      <c r="AD100" s="131"/>
      <c r="AE100" s="131"/>
      <c r="AF100" s="131"/>
      <c r="AG100" s="131"/>
      <c r="AH100" s="131"/>
      <c r="AI100" s="131"/>
      <c r="AJ100" s="131"/>
      <c r="AK100" s="131"/>
      <c r="AL100" s="131"/>
      <c r="AM100" s="131"/>
      <c r="AN100" s="131"/>
      <c r="AO100" s="131"/>
      <c r="AP100" s="131"/>
      <c r="AQ100" s="131"/>
    </row>
    <row r="101" spans="1:43" ht="15.75" customHeight="1" x14ac:dyDescent="0.55000000000000004">
      <c r="A101" s="210">
        <v>160</v>
      </c>
      <c r="B101" s="210" t="s">
        <v>1911</v>
      </c>
      <c r="C101" s="210" t="s">
        <v>3802</v>
      </c>
      <c r="D101" s="211">
        <v>5</v>
      </c>
      <c r="E101" s="131" t="s">
        <v>3762</v>
      </c>
      <c r="F101" s="214">
        <v>0.14583333333333334</v>
      </c>
      <c r="G101" s="214">
        <v>0.5625</v>
      </c>
      <c r="H101" s="131">
        <v>3</v>
      </c>
      <c r="I101" s="131">
        <v>37013</v>
      </c>
      <c r="J101" s="212">
        <v>95717</v>
      </c>
      <c r="K101" s="131">
        <v>31.8</v>
      </c>
      <c r="L101" s="131">
        <v>52.7</v>
      </c>
      <c r="M101" s="131">
        <v>15.5</v>
      </c>
      <c r="N101" s="131">
        <v>41.2</v>
      </c>
      <c r="O101" s="131">
        <v>73.3</v>
      </c>
      <c r="P101" s="131">
        <v>36.1</v>
      </c>
      <c r="Q101" s="131">
        <v>13.7</v>
      </c>
      <c r="R101" s="131">
        <v>18.2</v>
      </c>
      <c r="S101" s="131">
        <v>5.9</v>
      </c>
      <c r="T101" s="131">
        <v>3</v>
      </c>
      <c r="U101" s="131">
        <v>0</v>
      </c>
      <c r="V101" s="131">
        <v>104</v>
      </c>
      <c r="W101" s="131"/>
      <c r="X101" s="213"/>
      <c r="Y101" s="120"/>
      <c r="Z101" s="120"/>
      <c r="AA101" s="120"/>
      <c r="AB101" s="120"/>
      <c r="AC101" s="120"/>
      <c r="AD101" s="120"/>
      <c r="AE101" s="120"/>
      <c r="AF101" s="120"/>
      <c r="AG101" s="120"/>
      <c r="AH101" s="120"/>
      <c r="AI101" s="120"/>
      <c r="AJ101" s="120"/>
      <c r="AK101" s="120"/>
      <c r="AL101" s="120"/>
      <c r="AM101" s="120"/>
      <c r="AN101" s="120"/>
      <c r="AO101" s="120"/>
      <c r="AP101" s="120"/>
      <c r="AQ101" s="120"/>
    </row>
    <row r="102" spans="1:43" ht="15.75" customHeight="1" x14ac:dyDescent="0.55000000000000004">
      <c r="A102" s="210">
        <v>161</v>
      </c>
      <c r="B102" s="210" t="s">
        <v>1916</v>
      </c>
      <c r="C102" s="210" t="s">
        <v>1917</v>
      </c>
      <c r="D102" s="211">
        <v>0</v>
      </c>
      <c r="E102" s="131" t="s">
        <v>3753</v>
      </c>
      <c r="F102" s="214">
        <v>0.31944444444444442</v>
      </c>
      <c r="G102" s="214">
        <v>0.33680555555555558</v>
      </c>
      <c r="H102" s="131">
        <v>0</v>
      </c>
      <c r="I102" s="131">
        <v>77517</v>
      </c>
      <c r="J102" s="212">
        <v>5688</v>
      </c>
      <c r="K102" s="131">
        <v>39.5</v>
      </c>
      <c r="L102" s="131">
        <v>97.1</v>
      </c>
      <c r="M102" s="131">
        <v>10.8</v>
      </c>
      <c r="N102" s="131">
        <v>5.8</v>
      </c>
      <c r="O102" s="131">
        <v>58.9</v>
      </c>
      <c r="P102" s="131">
        <v>87.6</v>
      </c>
      <c r="Q102" s="131">
        <v>11.2</v>
      </c>
      <c r="R102" s="131">
        <v>9.4</v>
      </c>
      <c r="S102" s="131">
        <v>9.6999999999999993</v>
      </c>
      <c r="T102" s="131">
        <v>0</v>
      </c>
      <c r="U102" s="131">
        <v>0</v>
      </c>
      <c r="V102" s="131">
        <v>26</v>
      </c>
      <c r="W102" s="131">
        <v>7.9</v>
      </c>
      <c r="X102" s="217"/>
      <c r="Y102" s="131"/>
      <c r="Z102" s="131"/>
      <c r="AA102" s="131"/>
      <c r="AB102" s="131"/>
      <c r="AC102" s="131"/>
      <c r="AD102" s="131"/>
      <c r="AE102" s="131"/>
      <c r="AF102" s="131"/>
      <c r="AG102" s="131"/>
      <c r="AH102" s="131"/>
      <c r="AI102" s="131"/>
      <c r="AJ102" s="131"/>
      <c r="AK102" s="131"/>
      <c r="AL102" s="131"/>
      <c r="AM102" s="131"/>
      <c r="AN102" s="131"/>
      <c r="AO102" s="131"/>
      <c r="AP102" s="131"/>
      <c r="AQ102" s="131"/>
    </row>
    <row r="103" spans="1:43" ht="15.75" customHeight="1" x14ac:dyDescent="0.55000000000000004">
      <c r="A103" s="210">
        <v>162</v>
      </c>
      <c r="B103" s="210" t="s">
        <v>1924</v>
      </c>
      <c r="C103" s="210" t="s">
        <v>1925</v>
      </c>
      <c r="D103" s="211">
        <v>6</v>
      </c>
      <c r="E103" s="131" t="s">
        <v>3803</v>
      </c>
      <c r="F103" s="131"/>
      <c r="G103" s="131"/>
      <c r="H103" s="131"/>
      <c r="I103" s="131">
        <v>21401</v>
      </c>
      <c r="J103" s="212">
        <v>36129</v>
      </c>
      <c r="K103" s="131">
        <v>45.1</v>
      </c>
      <c r="L103" s="131">
        <v>76.5</v>
      </c>
      <c r="M103" s="131">
        <v>16.8</v>
      </c>
      <c r="N103" s="131">
        <v>37.799999999999997</v>
      </c>
      <c r="O103" s="131">
        <v>61.3</v>
      </c>
      <c r="P103" s="131">
        <v>93.7</v>
      </c>
      <c r="Q103" s="131">
        <v>58.3</v>
      </c>
      <c r="R103" s="131">
        <v>5.8</v>
      </c>
      <c r="S103" s="131">
        <v>1.4</v>
      </c>
      <c r="T103" s="131">
        <v>10</v>
      </c>
      <c r="U103" s="131">
        <v>0</v>
      </c>
      <c r="V103" s="131">
        <v>121</v>
      </c>
      <c r="W103" s="131">
        <v>2.57</v>
      </c>
      <c r="X103" s="213"/>
      <c r="Y103" s="120"/>
      <c r="Z103" s="120"/>
      <c r="AA103" s="120"/>
      <c r="AB103" s="120"/>
      <c r="AC103" s="120"/>
      <c r="AD103" s="120"/>
      <c r="AE103" s="120"/>
      <c r="AF103" s="120"/>
      <c r="AG103" s="120"/>
      <c r="AH103" s="120"/>
      <c r="AI103" s="120"/>
      <c r="AJ103" s="120"/>
      <c r="AK103" s="120"/>
      <c r="AL103" s="120"/>
      <c r="AM103" s="120"/>
      <c r="AN103" s="120"/>
      <c r="AO103" s="120"/>
      <c r="AP103" s="120"/>
      <c r="AQ103" s="120"/>
    </row>
    <row r="104" spans="1:43" ht="15.75" customHeight="1" x14ac:dyDescent="0.55000000000000004">
      <c r="A104" s="210">
        <v>163</v>
      </c>
      <c r="B104" s="210" t="s">
        <v>1933</v>
      </c>
      <c r="C104" s="210" t="s">
        <v>1934</v>
      </c>
      <c r="D104" s="211">
        <v>6</v>
      </c>
      <c r="E104" s="131" t="s">
        <v>3746</v>
      </c>
      <c r="F104" s="214">
        <v>0.72083333333333333</v>
      </c>
      <c r="G104" s="214">
        <v>0.74236111111111114</v>
      </c>
      <c r="H104" s="131">
        <v>2</v>
      </c>
      <c r="I104" s="131">
        <v>93307</v>
      </c>
      <c r="J104" s="212">
        <v>84948</v>
      </c>
      <c r="K104" s="131">
        <v>27.3</v>
      </c>
      <c r="L104" s="131">
        <v>68.3</v>
      </c>
      <c r="M104" s="131">
        <v>22.1</v>
      </c>
      <c r="N104" s="131">
        <v>47.5</v>
      </c>
      <c r="O104" s="131">
        <v>51.9</v>
      </c>
      <c r="P104" s="131">
        <v>56.3</v>
      </c>
      <c r="Q104" s="131">
        <v>4.7</v>
      </c>
      <c r="R104" s="131">
        <v>19.5</v>
      </c>
      <c r="S104" s="131">
        <v>5.6</v>
      </c>
      <c r="T104" s="131">
        <v>0</v>
      </c>
      <c r="U104" s="131">
        <v>1</v>
      </c>
      <c r="V104" s="131">
        <v>82</v>
      </c>
      <c r="W104" s="131"/>
      <c r="X104" s="213"/>
      <c r="Y104" s="120"/>
      <c r="Z104" s="120"/>
      <c r="AA104" s="120"/>
      <c r="AB104" s="120"/>
      <c r="AC104" s="120"/>
      <c r="AD104" s="120"/>
      <c r="AE104" s="120"/>
      <c r="AF104" s="120"/>
      <c r="AG104" s="120"/>
      <c r="AH104" s="120"/>
      <c r="AI104" s="120"/>
      <c r="AJ104" s="120"/>
      <c r="AK104" s="120"/>
      <c r="AL104" s="120"/>
      <c r="AM104" s="120"/>
      <c r="AN104" s="120"/>
      <c r="AO104" s="120"/>
      <c r="AP104" s="120"/>
      <c r="AQ104" s="120"/>
    </row>
    <row r="105" spans="1:43" ht="15.75" customHeight="1" x14ac:dyDescent="0.55000000000000004">
      <c r="A105" s="210">
        <v>164</v>
      </c>
      <c r="B105" s="210" t="s">
        <v>1938</v>
      </c>
      <c r="C105" s="210" t="s">
        <v>859</v>
      </c>
      <c r="D105" s="211">
        <v>3</v>
      </c>
      <c r="E105" s="120" t="s">
        <v>3754</v>
      </c>
      <c r="F105" s="218">
        <v>0.41249999999999998</v>
      </c>
      <c r="G105" s="218">
        <v>0.46388888888888891</v>
      </c>
      <c r="H105" s="120">
        <v>0</v>
      </c>
      <c r="I105" s="120">
        <v>15217</v>
      </c>
      <c r="J105" s="212">
        <v>28049</v>
      </c>
      <c r="K105" s="216">
        <v>34.5</v>
      </c>
      <c r="L105" s="216">
        <v>80.2</v>
      </c>
      <c r="M105" s="216">
        <v>4.4000000000000004</v>
      </c>
      <c r="N105" s="216">
        <v>48.5</v>
      </c>
      <c r="O105" s="216">
        <v>62.3</v>
      </c>
      <c r="P105" s="216">
        <v>96.7</v>
      </c>
      <c r="Q105" s="216">
        <v>72.099999999999994</v>
      </c>
      <c r="R105" s="216">
        <v>3.7</v>
      </c>
      <c r="S105" s="120"/>
      <c r="T105" s="120">
        <v>3</v>
      </c>
      <c r="U105" s="120">
        <v>0</v>
      </c>
      <c r="V105" s="219">
        <v>1100</v>
      </c>
      <c r="W105" s="120">
        <v>22.4</v>
      </c>
      <c r="X105" s="217"/>
      <c r="Y105" s="131"/>
      <c r="Z105" s="131"/>
      <c r="AA105" s="131"/>
      <c r="AB105" s="131"/>
      <c r="AC105" s="131"/>
      <c r="AD105" s="131"/>
      <c r="AE105" s="131"/>
      <c r="AF105" s="131"/>
      <c r="AG105" s="131"/>
      <c r="AH105" s="131"/>
      <c r="AI105" s="131"/>
      <c r="AJ105" s="131"/>
      <c r="AK105" s="131"/>
      <c r="AL105" s="131"/>
      <c r="AM105" s="131"/>
      <c r="AN105" s="131"/>
      <c r="AO105" s="131"/>
      <c r="AP105" s="131"/>
      <c r="AQ105" s="131"/>
    </row>
    <row r="106" spans="1:43" ht="15.75" customHeight="1" x14ac:dyDescent="0.55000000000000004">
      <c r="A106" s="210">
        <v>165</v>
      </c>
      <c r="B106" s="210" t="s">
        <v>1942</v>
      </c>
      <c r="C106" s="210" t="s">
        <v>1943</v>
      </c>
      <c r="D106" s="211">
        <v>5</v>
      </c>
      <c r="E106" s="131" t="s">
        <v>3762</v>
      </c>
      <c r="F106" s="214">
        <v>0.97222222222222221</v>
      </c>
      <c r="G106" s="131"/>
      <c r="H106" s="131">
        <v>3</v>
      </c>
      <c r="I106" s="131">
        <v>91361</v>
      </c>
      <c r="J106" s="212">
        <v>20826</v>
      </c>
      <c r="K106" s="131">
        <v>49.1</v>
      </c>
      <c r="L106" s="131">
        <v>86.6</v>
      </c>
      <c r="M106" s="131">
        <v>8.5</v>
      </c>
      <c r="N106" s="131">
        <v>27.1</v>
      </c>
      <c r="O106" s="131">
        <v>56.8</v>
      </c>
      <c r="P106" s="131">
        <v>24.8</v>
      </c>
      <c r="Q106" s="131">
        <v>19.399999999999999</v>
      </c>
      <c r="R106" s="131">
        <v>3.4</v>
      </c>
      <c r="S106" s="131">
        <v>3.2</v>
      </c>
      <c r="T106" s="131">
        <v>1</v>
      </c>
      <c r="U106" s="131">
        <v>1</v>
      </c>
      <c r="V106" s="131"/>
      <c r="W106" s="131">
        <v>8</v>
      </c>
      <c r="X106" s="213"/>
      <c r="Y106" s="120"/>
      <c r="Z106" s="120"/>
      <c r="AA106" s="120"/>
      <c r="AB106" s="120"/>
      <c r="AC106" s="120"/>
      <c r="AD106" s="120"/>
      <c r="AE106" s="120"/>
      <c r="AF106" s="120"/>
      <c r="AG106" s="120"/>
      <c r="AH106" s="120"/>
      <c r="AI106" s="120"/>
      <c r="AJ106" s="120"/>
      <c r="AK106" s="120"/>
      <c r="AL106" s="120"/>
      <c r="AM106" s="120"/>
      <c r="AN106" s="120"/>
      <c r="AO106" s="120"/>
      <c r="AP106" s="120"/>
      <c r="AQ106" s="120"/>
    </row>
    <row r="107" spans="1:43" ht="15.75" customHeight="1" x14ac:dyDescent="0.55000000000000004">
      <c r="A107" s="210">
        <v>166</v>
      </c>
      <c r="B107" s="210" t="s">
        <v>1948</v>
      </c>
      <c r="C107" s="210" t="s">
        <v>1949</v>
      </c>
      <c r="D107" s="211">
        <v>4</v>
      </c>
      <c r="E107" s="120" t="s">
        <v>3747</v>
      </c>
      <c r="F107" s="218">
        <v>0.52083333333333337</v>
      </c>
      <c r="G107" s="120"/>
      <c r="H107" s="120">
        <v>1</v>
      </c>
      <c r="I107" s="120">
        <v>33870</v>
      </c>
      <c r="J107" s="212">
        <v>21952</v>
      </c>
      <c r="K107" s="216">
        <v>49.7</v>
      </c>
      <c r="L107" s="216">
        <v>74.099999999999994</v>
      </c>
      <c r="M107" s="216">
        <v>10.7</v>
      </c>
      <c r="N107" s="216">
        <v>36.4</v>
      </c>
      <c r="O107" s="216">
        <v>36.200000000000003</v>
      </c>
      <c r="P107" s="216">
        <v>78.8</v>
      </c>
      <c r="Q107" s="216">
        <v>13.8</v>
      </c>
      <c r="R107" s="216">
        <v>17.399999999999999</v>
      </c>
      <c r="S107" s="120">
        <v>2.2000000000000002</v>
      </c>
      <c r="T107" s="120">
        <v>6</v>
      </c>
      <c r="U107" s="120">
        <v>3</v>
      </c>
      <c r="V107" s="120">
        <v>36</v>
      </c>
      <c r="W107" s="120">
        <v>9.6999999999999993</v>
      </c>
      <c r="X107" s="217"/>
      <c r="Y107" s="131"/>
      <c r="Z107" s="131"/>
      <c r="AA107" s="131"/>
      <c r="AB107" s="131"/>
      <c r="AC107" s="131"/>
      <c r="AD107" s="131"/>
      <c r="AE107" s="131"/>
      <c r="AF107" s="131"/>
      <c r="AG107" s="131"/>
      <c r="AH107" s="131"/>
      <c r="AI107" s="131"/>
      <c r="AJ107" s="131"/>
      <c r="AK107" s="131"/>
      <c r="AL107" s="131"/>
      <c r="AM107" s="131"/>
      <c r="AN107" s="131"/>
      <c r="AO107" s="131"/>
      <c r="AP107" s="131"/>
      <c r="AQ107" s="131"/>
    </row>
    <row r="108" spans="1:43" ht="15.75" customHeight="1" x14ac:dyDescent="0.55000000000000004">
      <c r="A108" s="210">
        <v>167</v>
      </c>
      <c r="B108" s="210" t="s">
        <v>1953</v>
      </c>
      <c r="C108" s="210" t="s">
        <v>1954</v>
      </c>
      <c r="D108" s="211">
        <v>6</v>
      </c>
      <c r="E108" s="120" t="s">
        <v>3746</v>
      </c>
      <c r="F108" s="120"/>
      <c r="G108" s="120"/>
      <c r="H108" s="120">
        <v>1</v>
      </c>
      <c r="I108" s="120">
        <v>60506</v>
      </c>
      <c r="J108" s="212">
        <v>53582</v>
      </c>
      <c r="K108" s="216">
        <v>34.799999999999997</v>
      </c>
      <c r="L108" s="216">
        <v>61.2</v>
      </c>
      <c r="M108" s="216">
        <v>14.9</v>
      </c>
      <c r="N108" s="216">
        <v>32.700000000000003</v>
      </c>
      <c r="O108" s="216">
        <v>61.7</v>
      </c>
      <c r="P108" s="216">
        <v>78.7</v>
      </c>
      <c r="Q108" s="216">
        <v>23.6</v>
      </c>
      <c r="R108" s="216">
        <v>10.7</v>
      </c>
      <c r="S108" s="120">
        <v>1.3</v>
      </c>
      <c r="T108" s="120">
        <v>3</v>
      </c>
      <c r="U108" s="120">
        <v>0</v>
      </c>
      <c r="V108" s="120">
        <v>269</v>
      </c>
      <c r="W108" s="120">
        <v>4</v>
      </c>
      <c r="X108" s="217"/>
      <c r="Y108" s="131"/>
      <c r="Z108" s="131"/>
      <c r="AA108" s="131"/>
      <c r="AB108" s="131"/>
      <c r="AC108" s="131"/>
      <c r="AD108" s="131"/>
      <c r="AE108" s="131"/>
      <c r="AF108" s="131"/>
      <c r="AG108" s="131"/>
      <c r="AH108" s="131"/>
      <c r="AI108" s="131"/>
      <c r="AJ108" s="131"/>
      <c r="AK108" s="131"/>
      <c r="AL108" s="131"/>
      <c r="AM108" s="131"/>
      <c r="AN108" s="131"/>
      <c r="AO108" s="131"/>
      <c r="AP108" s="131"/>
      <c r="AQ108" s="131"/>
    </row>
    <row r="109" spans="1:43" ht="15.75" customHeight="1" x14ac:dyDescent="0.55000000000000004">
      <c r="A109" s="210">
        <v>168</v>
      </c>
      <c r="B109" s="210" t="s">
        <v>1957</v>
      </c>
      <c r="C109" s="210" t="s">
        <v>1958</v>
      </c>
      <c r="D109" s="211">
        <v>6</v>
      </c>
      <c r="E109" s="120" t="s">
        <v>3746</v>
      </c>
      <c r="F109" s="218">
        <v>0.66666666666666663</v>
      </c>
      <c r="G109" s="120"/>
      <c r="H109" s="120">
        <v>1</v>
      </c>
      <c r="I109" s="120">
        <v>23456</v>
      </c>
      <c r="J109" s="212">
        <v>53787</v>
      </c>
      <c r="K109" s="216">
        <v>38.6</v>
      </c>
      <c r="L109" s="216">
        <v>69.599999999999994</v>
      </c>
      <c r="M109" s="216">
        <v>10.5</v>
      </c>
      <c r="N109" s="216">
        <v>12.4</v>
      </c>
      <c r="O109" s="216">
        <v>64.599999999999994</v>
      </c>
      <c r="P109" s="216">
        <v>95.2</v>
      </c>
      <c r="Q109" s="216">
        <v>40.799999999999997</v>
      </c>
      <c r="R109" s="216">
        <v>5.4</v>
      </c>
      <c r="S109" s="120">
        <v>2.9</v>
      </c>
      <c r="T109" s="120">
        <v>0</v>
      </c>
      <c r="U109" s="120">
        <v>2</v>
      </c>
      <c r="V109" s="120">
        <v>400</v>
      </c>
      <c r="W109" s="120">
        <v>3.8</v>
      </c>
      <c r="X109" s="217"/>
      <c r="Y109" s="131"/>
      <c r="Z109" s="131"/>
      <c r="AA109" s="131"/>
      <c r="AB109" s="131"/>
      <c r="AC109" s="131"/>
      <c r="AD109" s="131"/>
      <c r="AE109" s="131"/>
      <c r="AF109" s="131"/>
      <c r="AG109" s="131"/>
      <c r="AH109" s="131"/>
      <c r="AI109" s="131"/>
      <c r="AJ109" s="131"/>
      <c r="AK109" s="131"/>
      <c r="AL109" s="131"/>
      <c r="AM109" s="131"/>
      <c r="AN109" s="131"/>
      <c r="AO109" s="131"/>
      <c r="AP109" s="131"/>
      <c r="AQ109" s="131"/>
    </row>
    <row r="110" spans="1:43" ht="15.75" customHeight="1" x14ac:dyDescent="0.55000000000000004">
      <c r="A110" s="210">
        <v>169</v>
      </c>
      <c r="B110" s="210" t="s">
        <v>1963</v>
      </c>
      <c r="C110" s="210" t="s">
        <v>1082</v>
      </c>
      <c r="D110" s="211">
        <v>4</v>
      </c>
      <c r="E110" s="120" t="s">
        <v>3747</v>
      </c>
      <c r="F110" s="218">
        <v>0.44374999999999998</v>
      </c>
      <c r="G110" s="218">
        <v>0.44791666666666669</v>
      </c>
      <c r="H110" s="120">
        <v>0</v>
      </c>
      <c r="I110" s="120">
        <v>79925</v>
      </c>
      <c r="J110" s="212">
        <v>39455</v>
      </c>
      <c r="K110" s="216">
        <v>36.9</v>
      </c>
      <c r="L110" s="216">
        <v>88.5</v>
      </c>
      <c r="M110" s="216">
        <v>17.8</v>
      </c>
      <c r="N110" s="216">
        <v>47.8</v>
      </c>
      <c r="O110" s="216">
        <v>56</v>
      </c>
      <c r="P110" s="216">
        <v>86.4</v>
      </c>
      <c r="Q110" s="216">
        <v>24</v>
      </c>
      <c r="R110" s="216">
        <v>19.8</v>
      </c>
      <c r="S110" s="120">
        <v>3.7</v>
      </c>
      <c r="T110" s="120">
        <v>2</v>
      </c>
      <c r="U110" s="120">
        <v>1</v>
      </c>
      <c r="V110" s="219">
        <v>1126</v>
      </c>
      <c r="W110" s="120">
        <v>3.1</v>
      </c>
      <c r="X110" s="217"/>
      <c r="Y110" s="131"/>
      <c r="Z110" s="131"/>
      <c r="AA110" s="131"/>
      <c r="AB110" s="131"/>
      <c r="AC110" s="131"/>
      <c r="AD110" s="131"/>
      <c r="AE110" s="131"/>
      <c r="AF110" s="131"/>
      <c r="AG110" s="131"/>
      <c r="AH110" s="131"/>
      <c r="AI110" s="131"/>
      <c r="AJ110" s="131"/>
      <c r="AK110" s="131"/>
      <c r="AL110" s="131"/>
      <c r="AM110" s="131"/>
      <c r="AN110" s="131"/>
      <c r="AO110" s="131"/>
      <c r="AP110" s="131"/>
      <c r="AQ110" s="131"/>
    </row>
    <row r="111" spans="1:43" ht="15.75" customHeight="1" x14ac:dyDescent="0.55000000000000004">
      <c r="A111" s="210">
        <v>170</v>
      </c>
      <c r="B111" s="210" t="s">
        <v>1965</v>
      </c>
      <c r="C111" s="210" t="s">
        <v>1966</v>
      </c>
      <c r="D111" s="211">
        <v>5</v>
      </c>
      <c r="E111" s="131" t="s">
        <v>3762</v>
      </c>
      <c r="F111" s="218">
        <v>4.5138888888888888E-2</v>
      </c>
      <c r="G111" s="218">
        <v>4.583333333333333E-2</v>
      </c>
      <c r="H111" s="120">
        <v>3</v>
      </c>
      <c r="I111" s="120">
        <v>45402</v>
      </c>
      <c r="J111" s="212">
        <v>9568</v>
      </c>
      <c r="K111" s="216">
        <v>35.6</v>
      </c>
      <c r="L111" s="216">
        <v>25</v>
      </c>
      <c r="M111" s="216">
        <v>22.2</v>
      </c>
      <c r="N111" s="216">
        <v>65.7</v>
      </c>
      <c r="O111" s="216">
        <v>42.1</v>
      </c>
      <c r="P111" s="216">
        <v>80.400000000000006</v>
      </c>
      <c r="Q111" s="216">
        <v>18.8</v>
      </c>
      <c r="R111" s="216">
        <v>10.1</v>
      </c>
      <c r="S111" s="120">
        <v>1.3</v>
      </c>
      <c r="T111" s="120">
        <v>2</v>
      </c>
      <c r="U111" s="120">
        <v>0</v>
      </c>
      <c r="V111" s="120">
        <v>510</v>
      </c>
      <c r="W111" s="120">
        <v>18.899999999999999</v>
      </c>
      <c r="X111" s="217"/>
      <c r="Y111" s="131"/>
      <c r="Z111" s="131"/>
      <c r="AA111" s="131"/>
      <c r="AB111" s="131"/>
      <c r="AC111" s="131"/>
      <c r="AD111" s="131"/>
      <c r="AE111" s="131"/>
      <c r="AF111" s="131"/>
      <c r="AG111" s="131"/>
      <c r="AH111" s="131"/>
      <c r="AI111" s="131"/>
      <c r="AJ111" s="131"/>
      <c r="AK111" s="131"/>
      <c r="AL111" s="131"/>
      <c r="AM111" s="131"/>
      <c r="AN111" s="131"/>
      <c r="AO111" s="131"/>
      <c r="AP111" s="131"/>
      <c r="AQ111" s="131"/>
    </row>
    <row r="112" spans="1:43" ht="15.75" customHeight="1" x14ac:dyDescent="0.55000000000000004">
      <c r="A112" s="210">
        <v>171</v>
      </c>
      <c r="B112" s="210" t="s">
        <v>1975</v>
      </c>
      <c r="C112" s="210" t="s">
        <v>1976</v>
      </c>
      <c r="D112" s="211">
        <v>8</v>
      </c>
      <c r="E112" s="120" t="s">
        <v>3804</v>
      </c>
      <c r="F112" s="218">
        <v>0.63680555555555551</v>
      </c>
      <c r="G112" s="218">
        <v>0.72916666666666663</v>
      </c>
      <c r="H112" s="120">
        <v>1</v>
      </c>
      <c r="I112" s="120">
        <v>79762</v>
      </c>
      <c r="J112" s="212">
        <v>44014</v>
      </c>
      <c r="K112" s="216">
        <v>31</v>
      </c>
      <c r="L112" s="216">
        <v>95.5</v>
      </c>
      <c r="M112" s="216">
        <v>14.9</v>
      </c>
      <c r="N112" s="216">
        <v>43.3</v>
      </c>
      <c r="O112" s="216">
        <v>68.5</v>
      </c>
      <c r="P112" s="216">
        <v>84.3</v>
      </c>
      <c r="Q112" s="216">
        <v>22.7</v>
      </c>
      <c r="R112" s="216">
        <v>18.5</v>
      </c>
      <c r="S112" s="120">
        <v>3.7</v>
      </c>
      <c r="T112" s="120">
        <v>1</v>
      </c>
      <c r="U112" s="120">
        <v>2</v>
      </c>
      <c r="V112" s="120">
        <v>170</v>
      </c>
      <c r="W112" s="120">
        <v>9.6999999999999993</v>
      </c>
      <c r="X112" s="217"/>
      <c r="Y112" s="131"/>
      <c r="Z112" s="131"/>
      <c r="AA112" s="131"/>
      <c r="AB112" s="131"/>
      <c r="AC112" s="131"/>
      <c r="AD112" s="131"/>
      <c r="AE112" s="131"/>
      <c r="AF112" s="131"/>
      <c r="AG112" s="131"/>
      <c r="AH112" s="131"/>
      <c r="AI112" s="131"/>
      <c r="AJ112" s="131"/>
      <c r="AK112" s="131"/>
      <c r="AL112" s="131"/>
      <c r="AM112" s="131"/>
      <c r="AN112" s="131"/>
      <c r="AO112" s="131"/>
      <c r="AP112" s="131"/>
      <c r="AQ112" s="131"/>
    </row>
    <row r="113" spans="1:43" ht="15.75" customHeight="1" x14ac:dyDescent="0.55000000000000004">
      <c r="A113" s="210">
        <v>172</v>
      </c>
      <c r="B113" s="210" t="s">
        <v>1980</v>
      </c>
      <c r="C113" s="210" t="s">
        <v>1981</v>
      </c>
      <c r="D113" s="131">
        <v>4</v>
      </c>
      <c r="E113" s="131" t="s">
        <v>3747</v>
      </c>
      <c r="F113" s="214">
        <v>0.51041666666666663</v>
      </c>
      <c r="G113" s="214">
        <v>0.65763888888888888</v>
      </c>
      <c r="H113" s="131">
        <v>1</v>
      </c>
      <c r="I113" s="131" t="s">
        <v>3805</v>
      </c>
      <c r="J113" s="212">
        <v>66229</v>
      </c>
      <c r="K113" s="131">
        <v>34.799999999999997</v>
      </c>
      <c r="L113" s="215">
        <v>20</v>
      </c>
      <c r="M113" s="131">
        <v>27.6</v>
      </c>
      <c r="N113" s="131">
        <v>60.2</v>
      </c>
      <c r="O113" s="215">
        <v>57</v>
      </c>
      <c r="P113" s="131">
        <v>84.2</v>
      </c>
      <c r="Q113" s="131">
        <v>27.8</v>
      </c>
      <c r="R113" s="131">
        <v>15.4</v>
      </c>
      <c r="S113" s="131">
        <v>2.4</v>
      </c>
      <c r="T113" s="131">
        <v>1</v>
      </c>
      <c r="U113" s="131">
        <v>1</v>
      </c>
      <c r="V113" s="131">
        <v>1109</v>
      </c>
      <c r="W113" s="131">
        <v>6.29</v>
      </c>
      <c r="X113" s="217"/>
      <c r="Y113" s="131"/>
      <c r="Z113" s="131"/>
      <c r="AA113" s="131"/>
      <c r="AB113" s="131"/>
      <c r="AC113" s="131"/>
      <c r="AD113" s="131"/>
      <c r="AE113" s="131"/>
      <c r="AF113" s="131"/>
      <c r="AG113" s="131"/>
      <c r="AH113" s="131"/>
      <c r="AI113" s="131"/>
      <c r="AJ113" s="131"/>
      <c r="AK113" s="131"/>
      <c r="AL113" s="131"/>
      <c r="AM113" s="131"/>
      <c r="AN113" s="131"/>
      <c r="AO113" s="131"/>
      <c r="AP113" s="131"/>
      <c r="AQ113" s="131"/>
    </row>
    <row r="114" spans="1:43" ht="15.75" customHeight="1" x14ac:dyDescent="0.55000000000000004">
      <c r="A114" s="210">
        <v>173</v>
      </c>
      <c r="B114" s="210" t="s">
        <v>1986</v>
      </c>
      <c r="C114" s="210" t="s">
        <v>1987</v>
      </c>
      <c r="D114" s="131">
        <v>4</v>
      </c>
      <c r="E114" s="131" t="s">
        <v>3747</v>
      </c>
      <c r="F114" s="214">
        <v>0.51041666666666663</v>
      </c>
      <c r="G114" s="214">
        <v>0.65763888888888888</v>
      </c>
      <c r="H114" s="131">
        <v>1</v>
      </c>
      <c r="I114" s="131" t="s">
        <v>3805</v>
      </c>
      <c r="J114" s="212">
        <v>66229</v>
      </c>
      <c r="K114" s="131">
        <v>34.799999999999997</v>
      </c>
      <c r="L114" s="215">
        <v>20</v>
      </c>
      <c r="M114" s="131">
        <v>27.6</v>
      </c>
      <c r="N114" s="131">
        <v>60.2</v>
      </c>
      <c r="O114" s="215">
        <v>57</v>
      </c>
      <c r="P114" s="131">
        <v>84.2</v>
      </c>
      <c r="Q114" s="131">
        <v>27.8</v>
      </c>
      <c r="R114" s="131">
        <v>15.4</v>
      </c>
      <c r="S114" s="131">
        <v>2.4</v>
      </c>
      <c r="T114" s="131">
        <v>1</v>
      </c>
      <c r="U114" s="131">
        <v>1</v>
      </c>
      <c r="V114" s="131">
        <v>1109</v>
      </c>
      <c r="W114" s="131">
        <v>6.29</v>
      </c>
      <c r="X114" s="217"/>
      <c r="Y114" s="131"/>
      <c r="Z114" s="131"/>
      <c r="AA114" s="131"/>
      <c r="AB114" s="131"/>
      <c r="AC114" s="131"/>
      <c r="AD114" s="131"/>
      <c r="AE114" s="131"/>
      <c r="AF114" s="131"/>
      <c r="AG114" s="131"/>
      <c r="AH114" s="131"/>
      <c r="AI114" s="131"/>
      <c r="AJ114" s="131"/>
      <c r="AK114" s="131"/>
      <c r="AL114" s="131"/>
      <c r="AM114" s="131"/>
      <c r="AN114" s="131"/>
      <c r="AO114" s="131"/>
      <c r="AP114" s="131"/>
      <c r="AQ114" s="131"/>
    </row>
    <row r="115" spans="1:43" ht="15.75" customHeight="1" x14ac:dyDescent="0.55000000000000004">
      <c r="A115" s="210">
        <v>174</v>
      </c>
      <c r="B115" s="210" t="s">
        <v>1991</v>
      </c>
      <c r="C115" s="210" t="s">
        <v>1524</v>
      </c>
      <c r="D115" s="131">
        <v>6</v>
      </c>
      <c r="E115" s="131" t="s">
        <v>3746</v>
      </c>
      <c r="F115" s="214">
        <v>0.57291666666666663</v>
      </c>
      <c r="G115" s="214">
        <v>0.6875</v>
      </c>
      <c r="H115" s="131">
        <v>1</v>
      </c>
      <c r="I115" s="131">
        <v>53208</v>
      </c>
      <c r="J115" s="212">
        <v>29669</v>
      </c>
      <c r="K115" s="131">
        <v>31.4</v>
      </c>
      <c r="L115" s="131">
        <v>35.799999999999997</v>
      </c>
      <c r="M115" s="131">
        <v>23.5</v>
      </c>
      <c r="N115" s="215">
        <v>63</v>
      </c>
      <c r="O115" s="131">
        <v>44.3</v>
      </c>
      <c r="P115" s="131">
        <v>84.4</v>
      </c>
      <c r="Q115" s="133">
        <v>26.6</v>
      </c>
      <c r="R115" s="133">
        <v>23.2</v>
      </c>
      <c r="S115" s="133">
        <v>1.9</v>
      </c>
      <c r="T115" s="133">
        <v>2</v>
      </c>
      <c r="U115" s="133">
        <v>0</v>
      </c>
      <c r="V115" s="131">
        <v>1800</v>
      </c>
      <c r="W115" s="131">
        <v>16.62</v>
      </c>
      <c r="X115" s="223"/>
      <c r="Y115" s="224"/>
      <c r="Z115" s="224"/>
      <c r="AA115" s="224"/>
      <c r="AB115" s="224"/>
      <c r="AC115" s="224"/>
      <c r="AD115" s="224"/>
      <c r="AE115" s="224"/>
      <c r="AF115" s="224"/>
      <c r="AG115" s="224"/>
      <c r="AH115" s="224"/>
      <c r="AI115" s="224"/>
      <c r="AJ115" s="224"/>
      <c r="AK115" s="224"/>
      <c r="AL115" s="224"/>
      <c r="AM115" s="224"/>
      <c r="AN115" s="224"/>
      <c r="AO115" s="224"/>
      <c r="AP115" s="224"/>
      <c r="AQ115" s="224"/>
    </row>
    <row r="116" spans="1:43" ht="15" customHeight="1" x14ac:dyDescent="0.55000000000000004">
      <c r="A116" s="209">
        <v>175</v>
      </c>
      <c r="B116" s="210" t="s">
        <v>1997</v>
      </c>
      <c r="C116" s="210" t="s">
        <v>1998</v>
      </c>
      <c r="D116" s="120">
        <v>4</v>
      </c>
      <c r="E116" s="117" t="s">
        <v>3747</v>
      </c>
      <c r="F116" s="225">
        <v>0.97499999999999998</v>
      </c>
      <c r="G116" s="225">
        <v>0.99305555555555558</v>
      </c>
      <c r="H116" s="117">
        <v>3</v>
      </c>
      <c r="I116" s="117">
        <v>65802</v>
      </c>
      <c r="J116" s="219">
        <v>43278</v>
      </c>
      <c r="K116" s="120">
        <v>31.8</v>
      </c>
      <c r="L116" s="120">
        <v>88.8</v>
      </c>
      <c r="M116" s="120">
        <v>13.6</v>
      </c>
      <c r="N116" s="120">
        <v>49.7</v>
      </c>
      <c r="O116" s="120">
        <v>57.1</v>
      </c>
      <c r="P116" s="120">
        <v>86.5</v>
      </c>
      <c r="Q116" s="117">
        <v>23.4</v>
      </c>
      <c r="R116" s="117">
        <v>14.2</v>
      </c>
      <c r="S116" s="117">
        <v>4.5</v>
      </c>
      <c r="T116" s="117">
        <v>4</v>
      </c>
      <c r="U116" s="117">
        <v>3</v>
      </c>
      <c r="V116" s="117">
        <v>325</v>
      </c>
      <c r="W116" s="117">
        <v>5.4</v>
      </c>
      <c r="X116" s="226"/>
      <c r="Y116" s="227"/>
      <c r="Z116" s="227"/>
      <c r="AA116" s="228"/>
      <c r="AB116" s="228"/>
      <c r="AC116" s="228"/>
      <c r="AD116" s="228"/>
      <c r="AE116" s="228"/>
      <c r="AF116" s="228"/>
      <c r="AG116" s="228"/>
      <c r="AH116" s="228"/>
      <c r="AI116" s="228"/>
      <c r="AJ116" s="228"/>
      <c r="AK116" s="228"/>
      <c r="AL116" s="228"/>
      <c r="AM116" s="228"/>
      <c r="AN116" s="228"/>
      <c r="AO116" s="228"/>
      <c r="AP116" s="228"/>
      <c r="AQ116" s="228"/>
    </row>
    <row r="117" spans="1:43" ht="15.75" customHeight="1" x14ac:dyDescent="0.55000000000000004">
      <c r="A117" s="209">
        <v>176</v>
      </c>
      <c r="B117" s="209" t="s">
        <v>1942</v>
      </c>
      <c r="C117" s="209" t="s">
        <v>859</v>
      </c>
      <c r="D117" s="120">
        <v>4</v>
      </c>
      <c r="E117" s="120" t="s">
        <v>3747</v>
      </c>
      <c r="F117" s="229" t="s">
        <v>3806</v>
      </c>
      <c r="G117" s="229" t="s">
        <v>3807</v>
      </c>
      <c r="H117" s="120">
        <v>2</v>
      </c>
      <c r="I117" s="120">
        <v>30324</v>
      </c>
      <c r="J117" s="219">
        <v>27806</v>
      </c>
      <c r="K117" s="120">
        <v>33.299999999999997</v>
      </c>
      <c r="L117" s="120">
        <v>56.7</v>
      </c>
      <c r="M117" s="120">
        <v>5.8</v>
      </c>
      <c r="N117" s="120">
        <v>61</v>
      </c>
      <c r="O117" s="120">
        <v>79.8</v>
      </c>
      <c r="P117" s="120">
        <v>95</v>
      </c>
      <c r="Q117" s="120">
        <v>73.2</v>
      </c>
      <c r="R117" s="120">
        <v>7.7</v>
      </c>
      <c r="S117" s="120">
        <v>2.8</v>
      </c>
      <c r="T117" s="120">
        <v>3</v>
      </c>
      <c r="U117" s="120">
        <v>1</v>
      </c>
      <c r="V117" s="219">
        <v>1603</v>
      </c>
      <c r="W117" s="120">
        <v>17.739999999999998</v>
      </c>
      <c r="X117" s="230"/>
      <c r="Y117" s="231"/>
      <c r="Z117" s="231"/>
      <c r="AA117" s="231"/>
      <c r="AB117" s="231"/>
      <c r="AC117" s="231"/>
      <c r="AD117" s="231"/>
      <c r="AE117" s="231"/>
      <c r="AF117" s="231"/>
      <c r="AG117" s="231"/>
      <c r="AH117" s="231"/>
      <c r="AI117" s="231"/>
      <c r="AJ117" s="231"/>
      <c r="AK117" s="231"/>
      <c r="AL117" s="231"/>
      <c r="AM117" s="231"/>
      <c r="AN117" s="231"/>
      <c r="AO117" s="231"/>
      <c r="AP117" s="231"/>
      <c r="AQ117" s="231"/>
    </row>
    <row r="118" spans="1:43" ht="15.75" customHeight="1" x14ac:dyDescent="0.55000000000000004">
      <c r="A118" s="209">
        <v>177</v>
      </c>
      <c r="B118" s="209" t="s">
        <v>2005</v>
      </c>
      <c r="C118" s="210" t="s">
        <v>2006</v>
      </c>
      <c r="D118" s="117">
        <v>4</v>
      </c>
      <c r="E118" s="120" t="s">
        <v>3747</v>
      </c>
      <c r="F118" s="229" t="s">
        <v>3808</v>
      </c>
      <c r="G118" s="229" t="s">
        <v>3809</v>
      </c>
      <c r="H118" s="120">
        <v>1</v>
      </c>
      <c r="I118" s="120">
        <v>80305</v>
      </c>
      <c r="J118" s="219">
        <v>17126</v>
      </c>
      <c r="K118" s="120">
        <v>36.4</v>
      </c>
      <c r="L118" s="120">
        <v>83.6</v>
      </c>
      <c r="M118" s="120">
        <v>4.5999999999999996</v>
      </c>
      <c r="N118" s="120">
        <v>38.4</v>
      </c>
      <c r="O118" s="120">
        <v>71.8</v>
      </c>
      <c r="P118" s="120">
        <v>98.4</v>
      </c>
      <c r="Q118" s="120">
        <v>79.2</v>
      </c>
      <c r="R118" s="120">
        <v>2.17</v>
      </c>
      <c r="S118" s="120">
        <v>10.5</v>
      </c>
      <c r="T118" s="120">
        <v>2</v>
      </c>
      <c r="U118" s="120">
        <v>0</v>
      </c>
      <c r="V118" s="120">
        <v>173</v>
      </c>
      <c r="W118" s="120">
        <v>0</v>
      </c>
      <c r="X118" s="230"/>
      <c r="Y118" s="231"/>
      <c r="Z118" s="231"/>
      <c r="AA118" s="231"/>
      <c r="AB118" s="231"/>
      <c r="AC118" s="231"/>
      <c r="AD118" s="231"/>
      <c r="AE118" s="231"/>
      <c r="AF118" s="231"/>
      <c r="AG118" s="231"/>
      <c r="AH118" s="231"/>
      <c r="AI118" s="231"/>
      <c r="AJ118" s="231"/>
      <c r="AK118" s="231"/>
      <c r="AL118" s="231"/>
      <c r="AM118" s="231"/>
      <c r="AN118" s="231"/>
      <c r="AO118" s="231"/>
      <c r="AP118" s="231"/>
      <c r="AQ118" s="231"/>
    </row>
    <row r="119" spans="1:43" ht="15.75" customHeight="1" x14ac:dyDescent="0.55000000000000004">
      <c r="A119" s="209">
        <v>178</v>
      </c>
      <c r="B119" s="210" t="s">
        <v>2013</v>
      </c>
      <c r="C119" s="210" t="s">
        <v>2014</v>
      </c>
      <c r="D119" s="117">
        <v>4</v>
      </c>
      <c r="E119" s="120" t="s">
        <v>3810</v>
      </c>
      <c r="F119" s="229" t="s">
        <v>3811</v>
      </c>
      <c r="G119" s="229"/>
      <c r="H119" s="120">
        <v>2</v>
      </c>
      <c r="I119" s="120">
        <v>92865</v>
      </c>
      <c r="J119" s="219">
        <v>20664</v>
      </c>
      <c r="K119" s="120">
        <v>35.799999999999997</v>
      </c>
      <c r="L119" s="120">
        <v>42.8</v>
      </c>
      <c r="M119" s="120">
        <v>11.5</v>
      </c>
      <c r="N119" s="120">
        <v>38.700000000000003</v>
      </c>
      <c r="O119" s="120">
        <v>67.8</v>
      </c>
      <c r="P119" s="120">
        <v>85.4</v>
      </c>
      <c r="Q119" s="120">
        <v>35.200000000000003</v>
      </c>
      <c r="R119" s="120">
        <v>7.33</v>
      </c>
      <c r="S119" s="120">
        <v>2.2000000000000002</v>
      </c>
      <c r="T119" s="120">
        <v>2</v>
      </c>
      <c r="U119" s="120">
        <v>2</v>
      </c>
      <c r="V119" s="219">
        <v>6</v>
      </c>
      <c r="W119" s="120">
        <v>0.02</v>
      </c>
      <c r="X119" s="230"/>
      <c r="Y119" s="231"/>
      <c r="Z119" s="231"/>
      <c r="AA119" s="231"/>
      <c r="AB119" s="231"/>
      <c r="AC119" s="231"/>
      <c r="AD119" s="231"/>
      <c r="AE119" s="231"/>
      <c r="AF119" s="231"/>
      <c r="AG119" s="231"/>
      <c r="AH119" s="231"/>
      <c r="AI119" s="231"/>
      <c r="AJ119" s="231"/>
      <c r="AK119" s="231"/>
      <c r="AL119" s="231"/>
      <c r="AM119" s="231"/>
      <c r="AN119" s="231"/>
      <c r="AO119" s="231"/>
      <c r="AP119" s="231"/>
      <c r="AQ119" s="231"/>
    </row>
    <row r="120" spans="1:43" ht="15.75" customHeight="1" x14ac:dyDescent="0.55000000000000004">
      <c r="A120" s="209">
        <v>179</v>
      </c>
      <c r="B120" s="209" t="s">
        <v>2017</v>
      </c>
      <c r="C120" s="209" t="s">
        <v>2018</v>
      </c>
      <c r="D120" s="117">
        <v>6</v>
      </c>
      <c r="E120" s="120" t="s">
        <v>3746</v>
      </c>
      <c r="F120" s="229" t="s">
        <v>3812</v>
      </c>
      <c r="G120" s="229" t="s">
        <v>3813</v>
      </c>
      <c r="H120" s="120">
        <v>3</v>
      </c>
      <c r="I120" s="120">
        <v>46241</v>
      </c>
      <c r="J120" s="219">
        <v>31941</v>
      </c>
      <c r="K120" s="120">
        <v>31</v>
      </c>
      <c r="L120" s="120">
        <v>62.7</v>
      </c>
      <c r="M120" s="120">
        <v>23</v>
      </c>
      <c r="N120" s="120">
        <v>43.7</v>
      </c>
      <c r="O120" s="120">
        <v>60.2</v>
      </c>
      <c r="P120" s="120">
        <v>71.2</v>
      </c>
      <c r="Q120" s="120">
        <v>8.6999999999999993</v>
      </c>
      <c r="R120" s="120">
        <v>14.9</v>
      </c>
      <c r="S120" s="120">
        <v>9.3000000000000007</v>
      </c>
      <c r="T120" s="120">
        <v>1</v>
      </c>
      <c r="U120" s="120">
        <v>0</v>
      </c>
      <c r="V120" s="219">
        <v>1700</v>
      </c>
      <c r="W120" s="120">
        <v>10.6</v>
      </c>
      <c r="X120" s="230"/>
      <c r="Y120" s="231"/>
      <c r="Z120" s="231"/>
      <c r="AA120" s="231"/>
      <c r="AB120" s="231"/>
      <c r="AC120" s="231"/>
      <c r="AD120" s="231"/>
      <c r="AE120" s="231"/>
      <c r="AF120" s="231"/>
      <c r="AG120" s="231"/>
      <c r="AH120" s="231"/>
      <c r="AI120" s="231"/>
      <c r="AJ120" s="231"/>
      <c r="AK120" s="231"/>
      <c r="AL120" s="231"/>
      <c r="AM120" s="231"/>
      <c r="AN120" s="231"/>
      <c r="AO120" s="231"/>
      <c r="AP120" s="231"/>
      <c r="AQ120" s="231"/>
    </row>
    <row r="121" spans="1:43" ht="15.75" customHeight="1" x14ac:dyDescent="0.55000000000000004">
      <c r="A121" s="209">
        <v>180</v>
      </c>
      <c r="B121" s="209" t="s">
        <v>2024</v>
      </c>
      <c r="C121" s="209" t="s">
        <v>2025</v>
      </c>
      <c r="D121" s="117">
        <v>6</v>
      </c>
      <c r="E121" s="120" t="s">
        <v>3746</v>
      </c>
      <c r="F121" s="229" t="s">
        <v>3814</v>
      </c>
      <c r="G121" s="229" t="s">
        <v>3815</v>
      </c>
      <c r="H121" s="120">
        <v>0</v>
      </c>
      <c r="I121" s="120">
        <v>95110</v>
      </c>
      <c r="J121" s="219">
        <v>19928</v>
      </c>
      <c r="K121" s="120">
        <v>32.4</v>
      </c>
      <c r="L121" s="120">
        <v>20.5</v>
      </c>
      <c r="M121" s="120">
        <v>11.2</v>
      </c>
      <c r="N121" s="120">
        <v>61.3</v>
      </c>
      <c r="O121" s="120">
        <v>70.400000000000006</v>
      </c>
      <c r="P121" s="120">
        <v>75.7</v>
      </c>
      <c r="Q121" s="120">
        <v>37.4</v>
      </c>
      <c r="R121" s="120">
        <v>8.2200000000000006</v>
      </c>
      <c r="S121" s="120">
        <v>3</v>
      </c>
      <c r="T121" s="120">
        <v>4</v>
      </c>
      <c r="U121" s="120">
        <v>0</v>
      </c>
      <c r="V121" s="120">
        <v>959</v>
      </c>
      <c r="W121" s="120">
        <v>4.5199999999999996</v>
      </c>
      <c r="X121" s="230"/>
      <c r="Y121" s="231"/>
      <c r="Z121" s="231"/>
      <c r="AA121" s="231"/>
      <c r="AB121" s="231"/>
      <c r="AC121" s="231"/>
      <c r="AD121" s="231"/>
      <c r="AE121" s="231"/>
      <c r="AF121" s="231"/>
      <c r="AG121" s="231"/>
      <c r="AH121" s="231"/>
      <c r="AI121" s="231"/>
      <c r="AJ121" s="231"/>
      <c r="AK121" s="231"/>
      <c r="AL121" s="231"/>
      <c r="AM121" s="231"/>
      <c r="AN121" s="231"/>
      <c r="AO121" s="231"/>
      <c r="AP121" s="231"/>
      <c r="AQ121" s="231"/>
    </row>
    <row r="122" spans="1:43" ht="15.75" customHeight="1" x14ac:dyDescent="0.55000000000000004">
      <c r="A122" s="210">
        <v>181</v>
      </c>
      <c r="B122" s="210" t="s">
        <v>2031</v>
      </c>
      <c r="C122" s="210" t="s">
        <v>2032</v>
      </c>
      <c r="D122" s="131">
        <v>0</v>
      </c>
      <c r="E122" s="131" t="s">
        <v>3816</v>
      </c>
      <c r="F122" s="214">
        <v>0.53611111111111109</v>
      </c>
      <c r="G122" s="214">
        <v>0.5395833333333333</v>
      </c>
      <c r="H122" s="131">
        <v>1</v>
      </c>
      <c r="I122" s="131">
        <v>48371</v>
      </c>
      <c r="J122" s="222" t="s">
        <v>3817</v>
      </c>
      <c r="K122" s="131">
        <v>39.5</v>
      </c>
      <c r="L122" s="131">
        <v>95.64</v>
      </c>
      <c r="M122" s="131">
        <v>8.3000000000000007</v>
      </c>
      <c r="N122" s="131">
        <v>14.6</v>
      </c>
      <c r="O122" s="131">
        <v>63.9</v>
      </c>
      <c r="P122" s="131">
        <v>96.69</v>
      </c>
      <c r="Q122" s="131">
        <v>43.2</v>
      </c>
      <c r="R122" s="131">
        <v>3.6</v>
      </c>
      <c r="S122" s="131">
        <v>1.7</v>
      </c>
      <c r="T122" s="131">
        <v>4</v>
      </c>
      <c r="U122" s="131">
        <v>3</v>
      </c>
      <c r="V122" s="131">
        <v>9</v>
      </c>
      <c r="W122" s="131">
        <v>0</v>
      </c>
      <c r="X122" s="217"/>
      <c r="Y122" s="131"/>
      <c r="Z122" s="131"/>
      <c r="AA122" s="131"/>
      <c r="AB122" s="131"/>
      <c r="AC122" s="131"/>
      <c r="AD122" s="131"/>
      <c r="AE122" s="131"/>
      <c r="AF122" s="131"/>
      <c r="AG122" s="131"/>
      <c r="AH122" s="131"/>
      <c r="AI122" s="131"/>
      <c r="AJ122" s="131"/>
      <c r="AK122" s="131"/>
      <c r="AL122" s="131"/>
      <c r="AM122" s="131"/>
      <c r="AN122" s="131"/>
      <c r="AO122" s="131"/>
      <c r="AP122" s="131"/>
      <c r="AQ122" s="131"/>
    </row>
    <row r="123" spans="1:43" ht="15.75" customHeight="1" x14ac:dyDescent="0.55000000000000004">
      <c r="A123" s="232"/>
      <c r="B123" s="232"/>
      <c r="C123" s="232"/>
      <c r="D123" s="232"/>
      <c r="E123" s="232"/>
      <c r="F123" s="232"/>
      <c r="G123" s="232"/>
      <c r="H123" s="232"/>
      <c r="I123" s="232"/>
      <c r="J123" s="233"/>
      <c r="K123" s="232"/>
      <c r="L123" s="232"/>
      <c r="M123" s="232"/>
      <c r="N123" s="232"/>
      <c r="O123" s="232"/>
      <c r="P123" s="232"/>
      <c r="Q123" s="232"/>
      <c r="R123" s="232"/>
      <c r="S123" s="232"/>
      <c r="T123" s="232"/>
      <c r="U123" s="232"/>
      <c r="V123" s="232"/>
      <c r="W123" s="232"/>
      <c r="X123" s="131"/>
      <c r="Y123" s="131"/>
      <c r="Z123" s="131"/>
      <c r="AA123" s="131"/>
      <c r="AB123" s="131"/>
      <c r="AC123" s="131"/>
      <c r="AD123" s="131"/>
      <c r="AE123" s="131"/>
      <c r="AF123" s="131"/>
      <c r="AG123" s="131"/>
      <c r="AH123" s="131"/>
      <c r="AI123" s="131"/>
      <c r="AJ123" s="131"/>
      <c r="AK123" s="131"/>
      <c r="AL123" s="131"/>
      <c r="AM123" s="131"/>
      <c r="AN123" s="131"/>
      <c r="AO123" s="131"/>
      <c r="AP123" s="131"/>
      <c r="AQ123" s="131"/>
    </row>
    <row r="124" spans="1:43" ht="15.75" customHeight="1" x14ac:dyDescent="0.55000000000000004">
      <c r="A124" s="131"/>
      <c r="B124" s="131"/>
      <c r="C124" s="131"/>
      <c r="D124" s="131"/>
      <c r="E124" s="131"/>
      <c r="F124" s="131"/>
      <c r="G124" s="131"/>
      <c r="H124" s="131"/>
      <c r="I124" s="131"/>
      <c r="J124" s="222"/>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row>
    <row r="125" spans="1:43" ht="15.75" customHeight="1" x14ac:dyDescent="0.55000000000000004">
      <c r="A125" s="131"/>
      <c r="B125" s="131"/>
      <c r="C125" s="131"/>
      <c r="D125" s="131"/>
      <c r="E125" s="131"/>
      <c r="F125" s="131"/>
      <c r="G125" s="131"/>
      <c r="H125" s="131"/>
      <c r="I125" s="131"/>
      <c r="J125" s="222"/>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row>
    <row r="126" spans="1:43" ht="15.75" customHeight="1" x14ac:dyDescent="0.55000000000000004">
      <c r="A126" s="131"/>
      <c r="B126" s="131"/>
      <c r="C126" s="131"/>
      <c r="D126" s="131"/>
      <c r="E126" s="131"/>
      <c r="F126" s="131"/>
      <c r="G126" s="131"/>
      <c r="H126" s="131"/>
      <c r="I126" s="131"/>
      <c r="J126" s="222"/>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row>
    <row r="127" spans="1:43" ht="15.75" customHeight="1" x14ac:dyDescent="0.55000000000000004">
      <c r="A127" s="131"/>
      <c r="B127" s="131"/>
      <c r="C127" s="131"/>
      <c r="D127" s="131"/>
      <c r="E127" s="131"/>
      <c r="F127" s="131"/>
      <c r="G127" s="131"/>
      <c r="H127" s="131"/>
      <c r="I127" s="131"/>
      <c r="J127" s="222"/>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row>
    <row r="128" spans="1:43" ht="15.75" customHeight="1" x14ac:dyDescent="0.55000000000000004">
      <c r="A128" s="131"/>
      <c r="B128" s="131"/>
      <c r="C128" s="131"/>
      <c r="D128" s="131"/>
      <c r="E128" s="131"/>
      <c r="F128" s="131"/>
      <c r="G128" s="131"/>
      <c r="H128" s="131"/>
      <c r="I128" s="131"/>
      <c r="J128" s="222"/>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row>
    <row r="129" spans="1:43" ht="15.75" customHeight="1" x14ac:dyDescent="0.55000000000000004">
      <c r="A129" s="131"/>
      <c r="B129" s="131"/>
      <c r="C129" s="131"/>
      <c r="D129" s="131"/>
      <c r="E129" s="131"/>
      <c r="F129" s="131"/>
      <c r="G129" s="131"/>
      <c r="H129" s="131"/>
      <c r="I129" s="131"/>
      <c r="J129" s="222"/>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row>
    <row r="130" spans="1:43" ht="15.75" customHeight="1" x14ac:dyDescent="0.55000000000000004">
      <c r="A130" s="131"/>
      <c r="B130" s="131"/>
      <c r="C130" s="131"/>
      <c r="D130" s="131"/>
      <c r="E130" s="131"/>
      <c r="F130" s="131"/>
      <c r="G130" s="131"/>
      <c r="H130" s="131"/>
      <c r="I130" s="131"/>
      <c r="J130" s="222"/>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row>
    <row r="131" spans="1:43" ht="15.75" customHeight="1" x14ac:dyDescent="0.55000000000000004">
      <c r="A131" s="131"/>
      <c r="B131" s="131"/>
      <c r="C131" s="131"/>
      <c r="D131" s="131"/>
      <c r="E131" s="131"/>
      <c r="F131" s="131"/>
      <c r="G131" s="131"/>
      <c r="H131" s="131"/>
      <c r="I131" s="131"/>
      <c r="J131" s="222"/>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row>
    <row r="132" spans="1:43" ht="15.75" customHeight="1" x14ac:dyDescent="0.55000000000000004">
      <c r="A132" s="131"/>
      <c r="B132" s="131"/>
      <c r="C132" s="131"/>
      <c r="D132" s="131"/>
      <c r="E132" s="131"/>
      <c r="F132" s="131"/>
      <c r="G132" s="131"/>
      <c r="H132" s="131"/>
      <c r="I132" s="131"/>
      <c r="J132" s="222"/>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row>
    <row r="133" spans="1:43" ht="15.75" customHeight="1" x14ac:dyDescent="0.55000000000000004">
      <c r="A133" s="131"/>
      <c r="B133" s="131"/>
      <c r="C133" s="131"/>
      <c r="D133" s="131"/>
      <c r="E133" s="131"/>
      <c r="F133" s="131"/>
      <c r="G133" s="131"/>
      <c r="H133" s="131"/>
      <c r="I133" s="131"/>
      <c r="J133" s="222"/>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row>
    <row r="134" spans="1:43" ht="15.75" customHeight="1" x14ac:dyDescent="0.55000000000000004">
      <c r="A134" s="131"/>
      <c r="B134" s="131"/>
      <c r="C134" s="131"/>
      <c r="D134" s="131"/>
      <c r="E134" s="131"/>
      <c r="F134" s="131"/>
      <c r="G134" s="131"/>
      <c r="H134" s="131"/>
      <c r="I134" s="131"/>
      <c r="J134" s="222"/>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row>
    <row r="135" spans="1:43" ht="15.75" customHeight="1" x14ac:dyDescent="0.55000000000000004">
      <c r="A135" s="131"/>
      <c r="B135" s="131"/>
      <c r="C135" s="131"/>
      <c r="D135" s="131"/>
      <c r="E135" s="131"/>
      <c r="F135" s="131"/>
      <c r="G135" s="131"/>
      <c r="H135" s="131"/>
      <c r="I135" s="131"/>
      <c r="J135" s="222"/>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row>
    <row r="136" spans="1:43" ht="15.75" customHeight="1" x14ac:dyDescent="0.55000000000000004">
      <c r="A136" s="131"/>
      <c r="B136" s="131"/>
      <c r="C136" s="131"/>
      <c r="D136" s="131"/>
      <c r="E136" s="131"/>
      <c r="F136" s="131"/>
      <c r="G136" s="131"/>
      <c r="H136" s="131"/>
      <c r="I136" s="131"/>
      <c r="J136" s="222"/>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row>
    <row r="137" spans="1:43" ht="15.75" customHeight="1" x14ac:dyDescent="0.55000000000000004">
      <c r="A137" s="131"/>
      <c r="B137" s="131"/>
      <c r="C137" s="131"/>
      <c r="D137" s="131"/>
      <c r="E137" s="131"/>
      <c r="F137" s="131"/>
      <c r="G137" s="131"/>
      <c r="H137" s="131"/>
      <c r="I137" s="131"/>
      <c r="J137" s="222"/>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row>
    <row r="138" spans="1:43" ht="15.75" customHeight="1" x14ac:dyDescent="0.55000000000000004">
      <c r="A138" s="131"/>
      <c r="B138" s="131"/>
      <c r="C138" s="131"/>
      <c r="D138" s="131"/>
      <c r="E138" s="131"/>
      <c r="F138" s="131"/>
      <c r="G138" s="131"/>
      <c r="H138" s="131"/>
      <c r="I138" s="131"/>
      <c r="J138" s="222"/>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row>
    <row r="139" spans="1:43" ht="15.75" customHeight="1" x14ac:dyDescent="0.55000000000000004">
      <c r="A139" s="131"/>
      <c r="B139" s="131"/>
      <c r="C139" s="131"/>
      <c r="D139" s="131"/>
      <c r="E139" s="131"/>
      <c r="F139" s="131"/>
      <c r="G139" s="131"/>
      <c r="H139" s="131"/>
      <c r="I139" s="131"/>
      <c r="J139" s="222"/>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row>
    <row r="140" spans="1:43" ht="15.75" customHeight="1" x14ac:dyDescent="0.55000000000000004">
      <c r="A140" s="131"/>
      <c r="B140" s="131"/>
      <c r="C140" s="131"/>
      <c r="D140" s="131"/>
      <c r="E140" s="131"/>
      <c r="F140" s="131"/>
      <c r="G140" s="131"/>
      <c r="H140" s="131"/>
      <c r="I140" s="131"/>
      <c r="J140" s="222"/>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row>
    <row r="141" spans="1:43" ht="15.75" customHeight="1" x14ac:dyDescent="0.55000000000000004">
      <c r="A141" s="131"/>
      <c r="B141" s="131"/>
      <c r="C141" s="131"/>
      <c r="D141" s="131"/>
      <c r="E141" s="131"/>
      <c r="F141" s="131"/>
      <c r="G141" s="131"/>
      <c r="H141" s="131"/>
      <c r="I141" s="131"/>
      <c r="J141" s="222"/>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row>
    <row r="142" spans="1:43" ht="15.75" customHeight="1" x14ac:dyDescent="0.55000000000000004">
      <c r="A142" s="131"/>
      <c r="B142" s="131"/>
      <c r="C142" s="131"/>
      <c r="D142" s="131"/>
      <c r="E142" s="131"/>
      <c r="F142" s="131"/>
      <c r="G142" s="131"/>
      <c r="H142" s="131"/>
      <c r="I142" s="131"/>
      <c r="J142" s="222"/>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row>
    <row r="143" spans="1:43" ht="15.75" customHeight="1" x14ac:dyDescent="0.55000000000000004">
      <c r="A143" s="131"/>
      <c r="B143" s="131"/>
      <c r="C143" s="131"/>
      <c r="D143" s="131"/>
      <c r="E143" s="131"/>
      <c r="F143" s="131"/>
      <c r="G143" s="131"/>
      <c r="H143" s="131"/>
      <c r="I143" s="131"/>
      <c r="J143" s="222"/>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row>
    <row r="144" spans="1:43" ht="15.75" customHeight="1" x14ac:dyDescent="0.55000000000000004">
      <c r="A144" s="131"/>
      <c r="B144" s="131"/>
      <c r="C144" s="131"/>
      <c r="D144" s="131"/>
      <c r="E144" s="131"/>
      <c r="F144" s="131"/>
      <c r="G144" s="131"/>
      <c r="H144" s="131"/>
      <c r="I144" s="131"/>
      <c r="J144" s="222"/>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row>
    <row r="145" spans="1:43" ht="15.75" customHeight="1" x14ac:dyDescent="0.55000000000000004">
      <c r="A145" s="131"/>
      <c r="B145" s="131"/>
      <c r="C145" s="131"/>
      <c r="D145" s="131"/>
      <c r="E145" s="131"/>
      <c r="F145" s="131"/>
      <c r="G145" s="131"/>
      <c r="H145" s="131"/>
      <c r="I145" s="131"/>
      <c r="J145" s="222"/>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row>
    <row r="146" spans="1:43" ht="15.75" customHeight="1" x14ac:dyDescent="0.55000000000000004">
      <c r="A146" s="131"/>
      <c r="B146" s="131"/>
      <c r="C146" s="131"/>
      <c r="D146" s="131"/>
      <c r="E146" s="131"/>
      <c r="F146" s="131"/>
      <c r="G146" s="131"/>
      <c r="H146" s="131"/>
      <c r="I146" s="131"/>
      <c r="J146" s="222"/>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row>
    <row r="147" spans="1:43" ht="15.75" customHeight="1" x14ac:dyDescent="0.55000000000000004">
      <c r="A147" s="131"/>
      <c r="B147" s="131"/>
      <c r="C147" s="131"/>
      <c r="D147" s="131"/>
      <c r="E147" s="131"/>
      <c r="F147" s="131"/>
      <c r="G147" s="131"/>
      <c r="H147" s="131"/>
      <c r="I147" s="131"/>
      <c r="J147" s="222"/>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row>
    <row r="148" spans="1:43" ht="15.75" customHeight="1" x14ac:dyDescent="0.55000000000000004">
      <c r="A148" s="131"/>
      <c r="B148" s="131"/>
      <c r="C148" s="131"/>
      <c r="D148" s="131"/>
      <c r="E148" s="131"/>
      <c r="F148" s="131"/>
      <c r="G148" s="131"/>
      <c r="H148" s="131"/>
      <c r="I148" s="131"/>
      <c r="J148" s="222"/>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row>
    <row r="149" spans="1:43" ht="15.75" customHeight="1" x14ac:dyDescent="0.55000000000000004">
      <c r="A149" s="131"/>
      <c r="B149" s="131"/>
      <c r="C149" s="131"/>
      <c r="D149" s="131"/>
      <c r="E149" s="131"/>
      <c r="F149" s="131"/>
      <c r="G149" s="131"/>
      <c r="H149" s="131"/>
      <c r="I149" s="131"/>
      <c r="J149" s="222"/>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row>
    <row r="150" spans="1:43" ht="15.75" customHeight="1" x14ac:dyDescent="0.55000000000000004">
      <c r="A150" s="131"/>
      <c r="B150" s="131"/>
      <c r="C150" s="131"/>
      <c r="D150" s="131"/>
      <c r="E150" s="131"/>
      <c r="F150" s="131"/>
      <c r="G150" s="131"/>
      <c r="H150" s="131"/>
      <c r="I150" s="131"/>
      <c r="J150" s="222"/>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row>
    <row r="151" spans="1:43" ht="15.75" customHeight="1" x14ac:dyDescent="0.55000000000000004">
      <c r="A151" s="131"/>
      <c r="B151" s="131"/>
      <c r="C151" s="131"/>
      <c r="D151" s="131"/>
      <c r="E151" s="131"/>
      <c r="F151" s="131"/>
      <c r="G151" s="131"/>
      <c r="H151" s="131"/>
      <c r="I151" s="131"/>
      <c r="J151" s="222"/>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row>
    <row r="152" spans="1:43" ht="15.75" customHeight="1" x14ac:dyDescent="0.55000000000000004">
      <c r="A152" s="131"/>
      <c r="B152" s="131"/>
      <c r="C152" s="131"/>
      <c r="D152" s="131"/>
      <c r="E152" s="131"/>
      <c r="F152" s="131"/>
      <c r="G152" s="131"/>
      <c r="H152" s="131"/>
      <c r="I152" s="131"/>
      <c r="J152" s="222"/>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row>
    <row r="153" spans="1:43" ht="15.75" customHeight="1" x14ac:dyDescent="0.55000000000000004">
      <c r="A153" s="131"/>
      <c r="B153" s="131"/>
      <c r="C153" s="131"/>
      <c r="D153" s="131"/>
      <c r="E153" s="131"/>
      <c r="F153" s="131"/>
      <c r="G153" s="131"/>
      <c r="H153" s="131"/>
      <c r="I153" s="131"/>
      <c r="J153" s="222"/>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row>
    <row r="154" spans="1:43" ht="15.75" customHeight="1" x14ac:dyDescent="0.55000000000000004">
      <c r="A154" s="131"/>
      <c r="B154" s="131"/>
      <c r="C154" s="131"/>
      <c r="D154" s="131"/>
      <c r="E154" s="131"/>
      <c r="F154" s="131"/>
      <c r="G154" s="131"/>
      <c r="H154" s="131"/>
      <c r="I154" s="131"/>
      <c r="J154" s="222"/>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row>
    <row r="155" spans="1:43" ht="15.75" customHeight="1" x14ac:dyDescent="0.55000000000000004">
      <c r="A155" s="131"/>
      <c r="B155" s="131"/>
      <c r="C155" s="131"/>
      <c r="D155" s="131"/>
      <c r="E155" s="131"/>
      <c r="F155" s="131"/>
      <c r="G155" s="131"/>
      <c r="H155" s="131"/>
      <c r="I155" s="131"/>
      <c r="J155" s="222"/>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row>
    <row r="156" spans="1:43" ht="15.75" customHeight="1" x14ac:dyDescent="0.55000000000000004">
      <c r="A156" s="131"/>
      <c r="B156" s="131"/>
      <c r="C156" s="131"/>
      <c r="D156" s="131"/>
      <c r="E156" s="131"/>
      <c r="F156" s="131"/>
      <c r="G156" s="131"/>
      <c r="H156" s="131"/>
      <c r="I156" s="131"/>
      <c r="J156" s="222"/>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row>
    <row r="157" spans="1:43" ht="15.75" customHeight="1" x14ac:dyDescent="0.55000000000000004">
      <c r="A157" s="131"/>
      <c r="B157" s="131"/>
      <c r="C157" s="131"/>
      <c r="D157" s="131"/>
      <c r="E157" s="131"/>
      <c r="F157" s="131"/>
      <c r="G157" s="131"/>
      <c r="H157" s="131"/>
      <c r="I157" s="131"/>
      <c r="J157" s="222"/>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row>
    <row r="158" spans="1:43" ht="15.75" customHeight="1" x14ac:dyDescent="0.55000000000000004">
      <c r="A158" s="131"/>
      <c r="B158" s="131"/>
      <c r="C158" s="131"/>
      <c r="D158" s="131"/>
      <c r="E158" s="131"/>
      <c r="F158" s="131"/>
      <c r="G158" s="131"/>
      <c r="H158" s="131"/>
      <c r="I158" s="131"/>
      <c r="J158" s="222"/>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row>
    <row r="159" spans="1:43" ht="15.75" customHeight="1" x14ac:dyDescent="0.55000000000000004">
      <c r="A159" s="131"/>
      <c r="B159" s="131"/>
      <c r="C159" s="131"/>
      <c r="D159" s="131"/>
      <c r="E159" s="131"/>
      <c r="F159" s="131"/>
      <c r="G159" s="131"/>
      <c r="H159" s="131"/>
      <c r="I159" s="131"/>
      <c r="J159" s="222"/>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row>
    <row r="160" spans="1:43" ht="15.75" customHeight="1" x14ac:dyDescent="0.55000000000000004">
      <c r="A160" s="131"/>
      <c r="B160" s="131"/>
      <c r="C160" s="131"/>
      <c r="D160" s="131"/>
      <c r="E160" s="131"/>
      <c r="F160" s="131"/>
      <c r="G160" s="131"/>
      <c r="H160" s="131"/>
      <c r="I160" s="131"/>
      <c r="J160" s="222"/>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row>
    <row r="161" spans="1:43" ht="15.75" customHeight="1" x14ac:dyDescent="0.55000000000000004">
      <c r="A161" s="131"/>
      <c r="B161" s="131"/>
      <c r="C161" s="131"/>
      <c r="D161" s="131"/>
      <c r="E161" s="131"/>
      <c r="F161" s="131"/>
      <c r="G161" s="131"/>
      <c r="H161" s="131"/>
      <c r="I161" s="131"/>
      <c r="J161" s="222"/>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row>
    <row r="162" spans="1:43" ht="15.75" customHeight="1" x14ac:dyDescent="0.55000000000000004">
      <c r="A162" s="131"/>
      <c r="B162" s="131"/>
      <c r="C162" s="131"/>
      <c r="D162" s="131"/>
      <c r="E162" s="131"/>
      <c r="F162" s="131"/>
      <c r="G162" s="131"/>
      <c r="H162" s="131"/>
      <c r="I162" s="131"/>
      <c r="J162" s="222"/>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row>
    <row r="163" spans="1:43" ht="15.75" customHeight="1" x14ac:dyDescent="0.55000000000000004">
      <c r="A163" s="131"/>
      <c r="B163" s="131"/>
      <c r="C163" s="131"/>
      <c r="D163" s="131"/>
      <c r="E163" s="131"/>
      <c r="F163" s="131"/>
      <c r="G163" s="131"/>
      <c r="H163" s="131"/>
      <c r="I163" s="131"/>
      <c r="J163" s="222"/>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row>
    <row r="164" spans="1:43" ht="15.75" customHeight="1" x14ac:dyDescent="0.55000000000000004">
      <c r="A164" s="131"/>
      <c r="B164" s="131"/>
      <c r="C164" s="131"/>
      <c r="D164" s="131"/>
      <c r="E164" s="131"/>
      <c r="F164" s="131"/>
      <c r="G164" s="131"/>
      <c r="H164" s="131"/>
      <c r="I164" s="131"/>
      <c r="J164" s="222"/>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row>
    <row r="165" spans="1:43" ht="15.75" customHeight="1" x14ac:dyDescent="0.55000000000000004">
      <c r="A165" s="131"/>
      <c r="B165" s="131"/>
      <c r="C165" s="131"/>
      <c r="D165" s="131"/>
      <c r="E165" s="131"/>
      <c r="F165" s="131"/>
      <c r="G165" s="131"/>
      <c r="H165" s="131"/>
      <c r="I165" s="131"/>
      <c r="J165" s="222"/>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row>
    <row r="166" spans="1:43" ht="15.75" customHeight="1" x14ac:dyDescent="0.55000000000000004">
      <c r="A166" s="131"/>
      <c r="B166" s="131"/>
      <c r="C166" s="131"/>
      <c r="D166" s="131"/>
      <c r="E166" s="131"/>
      <c r="F166" s="131"/>
      <c r="G166" s="131"/>
      <c r="H166" s="131"/>
      <c r="I166" s="131"/>
      <c r="J166" s="222"/>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row>
    <row r="167" spans="1:43" ht="15.75" customHeight="1" x14ac:dyDescent="0.55000000000000004">
      <c r="A167" s="131"/>
      <c r="B167" s="131"/>
      <c r="C167" s="131"/>
      <c r="D167" s="131"/>
      <c r="E167" s="131"/>
      <c r="F167" s="131"/>
      <c r="G167" s="131"/>
      <c r="H167" s="131"/>
      <c r="I167" s="131"/>
      <c r="J167" s="222"/>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row>
    <row r="168" spans="1:43" ht="15.75" customHeight="1" x14ac:dyDescent="0.55000000000000004">
      <c r="A168" s="131"/>
      <c r="B168" s="131"/>
      <c r="C168" s="131"/>
      <c r="D168" s="131"/>
      <c r="E168" s="131"/>
      <c r="F168" s="131"/>
      <c r="G168" s="131"/>
      <c r="H168" s="131"/>
      <c r="I168" s="131"/>
      <c r="J168" s="222"/>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row>
    <row r="169" spans="1:43" ht="15.75" customHeight="1" x14ac:dyDescent="0.55000000000000004">
      <c r="A169" s="131"/>
      <c r="B169" s="131"/>
      <c r="C169" s="131"/>
      <c r="D169" s="131"/>
      <c r="E169" s="131"/>
      <c r="F169" s="131"/>
      <c r="G169" s="131"/>
      <c r="H169" s="131"/>
      <c r="I169" s="131"/>
      <c r="J169" s="222"/>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row>
    <row r="170" spans="1:43" ht="15.75" customHeight="1" x14ac:dyDescent="0.55000000000000004">
      <c r="A170" s="131"/>
      <c r="B170" s="131"/>
      <c r="C170" s="131"/>
      <c r="D170" s="131"/>
      <c r="E170" s="131"/>
      <c r="F170" s="131"/>
      <c r="G170" s="131"/>
      <c r="H170" s="131"/>
      <c r="I170" s="131"/>
      <c r="J170" s="222"/>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row>
    <row r="171" spans="1:43" ht="15.75" customHeight="1" x14ac:dyDescent="0.55000000000000004">
      <c r="A171" s="131"/>
      <c r="B171" s="131"/>
      <c r="C171" s="131"/>
      <c r="D171" s="131"/>
      <c r="E171" s="131"/>
      <c r="F171" s="131"/>
      <c r="G171" s="131"/>
      <c r="H171" s="131"/>
      <c r="I171" s="131"/>
      <c r="J171" s="222"/>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row>
    <row r="172" spans="1:43" ht="15.75" customHeight="1" x14ac:dyDescent="0.55000000000000004">
      <c r="A172" s="131"/>
      <c r="B172" s="131"/>
      <c r="C172" s="131"/>
      <c r="D172" s="131"/>
      <c r="E172" s="131"/>
      <c r="F172" s="131"/>
      <c r="G172" s="131"/>
      <c r="H172" s="131"/>
      <c r="I172" s="131"/>
      <c r="J172" s="222"/>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row>
    <row r="173" spans="1:43" ht="15.75" customHeight="1" x14ac:dyDescent="0.55000000000000004">
      <c r="A173" s="131"/>
      <c r="B173" s="131"/>
      <c r="C173" s="131"/>
      <c r="D173" s="131"/>
      <c r="E173" s="131"/>
      <c r="F173" s="131"/>
      <c r="G173" s="131"/>
      <c r="H173" s="131"/>
      <c r="I173" s="131"/>
      <c r="J173" s="222"/>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row>
    <row r="174" spans="1:43" ht="15.75" customHeight="1" x14ac:dyDescent="0.55000000000000004">
      <c r="A174" s="131"/>
      <c r="B174" s="131"/>
      <c r="C174" s="131"/>
      <c r="D174" s="131"/>
      <c r="E174" s="131"/>
      <c r="F174" s="131"/>
      <c r="G174" s="131"/>
      <c r="H174" s="131"/>
      <c r="I174" s="131"/>
      <c r="J174" s="222"/>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row>
    <row r="175" spans="1:43" ht="15.75" customHeight="1" x14ac:dyDescent="0.55000000000000004">
      <c r="A175" s="131"/>
      <c r="B175" s="131"/>
      <c r="C175" s="131"/>
      <c r="D175" s="131"/>
      <c r="E175" s="131"/>
      <c r="F175" s="131"/>
      <c r="G175" s="131"/>
      <c r="H175" s="131"/>
      <c r="I175" s="131"/>
      <c r="J175" s="222"/>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row>
    <row r="176" spans="1:43" ht="15.75" customHeight="1" x14ac:dyDescent="0.55000000000000004">
      <c r="A176" s="131"/>
      <c r="B176" s="131"/>
      <c r="C176" s="131"/>
      <c r="D176" s="131"/>
      <c r="E176" s="131"/>
      <c r="F176" s="131"/>
      <c r="G176" s="131"/>
      <c r="H176" s="131"/>
      <c r="I176" s="131"/>
      <c r="J176" s="222"/>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row>
    <row r="177" spans="1:43" ht="15.75" customHeight="1" x14ac:dyDescent="0.55000000000000004">
      <c r="A177" s="131"/>
      <c r="B177" s="131"/>
      <c r="C177" s="131"/>
      <c r="D177" s="131"/>
      <c r="E177" s="131"/>
      <c r="F177" s="131"/>
      <c r="G177" s="131"/>
      <c r="H177" s="131"/>
      <c r="I177" s="131"/>
      <c r="J177" s="222"/>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row>
    <row r="178" spans="1:43" ht="15.75" customHeight="1" x14ac:dyDescent="0.55000000000000004">
      <c r="A178" s="131"/>
      <c r="B178" s="131"/>
      <c r="C178" s="131"/>
      <c r="D178" s="131"/>
      <c r="E178" s="131"/>
      <c r="F178" s="131"/>
      <c r="G178" s="131"/>
      <c r="H178" s="131"/>
      <c r="I178" s="131"/>
      <c r="J178" s="222"/>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row>
    <row r="179" spans="1:43" ht="15.75" customHeight="1" x14ac:dyDescent="0.55000000000000004">
      <c r="A179" s="131"/>
      <c r="B179" s="131"/>
      <c r="C179" s="131"/>
      <c r="D179" s="131"/>
      <c r="E179" s="131"/>
      <c r="F179" s="131"/>
      <c r="G179" s="131"/>
      <c r="H179" s="131"/>
      <c r="I179" s="131"/>
      <c r="J179" s="222"/>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row>
    <row r="180" spans="1:43" ht="15.75" customHeight="1" x14ac:dyDescent="0.55000000000000004">
      <c r="A180" s="131"/>
      <c r="B180" s="131"/>
      <c r="C180" s="131"/>
      <c r="D180" s="131"/>
      <c r="E180" s="131"/>
      <c r="F180" s="131"/>
      <c r="G180" s="131"/>
      <c r="H180" s="131"/>
      <c r="I180" s="131"/>
      <c r="J180" s="222"/>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row>
    <row r="181" spans="1:43" ht="15.75" customHeight="1" x14ac:dyDescent="0.55000000000000004">
      <c r="A181" s="131"/>
      <c r="B181" s="131"/>
      <c r="C181" s="131"/>
      <c r="D181" s="131"/>
      <c r="E181" s="131"/>
      <c r="F181" s="131"/>
      <c r="G181" s="131"/>
      <c r="H181" s="131"/>
      <c r="I181" s="131"/>
      <c r="J181" s="222"/>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row>
    <row r="182" spans="1:43" ht="15.75" customHeight="1" x14ac:dyDescent="0.55000000000000004">
      <c r="A182" s="131"/>
      <c r="B182" s="131"/>
      <c r="C182" s="131"/>
      <c r="D182" s="131"/>
      <c r="E182" s="131"/>
      <c r="F182" s="131"/>
      <c r="G182" s="131"/>
      <c r="H182" s="131"/>
      <c r="I182" s="131"/>
      <c r="J182" s="222"/>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row>
    <row r="183" spans="1:43" ht="15.75" customHeight="1" x14ac:dyDescent="0.55000000000000004">
      <c r="A183" s="131"/>
      <c r="B183" s="131"/>
      <c r="C183" s="131"/>
      <c r="D183" s="131"/>
      <c r="E183" s="131"/>
      <c r="F183" s="131"/>
      <c r="G183" s="131"/>
      <c r="H183" s="131"/>
      <c r="I183" s="131"/>
      <c r="J183" s="222"/>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row>
    <row r="184" spans="1:43" ht="15.75" customHeight="1" x14ac:dyDescent="0.55000000000000004">
      <c r="A184" s="131"/>
      <c r="B184" s="131"/>
      <c r="C184" s="131"/>
      <c r="D184" s="131"/>
      <c r="E184" s="131"/>
      <c r="F184" s="131"/>
      <c r="G184" s="131"/>
      <c r="H184" s="131"/>
      <c r="I184" s="131"/>
      <c r="J184" s="222"/>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row>
    <row r="185" spans="1:43" ht="15.75" customHeight="1" x14ac:dyDescent="0.55000000000000004">
      <c r="A185" s="131"/>
      <c r="B185" s="131"/>
      <c r="C185" s="131"/>
      <c r="D185" s="131"/>
      <c r="E185" s="131"/>
      <c r="F185" s="131"/>
      <c r="G185" s="131"/>
      <c r="H185" s="131"/>
      <c r="I185" s="131"/>
      <c r="J185" s="222"/>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row>
    <row r="186" spans="1:43" ht="15.75" customHeight="1" x14ac:dyDescent="0.55000000000000004">
      <c r="A186" s="131"/>
      <c r="B186" s="131"/>
      <c r="C186" s="131"/>
      <c r="D186" s="131"/>
      <c r="E186" s="131"/>
      <c r="F186" s="131"/>
      <c r="G186" s="131"/>
      <c r="H186" s="131"/>
      <c r="I186" s="131"/>
      <c r="J186" s="222"/>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row>
    <row r="187" spans="1:43" ht="15.75" customHeight="1" x14ac:dyDescent="0.55000000000000004">
      <c r="A187" s="131"/>
      <c r="B187" s="131"/>
      <c r="C187" s="131"/>
      <c r="D187" s="131"/>
      <c r="E187" s="131"/>
      <c r="F187" s="131"/>
      <c r="G187" s="131"/>
      <c r="H187" s="131"/>
      <c r="I187" s="131"/>
      <c r="J187" s="222"/>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row>
    <row r="188" spans="1:43" ht="15.75" customHeight="1" x14ac:dyDescent="0.55000000000000004">
      <c r="A188" s="131"/>
      <c r="B188" s="131"/>
      <c r="C188" s="131"/>
      <c r="D188" s="131"/>
      <c r="E188" s="131"/>
      <c r="F188" s="131"/>
      <c r="G188" s="131"/>
      <c r="H188" s="131"/>
      <c r="I188" s="131"/>
      <c r="J188" s="222"/>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row>
    <row r="189" spans="1:43" ht="15.75" customHeight="1" x14ac:dyDescent="0.55000000000000004">
      <c r="A189" s="131"/>
      <c r="B189" s="131"/>
      <c r="C189" s="131"/>
      <c r="D189" s="131"/>
      <c r="E189" s="131"/>
      <c r="F189" s="131"/>
      <c r="G189" s="131"/>
      <c r="H189" s="131"/>
      <c r="I189" s="131"/>
      <c r="J189" s="222"/>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row>
    <row r="190" spans="1:43" ht="15.75" customHeight="1" x14ac:dyDescent="0.55000000000000004">
      <c r="A190" s="131"/>
      <c r="B190" s="131"/>
      <c r="C190" s="131"/>
      <c r="D190" s="131"/>
      <c r="E190" s="131"/>
      <c r="F190" s="131"/>
      <c r="G190" s="131"/>
      <c r="H190" s="131"/>
      <c r="I190" s="131"/>
      <c r="J190" s="222"/>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row>
    <row r="191" spans="1:43" ht="15.75" customHeight="1" x14ac:dyDescent="0.55000000000000004">
      <c r="A191" s="131"/>
      <c r="B191" s="131"/>
      <c r="C191" s="131"/>
      <c r="D191" s="131"/>
      <c r="E191" s="131"/>
      <c r="F191" s="131"/>
      <c r="G191" s="131"/>
      <c r="H191" s="131"/>
      <c r="I191" s="131"/>
      <c r="J191" s="222"/>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row>
    <row r="192" spans="1:43" ht="15.75" customHeight="1" x14ac:dyDescent="0.55000000000000004">
      <c r="A192" s="131"/>
      <c r="B192" s="131"/>
      <c r="C192" s="131"/>
      <c r="D192" s="131"/>
      <c r="E192" s="131"/>
      <c r="F192" s="131"/>
      <c r="G192" s="131"/>
      <c r="H192" s="131"/>
      <c r="I192" s="131"/>
      <c r="J192" s="222"/>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row>
    <row r="193" spans="1:43" ht="15.75" customHeight="1" x14ac:dyDescent="0.55000000000000004">
      <c r="A193" s="131"/>
      <c r="B193" s="131"/>
      <c r="C193" s="131"/>
      <c r="D193" s="131"/>
      <c r="E193" s="131"/>
      <c r="F193" s="131"/>
      <c r="G193" s="131"/>
      <c r="H193" s="131"/>
      <c r="I193" s="131"/>
      <c r="J193" s="222"/>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row>
    <row r="194" spans="1:43" ht="15.75" customHeight="1" x14ac:dyDescent="0.55000000000000004">
      <c r="A194" s="131"/>
      <c r="B194" s="131"/>
      <c r="C194" s="131"/>
      <c r="D194" s="131"/>
      <c r="E194" s="131"/>
      <c r="F194" s="131"/>
      <c r="G194" s="131"/>
      <c r="H194" s="131"/>
      <c r="I194" s="131"/>
      <c r="J194" s="222"/>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row>
    <row r="195" spans="1:43" ht="15.75" customHeight="1" x14ac:dyDescent="0.55000000000000004">
      <c r="A195" s="131"/>
      <c r="B195" s="131"/>
      <c r="C195" s="131"/>
      <c r="D195" s="131"/>
      <c r="E195" s="131"/>
      <c r="F195" s="131"/>
      <c r="G195" s="131"/>
      <c r="H195" s="131"/>
      <c r="I195" s="131"/>
      <c r="J195" s="222"/>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row>
    <row r="196" spans="1:43" ht="15.75" customHeight="1" x14ac:dyDescent="0.55000000000000004">
      <c r="A196" s="131"/>
      <c r="B196" s="131"/>
      <c r="C196" s="131"/>
      <c r="D196" s="131"/>
      <c r="E196" s="131"/>
      <c r="F196" s="131"/>
      <c r="G196" s="131"/>
      <c r="H196" s="131"/>
      <c r="I196" s="131"/>
      <c r="J196" s="222"/>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row>
    <row r="197" spans="1:43" ht="15.75" customHeight="1" x14ac:dyDescent="0.55000000000000004">
      <c r="A197" s="131"/>
      <c r="B197" s="131"/>
      <c r="C197" s="131"/>
      <c r="D197" s="131"/>
      <c r="E197" s="131"/>
      <c r="F197" s="131"/>
      <c r="G197" s="131"/>
      <c r="H197" s="131"/>
      <c r="I197" s="131"/>
      <c r="J197" s="222"/>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row>
    <row r="198" spans="1:43" ht="15.75" customHeight="1" x14ac:dyDescent="0.55000000000000004">
      <c r="A198" s="131"/>
      <c r="B198" s="131"/>
      <c r="C198" s="131"/>
      <c r="D198" s="131"/>
      <c r="E198" s="131"/>
      <c r="F198" s="131"/>
      <c r="G198" s="131"/>
      <c r="H198" s="131"/>
      <c r="I198" s="131"/>
      <c r="J198" s="222"/>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row>
    <row r="199" spans="1:43" ht="15.75" customHeight="1" x14ac:dyDescent="0.55000000000000004">
      <c r="A199" s="131"/>
      <c r="B199" s="131"/>
      <c r="C199" s="131"/>
      <c r="D199" s="131"/>
      <c r="E199" s="131"/>
      <c r="F199" s="131"/>
      <c r="G199" s="131"/>
      <c r="H199" s="131"/>
      <c r="I199" s="131"/>
      <c r="J199" s="222"/>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row>
    <row r="200" spans="1:43" ht="15.75" customHeight="1" x14ac:dyDescent="0.55000000000000004">
      <c r="A200" s="131"/>
      <c r="B200" s="131"/>
      <c r="C200" s="131"/>
      <c r="D200" s="131"/>
      <c r="E200" s="131"/>
      <c r="F200" s="131"/>
      <c r="G200" s="131"/>
      <c r="H200" s="131"/>
      <c r="I200" s="131"/>
      <c r="J200" s="222"/>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row>
    <row r="201" spans="1:43" ht="15.75" customHeight="1" x14ac:dyDescent="0.55000000000000004">
      <c r="A201" s="131"/>
      <c r="B201" s="131"/>
      <c r="C201" s="131"/>
      <c r="D201" s="131"/>
      <c r="E201" s="131"/>
      <c r="F201" s="131"/>
      <c r="G201" s="131"/>
      <c r="H201" s="131"/>
      <c r="I201" s="131"/>
      <c r="J201" s="222"/>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row>
    <row r="202" spans="1:43" ht="15.75" customHeight="1" x14ac:dyDescent="0.55000000000000004">
      <c r="A202" s="131"/>
      <c r="B202" s="131"/>
      <c r="C202" s="131"/>
      <c r="D202" s="131"/>
      <c r="E202" s="131"/>
      <c r="F202" s="131"/>
      <c r="G202" s="131"/>
      <c r="H202" s="131"/>
      <c r="I202" s="131"/>
      <c r="J202" s="222"/>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row>
    <row r="203" spans="1:43" ht="15.75" customHeight="1" x14ac:dyDescent="0.55000000000000004">
      <c r="A203" s="131"/>
      <c r="B203" s="131"/>
      <c r="C203" s="131"/>
      <c r="D203" s="131"/>
      <c r="E203" s="131"/>
      <c r="F203" s="131"/>
      <c r="G203" s="131"/>
      <c r="H203" s="131"/>
      <c r="I203" s="131"/>
      <c r="J203" s="222"/>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row>
    <row r="204" spans="1:43" ht="15.75" customHeight="1" x14ac:dyDescent="0.55000000000000004">
      <c r="A204" s="131"/>
      <c r="B204" s="131"/>
      <c r="C204" s="131"/>
      <c r="D204" s="131"/>
      <c r="E204" s="131"/>
      <c r="F204" s="131"/>
      <c r="G204" s="131"/>
      <c r="H204" s="131"/>
      <c r="I204" s="131"/>
      <c r="J204" s="222"/>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row>
    <row r="205" spans="1:43" ht="15.75" customHeight="1" x14ac:dyDescent="0.55000000000000004">
      <c r="A205" s="131"/>
      <c r="B205" s="131"/>
      <c r="C205" s="131"/>
      <c r="D205" s="131"/>
      <c r="E205" s="131"/>
      <c r="F205" s="131"/>
      <c r="G205" s="131"/>
      <c r="H205" s="131"/>
      <c r="I205" s="131"/>
      <c r="J205" s="222"/>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row>
    <row r="206" spans="1:43" ht="15.75" customHeight="1" x14ac:dyDescent="0.55000000000000004">
      <c r="A206" s="131"/>
      <c r="B206" s="131"/>
      <c r="C206" s="131"/>
      <c r="D206" s="131"/>
      <c r="E206" s="131"/>
      <c r="F206" s="131"/>
      <c r="G206" s="131"/>
      <c r="H206" s="131"/>
      <c r="I206" s="131"/>
      <c r="J206" s="222"/>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row>
    <row r="207" spans="1:43" ht="15.75" customHeight="1" x14ac:dyDescent="0.55000000000000004">
      <c r="A207" s="131"/>
      <c r="B207" s="131"/>
      <c r="C207" s="131"/>
      <c r="D207" s="131"/>
      <c r="E207" s="131"/>
      <c r="F207" s="131"/>
      <c r="G207" s="131"/>
      <c r="H207" s="131"/>
      <c r="I207" s="131"/>
      <c r="J207" s="222"/>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row>
    <row r="208" spans="1:43" ht="15.75" customHeight="1" x14ac:dyDescent="0.55000000000000004">
      <c r="A208" s="131"/>
      <c r="B208" s="131"/>
      <c r="C208" s="131"/>
      <c r="D208" s="131"/>
      <c r="E208" s="131"/>
      <c r="F208" s="131"/>
      <c r="G208" s="131"/>
      <c r="H208" s="131"/>
      <c r="I208" s="131"/>
      <c r="J208" s="222"/>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row>
    <row r="209" spans="1:43" ht="15.75" customHeight="1" x14ac:dyDescent="0.55000000000000004">
      <c r="A209" s="131"/>
      <c r="B209" s="131"/>
      <c r="C209" s="131"/>
      <c r="D209" s="131"/>
      <c r="E209" s="131"/>
      <c r="F209" s="131"/>
      <c r="G209" s="131"/>
      <c r="H209" s="131"/>
      <c r="I209" s="131"/>
      <c r="J209" s="222"/>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row>
    <row r="210" spans="1:43" ht="15.75" customHeight="1" x14ac:dyDescent="0.55000000000000004">
      <c r="A210" s="131"/>
      <c r="B210" s="131"/>
      <c r="C210" s="131"/>
      <c r="D210" s="131"/>
      <c r="E210" s="131"/>
      <c r="F210" s="131"/>
      <c r="G210" s="131"/>
      <c r="H210" s="131"/>
      <c r="I210" s="131"/>
      <c r="J210" s="222"/>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row>
    <row r="211" spans="1:43" ht="15.75" customHeight="1" x14ac:dyDescent="0.55000000000000004">
      <c r="A211" s="131"/>
      <c r="B211" s="131"/>
      <c r="C211" s="131"/>
      <c r="D211" s="131"/>
      <c r="E211" s="131"/>
      <c r="F211" s="131"/>
      <c r="G211" s="131"/>
      <c r="H211" s="131"/>
      <c r="I211" s="131"/>
      <c r="J211" s="222"/>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row>
    <row r="212" spans="1:43" ht="15.75" customHeight="1" x14ac:dyDescent="0.55000000000000004">
      <c r="A212" s="131"/>
      <c r="B212" s="131"/>
      <c r="C212" s="131"/>
      <c r="D212" s="131"/>
      <c r="E212" s="131"/>
      <c r="F212" s="131"/>
      <c r="G212" s="131"/>
      <c r="H212" s="131"/>
      <c r="I212" s="131"/>
      <c r="J212" s="222"/>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row>
    <row r="213" spans="1:43" ht="15.75" customHeight="1" x14ac:dyDescent="0.55000000000000004">
      <c r="A213" s="131"/>
      <c r="B213" s="131"/>
      <c r="C213" s="131"/>
      <c r="D213" s="131"/>
      <c r="E213" s="131"/>
      <c r="F213" s="131"/>
      <c r="G213" s="131"/>
      <c r="H213" s="131"/>
      <c r="I213" s="131"/>
      <c r="J213" s="222"/>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row>
    <row r="214" spans="1:43" ht="15.75" customHeight="1" x14ac:dyDescent="0.55000000000000004">
      <c r="A214" s="131"/>
      <c r="B214" s="131"/>
      <c r="C214" s="131"/>
      <c r="D214" s="131"/>
      <c r="E214" s="131"/>
      <c r="F214" s="131"/>
      <c r="G214" s="131"/>
      <c r="H214" s="131"/>
      <c r="I214" s="131"/>
      <c r="J214" s="222"/>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row>
    <row r="215" spans="1:43" ht="15.75" customHeight="1" x14ac:dyDescent="0.55000000000000004">
      <c r="A215" s="131"/>
      <c r="B215" s="131"/>
      <c r="C215" s="131"/>
      <c r="D215" s="131"/>
      <c r="E215" s="131"/>
      <c r="F215" s="131"/>
      <c r="G215" s="131"/>
      <c r="H215" s="131"/>
      <c r="I215" s="131"/>
      <c r="J215" s="222"/>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row>
    <row r="216" spans="1:43" ht="15.75" customHeight="1" x14ac:dyDescent="0.55000000000000004">
      <c r="A216" s="131"/>
      <c r="B216" s="131"/>
      <c r="C216" s="131"/>
      <c r="D216" s="131"/>
      <c r="E216" s="131"/>
      <c r="F216" s="131"/>
      <c r="G216" s="131"/>
      <c r="H216" s="131"/>
      <c r="I216" s="131"/>
      <c r="J216" s="222"/>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row>
    <row r="217" spans="1:43" ht="15.75" customHeight="1" x14ac:dyDescent="0.55000000000000004">
      <c r="A217" s="131"/>
      <c r="B217" s="131"/>
      <c r="C217" s="131"/>
      <c r="D217" s="131"/>
      <c r="E217" s="131"/>
      <c r="F217" s="131"/>
      <c r="G217" s="131"/>
      <c r="H217" s="131"/>
      <c r="I217" s="131"/>
      <c r="J217" s="222"/>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row>
    <row r="218" spans="1:43" ht="15.75" customHeight="1" x14ac:dyDescent="0.55000000000000004">
      <c r="A218" s="131"/>
      <c r="B218" s="131"/>
      <c r="C218" s="131"/>
      <c r="D218" s="131"/>
      <c r="E218" s="131"/>
      <c r="F218" s="131"/>
      <c r="G218" s="131"/>
      <c r="H218" s="131"/>
      <c r="I218" s="131"/>
      <c r="J218" s="222"/>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row>
    <row r="219" spans="1:43" ht="15.75" customHeight="1" x14ac:dyDescent="0.55000000000000004">
      <c r="A219" s="131"/>
      <c r="B219" s="131"/>
      <c r="C219" s="131"/>
      <c r="D219" s="131"/>
      <c r="E219" s="131"/>
      <c r="F219" s="131"/>
      <c r="G219" s="131"/>
      <c r="H219" s="131"/>
      <c r="I219" s="131"/>
      <c r="J219" s="222"/>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row>
    <row r="220" spans="1:43" ht="15.75" customHeight="1" x14ac:dyDescent="0.55000000000000004">
      <c r="A220" s="131"/>
      <c r="B220" s="131"/>
      <c r="C220" s="131"/>
      <c r="D220" s="131"/>
      <c r="E220" s="131"/>
      <c r="F220" s="131"/>
      <c r="G220" s="131"/>
      <c r="H220" s="131"/>
      <c r="I220" s="131"/>
      <c r="J220" s="222"/>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row>
    <row r="221" spans="1:43" ht="15.75" customHeight="1" x14ac:dyDescent="0.55000000000000004">
      <c r="A221" s="131"/>
      <c r="B221" s="131"/>
      <c r="C221" s="131"/>
      <c r="D221" s="131"/>
      <c r="E221" s="131"/>
      <c r="F221" s="131"/>
      <c r="G221" s="131"/>
      <c r="H221" s="131"/>
      <c r="I221" s="131"/>
      <c r="J221" s="222"/>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row>
    <row r="222" spans="1:43" ht="15.75" customHeight="1" x14ac:dyDescent="0.55000000000000004">
      <c r="A222" s="131"/>
      <c r="B222" s="131"/>
      <c r="C222" s="131"/>
      <c r="D222" s="131"/>
      <c r="E222" s="131"/>
      <c r="F222" s="131"/>
      <c r="G222" s="131"/>
      <c r="H222" s="131"/>
      <c r="I222" s="131"/>
      <c r="J222" s="222"/>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row>
    <row r="223" spans="1:43" ht="15.75" customHeight="1" x14ac:dyDescent="0.55000000000000004">
      <c r="A223" s="131"/>
      <c r="B223" s="131"/>
      <c r="C223" s="131"/>
      <c r="D223" s="131"/>
      <c r="E223" s="131"/>
      <c r="F223" s="131"/>
      <c r="G223" s="131"/>
      <c r="H223" s="131"/>
      <c r="I223" s="131"/>
      <c r="J223" s="222"/>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row>
    <row r="224" spans="1:43" ht="15.75" customHeight="1" x14ac:dyDescent="0.55000000000000004">
      <c r="A224" s="131"/>
      <c r="B224" s="131"/>
      <c r="C224" s="131"/>
      <c r="D224" s="131"/>
      <c r="E224" s="131"/>
      <c r="F224" s="131"/>
      <c r="G224" s="131"/>
      <c r="H224" s="131"/>
      <c r="I224" s="131"/>
      <c r="J224" s="222"/>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row>
    <row r="225" spans="1:43" ht="15.75" customHeight="1" x14ac:dyDescent="0.55000000000000004">
      <c r="A225" s="131"/>
      <c r="B225" s="131"/>
      <c r="C225" s="131"/>
      <c r="D225" s="131"/>
      <c r="E225" s="131"/>
      <c r="F225" s="131"/>
      <c r="G225" s="131"/>
      <c r="H225" s="131"/>
      <c r="I225" s="131"/>
      <c r="J225" s="222"/>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row>
    <row r="226" spans="1:43" ht="15.75" customHeight="1" x14ac:dyDescent="0.55000000000000004">
      <c r="A226" s="131"/>
      <c r="B226" s="131"/>
      <c r="C226" s="131"/>
      <c r="D226" s="131"/>
      <c r="E226" s="131"/>
      <c r="F226" s="131"/>
      <c r="G226" s="131"/>
      <c r="H226" s="131"/>
      <c r="I226" s="131"/>
      <c r="J226" s="222"/>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row>
    <row r="227" spans="1:43" ht="15.75" customHeight="1" x14ac:dyDescent="0.55000000000000004">
      <c r="A227" s="131"/>
      <c r="B227" s="131"/>
      <c r="C227" s="131"/>
      <c r="D227" s="131"/>
      <c r="E227" s="131"/>
      <c r="F227" s="131"/>
      <c r="G227" s="131"/>
      <c r="H227" s="131"/>
      <c r="I227" s="131"/>
      <c r="J227" s="222"/>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row>
    <row r="228" spans="1:43" ht="15.75" customHeight="1" x14ac:dyDescent="0.55000000000000004">
      <c r="A228" s="131"/>
      <c r="B228" s="131"/>
      <c r="C228" s="131"/>
      <c r="D228" s="131"/>
      <c r="E228" s="131"/>
      <c r="F228" s="131"/>
      <c r="G228" s="131"/>
      <c r="H228" s="131"/>
      <c r="I228" s="131"/>
      <c r="J228" s="222"/>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row>
    <row r="229" spans="1:43" ht="15.75" customHeight="1" x14ac:dyDescent="0.55000000000000004">
      <c r="A229" s="131"/>
      <c r="B229" s="131"/>
      <c r="C229" s="131"/>
      <c r="D229" s="131"/>
      <c r="E229" s="131"/>
      <c r="F229" s="131"/>
      <c r="G229" s="131"/>
      <c r="H229" s="131"/>
      <c r="I229" s="131"/>
      <c r="J229" s="222"/>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row>
    <row r="230" spans="1:43" ht="15.75" customHeight="1" x14ac:dyDescent="0.55000000000000004">
      <c r="A230" s="131"/>
      <c r="B230" s="131"/>
      <c r="C230" s="131"/>
      <c r="D230" s="131"/>
      <c r="E230" s="131"/>
      <c r="F230" s="131"/>
      <c r="G230" s="131"/>
      <c r="H230" s="131"/>
      <c r="I230" s="131"/>
      <c r="J230" s="222"/>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row>
    <row r="231" spans="1:43" ht="15.75" customHeight="1" x14ac:dyDescent="0.55000000000000004">
      <c r="A231" s="131"/>
      <c r="B231" s="131"/>
      <c r="C231" s="131"/>
      <c r="D231" s="131"/>
      <c r="E231" s="131"/>
      <c r="F231" s="131"/>
      <c r="G231" s="131"/>
      <c r="H231" s="131"/>
      <c r="I231" s="131"/>
      <c r="J231" s="222"/>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row>
    <row r="232" spans="1:43" ht="15.75" customHeight="1" x14ac:dyDescent="0.55000000000000004">
      <c r="A232" s="131"/>
      <c r="B232" s="131"/>
      <c r="C232" s="131"/>
      <c r="D232" s="131"/>
      <c r="E232" s="131"/>
      <c r="F232" s="131"/>
      <c r="G232" s="131"/>
      <c r="H232" s="131"/>
      <c r="I232" s="131"/>
      <c r="J232" s="222"/>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row>
    <row r="233" spans="1:43" ht="15.75" customHeight="1" x14ac:dyDescent="0.55000000000000004">
      <c r="A233" s="131"/>
      <c r="B233" s="131"/>
      <c r="C233" s="131"/>
      <c r="D233" s="131"/>
      <c r="E233" s="131"/>
      <c r="F233" s="131"/>
      <c r="G233" s="131"/>
      <c r="H233" s="131"/>
      <c r="I233" s="131"/>
      <c r="J233" s="222"/>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row>
    <row r="234" spans="1:43" ht="15.75" customHeight="1" x14ac:dyDescent="0.55000000000000004">
      <c r="A234" s="131"/>
      <c r="B234" s="131"/>
      <c r="C234" s="131"/>
      <c r="D234" s="131"/>
      <c r="E234" s="131"/>
      <c r="F234" s="131"/>
      <c r="G234" s="131"/>
      <c r="H234" s="131"/>
      <c r="I234" s="131"/>
      <c r="J234" s="222"/>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row>
    <row r="235" spans="1:43" ht="15.75" customHeight="1" x14ac:dyDescent="0.55000000000000004">
      <c r="A235" s="131"/>
      <c r="B235" s="131"/>
      <c r="C235" s="131"/>
      <c r="D235" s="131"/>
      <c r="E235" s="131"/>
      <c r="F235" s="131"/>
      <c r="G235" s="131"/>
      <c r="H235" s="131"/>
      <c r="I235" s="131"/>
      <c r="J235" s="222"/>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row>
    <row r="236" spans="1:43" ht="15.75" customHeight="1" x14ac:dyDescent="0.55000000000000004">
      <c r="A236" s="131"/>
      <c r="B236" s="131"/>
      <c r="C236" s="131"/>
      <c r="D236" s="131"/>
      <c r="E236" s="131"/>
      <c r="F236" s="131"/>
      <c r="G236" s="131"/>
      <c r="H236" s="131"/>
      <c r="I236" s="131"/>
      <c r="J236" s="222"/>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row>
    <row r="237" spans="1:43" ht="15.75" customHeight="1" x14ac:dyDescent="0.55000000000000004">
      <c r="A237" s="131"/>
      <c r="B237" s="131"/>
      <c r="C237" s="131"/>
      <c r="D237" s="131"/>
      <c r="E237" s="131"/>
      <c r="F237" s="131"/>
      <c r="G237" s="131"/>
      <c r="H237" s="131"/>
      <c r="I237" s="131"/>
      <c r="J237" s="222"/>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row>
    <row r="238" spans="1:43" ht="15.75" customHeight="1" x14ac:dyDescent="0.55000000000000004">
      <c r="A238" s="131"/>
      <c r="B238" s="131"/>
      <c r="C238" s="131"/>
      <c r="D238" s="131"/>
      <c r="E238" s="131"/>
      <c r="F238" s="131"/>
      <c r="G238" s="131"/>
      <c r="H238" s="131"/>
      <c r="I238" s="131"/>
      <c r="J238" s="222"/>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row>
    <row r="239" spans="1:43" ht="15.75" customHeight="1" x14ac:dyDescent="0.55000000000000004">
      <c r="A239" s="131"/>
      <c r="B239" s="131"/>
      <c r="C239" s="131"/>
      <c r="D239" s="131"/>
      <c r="E239" s="131"/>
      <c r="F239" s="131"/>
      <c r="G239" s="131"/>
      <c r="H239" s="131"/>
      <c r="I239" s="131"/>
      <c r="J239" s="222"/>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row>
    <row r="240" spans="1:43" ht="15.75" customHeight="1" x14ac:dyDescent="0.55000000000000004">
      <c r="A240" s="131"/>
      <c r="B240" s="131"/>
      <c r="C240" s="131"/>
      <c r="D240" s="131"/>
      <c r="E240" s="131"/>
      <c r="F240" s="131"/>
      <c r="G240" s="131"/>
      <c r="H240" s="131"/>
      <c r="I240" s="131"/>
      <c r="J240" s="222"/>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row>
    <row r="241" spans="1:43" ht="15.75" customHeight="1" x14ac:dyDescent="0.55000000000000004">
      <c r="A241" s="131"/>
      <c r="B241" s="131"/>
      <c r="C241" s="131"/>
      <c r="D241" s="131"/>
      <c r="E241" s="131"/>
      <c r="F241" s="131"/>
      <c r="G241" s="131"/>
      <c r="H241" s="131"/>
      <c r="I241" s="131"/>
      <c r="J241" s="222"/>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row>
    <row r="242" spans="1:43" ht="15.75" customHeight="1" x14ac:dyDescent="0.55000000000000004">
      <c r="A242" s="131"/>
      <c r="B242" s="131"/>
      <c r="C242" s="131"/>
      <c r="D242" s="131"/>
      <c r="E242" s="131"/>
      <c r="F242" s="131"/>
      <c r="G242" s="131"/>
      <c r="H242" s="131"/>
      <c r="I242" s="131"/>
      <c r="J242" s="222"/>
      <c r="K242" s="131"/>
      <c r="L242" s="131"/>
      <c r="M242" s="131"/>
      <c r="N242" s="131"/>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row>
    <row r="243" spans="1:43" ht="15.75" customHeight="1" x14ac:dyDescent="0.55000000000000004">
      <c r="A243" s="131"/>
      <c r="B243" s="131"/>
      <c r="C243" s="131"/>
      <c r="D243" s="131"/>
      <c r="E243" s="131"/>
      <c r="F243" s="131"/>
      <c r="G243" s="131"/>
      <c r="H243" s="131"/>
      <c r="I243" s="131"/>
      <c r="J243" s="222"/>
      <c r="K243" s="131"/>
      <c r="L243" s="131"/>
      <c r="M243" s="131"/>
      <c r="N243" s="131"/>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row>
    <row r="244" spans="1:43" ht="15.75" customHeight="1" x14ac:dyDescent="0.55000000000000004">
      <c r="A244" s="131"/>
      <c r="B244" s="131"/>
      <c r="C244" s="131"/>
      <c r="D244" s="131"/>
      <c r="E244" s="131"/>
      <c r="F244" s="131"/>
      <c r="G244" s="131"/>
      <c r="H244" s="131"/>
      <c r="I244" s="131"/>
      <c r="J244" s="222"/>
      <c r="K244" s="131"/>
      <c r="L244" s="131"/>
      <c r="M244" s="131"/>
      <c r="N244" s="131"/>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row>
    <row r="245" spans="1:43" ht="15.75" customHeight="1" x14ac:dyDescent="0.55000000000000004">
      <c r="A245" s="131"/>
      <c r="B245" s="131"/>
      <c r="C245" s="131"/>
      <c r="D245" s="131"/>
      <c r="E245" s="131"/>
      <c r="F245" s="131"/>
      <c r="G245" s="131"/>
      <c r="H245" s="131"/>
      <c r="I245" s="131"/>
      <c r="J245" s="222"/>
      <c r="K245" s="131"/>
      <c r="L245" s="131"/>
      <c r="M245" s="131"/>
      <c r="N245" s="131"/>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row>
    <row r="246" spans="1:43" ht="15.75" customHeight="1" x14ac:dyDescent="0.55000000000000004">
      <c r="A246" s="131"/>
      <c r="B246" s="131"/>
      <c r="C246" s="131"/>
      <c r="D246" s="131"/>
      <c r="E246" s="131"/>
      <c r="F246" s="131"/>
      <c r="G246" s="131"/>
      <c r="H246" s="131"/>
      <c r="I246" s="131"/>
      <c r="J246" s="222"/>
      <c r="K246" s="131"/>
      <c r="L246" s="131"/>
      <c r="M246" s="131"/>
      <c r="N246" s="131"/>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row>
    <row r="247" spans="1:43" ht="15.75" customHeight="1" x14ac:dyDescent="0.55000000000000004">
      <c r="A247" s="131"/>
      <c r="B247" s="131"/>
      <c r="C247" s="131"/>
      <c r="D247" s="131"/>
      <c r="E247" s="131"/>
      <c r="F247" s="131"/>
      <c r="G247" s="131"/>
      <c r="H247" s="131"/>
      <c r="I247" s="131"/>
      <c r="J247" s="222"/>
      <c r="K247" s="131"/>
      <c r="L247" s="131"/>
      <c r="M247" s="131"/>
      <c r="N247" s="131"/>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row>
    <row r="248" spans="1:43" ht="15.75" customHeight="1" x14ac:dyDescent="0.55000000000000004">
      <c r="A248" s="131"/>
      <c r="B248" s="131"/>
      <c r="C248" s="131"/>
      <c r="D248" s="131"/>
      <c r="E248" s="131"/>
      <c r="F248" s="131"/>
      <c r="G248" s="131"/>
      <c r="H248" s="131"/>
      <c r="I248" s="131"/>
      <c r="J248" s="222"/>
      <c r="K248" s="131"/>
      <c r="L248" s="131"/>
      <c r="M248" s="131"/>
      <c r="N248" s="131"/>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row>
    <row r="249" spans="1:43" ht="15.75" customHeight="1" x14ac:dyDescent="0.55000000000000004">
      <c r="A249" s="131"/>
      <c r="B249" s="131"/>
      <c r="C249" s="131"/>
      <c r="D249" s="131"/>
      <c r="E249" s="131"/>
      <c r="F249" s="131"/>
      <c r="G249" s="131"/>
      <c r="H249" s="131"/>
      <c r="I249" s="131"/>
      <c r="J249" s="222"/>
      <c r="K249" s="131"/>
      <c r="L249" s="131"/>
      <c r="M249" s="131"/>
      <c r="N249" s="131"/>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row>
    <row r="250" spans="1:43" ht="15.75" customHeight="1" x14ac:dyDescent="0.55000000000000004">
      <c r="A250" s="131"/>
      <c r="B250" s="131"/>
      <c r="C250" s="131"/>
      <c r="D250" s="131"/>
      <c r="E250" s="131"/>
      <c r="F250" s="131"/>
      <c r="G250" s="131"/>
      <c r="H250" s="131"/>
      <c r="I250" s="131"/>
      <c r="J250" s="222"/>
      <c r="K250" s="131"/>
      <c r="L250" s="131"/>
      <c r="M250" s="131"/>
      <c r="N250" s="131"/>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row>
    <row r="251" spans="1:43" ht="15.75" customHeight="1" x14ac:dyDescent="0.55000000000000004">
      <c r="A251" s="131"/>
      <c r="B251" s="131"/>
      <c r="C251" s="131"/>
      <c r="D251" s="131"/>
      <c r="E251" s="131"/>
      <c r="F251" s="131"/>
      <c r="G251" s="131"/>
      <c r="H251" s="131"/>
      <c r="I251" s="131"/>
      <c r="J251" s="222"/>
      <c r="K251" s="131"/>
      <c r="L251" s="131"/>
      <c r="M251" s="131"/>
      <c r="N251" s="131"/>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row>
    <row r="252" spans="1:43" ht="15.75" customHeight="1" x14ac:dyDescent="0.55000000000000004">
      <c r="A252" s="131"/>
      <c r="B252" s="131"/>
      <c r="C252" s="131"/>
      <c r="D252" s="131"/>
      <c r="E252" s="131"/>
      <c r="F252" s="131"/>
      <c r="G252" s="131"/>
      <c r="H252" s="131"/>
      <c r="I252" s="131"/>
      <c r="J252" s="222"/>
      <c r="K252" s="131"/>
      <c r="L252" s="131"/>
      <c r="M252" s="131"/>
      <c r="N252" s="131"/>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row>
    <row r="253" spans="1:43" ht="15.75" customHeight="1" x14ac:dyDescent="0.55000000000000004">
      <c r="A253" s="131"/>
      <c r="B253" s="131"/>
      <c r="C253" s="131"/>
      <c r="D253" s="131"/>
      <c r="E253" s="131"/>
      <c r="F253" s="131"/>
      <c r="G253" s="131"/>
      <c r="H253" s="131"/>
      <c r="I253" s="131"/>
      <c r="J253" s="222"/>
      <c r="K253" s="131"/>
      <c r="L253" s="131"/>
      <c r="M253" s="131"/>
      <c r="N253" s="131"/>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row>
    <row r="254" spans="1:43" ht="15.75" customHeight="1" x14ac:dyDescent="0.55000000000000004">
      <c r="A254" s="131"/>
      <c r="B254" s="131"/>
      <c r="C254" s="131"/>
      <c r="D254" s="131"/>
      <c r="E254" s="131"/>
      <c r="F254" s="131"/>
      <c r="G254" s="131"/>
      <c r="H254" s="131"/>
      <c r="I254" s="131"/>
      <c r="J254" s="222"/>
      <c r="K254" s="131"/>
      <c r="L254" s="131"/>
      <c r="M254" s="131"/>
      <c r="N254" s="131"/>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row>
    <row r="255" spans="1:43" ht="15.75" customHeight="1" x14ac:dyDescent="0.55000000000000004">
      <c r="A255" s="131"/>
      <c r="B255" s="131"/>
      <c r="C255" s="131"/>
      <c r="D255" s="131"/>
      <c r="E255" s="131"/>
      <c r="F255" s="131"/>
      <c r="G255" s="131"/>
      <c r="H255" s="131"/>
      <c r="I255" s="131"/>
      <c r="J255" s="222"/>
      <c r="K255" s="131"/>
      <c r="L255" s="131"/>
      <c r="M255" s="131"/>
      <c r="N255" s="131"/>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row>
    <row r="256" spans="1:43" ht="15.75" customHeight="1" x14ac:dyDescent="0.55000000000000004">
      <c r="A256" s="131"/>
      <c r="B256" s="131"/>
      <c r="C256" s="131"/>
      <c r="D256" s="131"/>
      <c r="E256" s="131"/>
      <c r="F256" s="131"/>
      <c r="G256" s="131"/>
      <c r="H256" s="131"/>
      <c r="I256" s="131"/>
      <c r="J256" s="222"/>
      <c r="K256" s="131"/>
      <c r="L256" s="131"/>
      <c r="M256" s="131"/>
      <c r="N256" s="131"/>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row>
    <row r="257" spans="1:43" ht="15.75" customHeight="1" x14ac:dyDescent="0.55000000000000004">
      <c r="A257" s="131"/>
      <c r="B257" s="131"/>
      <c r="C257" s="131"/>
      <c r="D257" s="131"/>
      <c r="E257" s="131"/>
      <c r="F257" s="131"/>
      <c r="G257" s="131"/>
      <c r="H257" s="131"/>
      <c r="I257" s="131"/>
      <c r="J257" s="222"/>
      <c r="K257" s="131"/>
      <c r="L257" s="131"/>
      <c r="M257" s="131"/>
      <c r="N257" s="131"/>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row>
    <row r="258" spans="1:43" ht="15.75" customHeight="1" x14ac:dyDescent="0.55000000000000004">
      <c r="A258" s="131"/>
      <c r="B258" s="131"/>
      <c r="C258" s="131"/>
      <c r="D258" s="131"/>
      <c r="E258" s="131"/>
      <c r="F258" s="131"/>
      <c r="G258" s="131"/>
      <c r="H258" s="131"/>
      <c r="I258" s="131"/>
      <c r="J258" s="222"/>
      <c r="K258" s="131"/>
      <c r="L258" s="131"/>
      <c r="M258" s="131"/>
      <c r="N258" s="131"/>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row>
    <row r="259" spans="1:43" ht="15.75" customHeight="1" x14ac:dyDescent="0.55000000000000004">
      <c r="A259" s="131"/>
      <c r="B259" s="131"/>
      <c r="C259" s="131"/>
      <c r="D259" s="131"/>
      <c r="E259" s="131"/>
      <c r="F259" s="131"/>
      <c r="G259" s="131"/>
      <c r="H259" s="131"/>
      <c r="I259" s="131"/>
      <c r="J259" s="222"/>
      <c r="K259" s="131"/>
      <c r="L259" s="131"/>
      <c r="M259" s="131"/>
      <c r="N259" s="131"/>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row>
    <row r="260" spans="1:43" ht="15.75" customHeight="1" x14ac:dyDescent="0.55000000000000004">
      <c r="A260" s="131"/>
      <c r="B260" s="131"/>
      <c r="C260" s="131"/>
      <c r="D260" s="131"/>
      <c r="E260" s="131"/>
      <c r="F260" s="131"/>
      <c r="G260" s="131"/>
      <c r="H260" s="131"/>
      <c r="I260" s="131"/>
      <c r="J260" s="222"/>
      <c r="K260" s="131"/>
      <c r="L260" s="131"/>
      <c r="M260" s="131"/>
      <c r="N260" s="131"/>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row>
    <row r="261" spans="1:43" ht="15.75" customHeight="1" x14ac:dyDescent="0.55000000000000004">
      <c r="A261" s="131"/>
      <c r="B261" s="131"/>
      <c r="C261" s="131"/>
      <c r="D261" s="131"/>
      <c r="E261" s="131"/>
      <c r="F261" s="131"/>
      <c r="G261" s="131"/>
      <c r="H261" s="131"/>
      <c r="I261" s="131"/>
      <c r="J261" s="222"/>
      <c r="K261" s="13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row>
    <row r="262" spans="1:43" ht="15.75" customHeight="1" x14ac:dyDescent="0.55000000000000004">
      <c r="A262" s="131"/>
      <c r="B262" s="131"/>
      <c r="C262" s="131"/>
      <c r="D262" s="131"/>
      <c r="E262" s="131"/>
      <c r="F262" s="131"/>
      <c r="G262" s="131"/>
      <c r="H262" s="131"/>
      <c r="I262" s="131"/>
      <c r="J262" s="222"/>
      <c r="K262" s="131"/>
      <c r="L262" s="131"/>
      <c r="M262" s="131"/>
      <c r="N262" s="131"/>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row>
    <row r="263" spans="1:43" ht="15.75" customHeight="1" x14ac:dyDescent="0.55000000000000004">
      <c r="A263" s="131"/>
      <c r="B263" s="131"/>
      <c r="C263" s="131"/>
      <c r="D263" s="131"/>
      <c r="E263" s="131"/>
      <c r="F263" s="131"/>
      <c r="G263" s="131"/>
      <c r="H263" s="131"/>
      <c r="I263" s="131"/>
      <c r="J263" s="222"/>
      <c r="K263" s="131"/>
      <c r="L263" s="131"/>
      <c r="M263" s="131"/>
      <c r="N263" s="131"/>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row>
    <row r="264" spans="1:43" ht="15.75" customHeight="1" x14ac:dyDescent="0.55000000000000004">
      <c r="A264" s="131"/>
      <c r="B264" s="131"/>
      <c r="C264" s="131"/>
      <c r="D264" s="131"/>
      <c r="E264" s="131"/>
      <c r="F264" s="131"/>
      <c r="G264" s="131"/>
      <c r="H264" s="131"/>
      <c r="I264" s="131"/>
      <c r="J264" s="222"/>
      <c r="K264" s="131"/>
      <c r="L264" s="131"/>
      <c r="M264" s="131"/>
      <c r="N264" s="131"/>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row>
    <row r="265" spans="1:43" ht="15.75" customHeight="1" x14ac:dyDescent="0.55000000000000004">
      <c r="A265" s="131"/>
      <c r="B265" s="131"/>
      <c r="C265" s="131"/>
      <c r="D265" s="131"/>
      <c r="E265" s="131"/>
      <c r="F265" s="131"/>
      <c r="G265" s="131"/>
      <c r="H265" s="131"/>
      <c r="I265" s="131"/>
      <c r="J265" s="222"/>
      <c r="K265" s="131"/>
      <c r="L265" s="131"/>
      <c r="M265" s="131"/>
      <c r="N265" s="131"/>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row>
    <row r="266" spans="1:43" ht="15.75" customHeight="1" x14ac:dyDescent="0.55000000000000004">
      <c r="A266" s="131"/>
      <c r="B266" s="131"/>
      <c r="C266" s="131"/>
      <c r="D266" s="131"/>
      <c r="E266" s="131"/>
      <c r="F266" s="131"/>
      <c r="G266" s="131"/>
      <c r="H266" s="131"/>
      <c r="I266" s="131"/>
      <c r="J266" s="222"/>
      <c r="K266" s="131"/>
      <c r="L266" s="131"/>
      <c r="M266" s="131"/>
      <c r="N266" s="131"/>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row>
    <row r="267" spans="1:43" ht="15.75" customHeight="1" x14ac:dyDescent="0.55000000000000004">
      <c r="A267" s="131"/>
      <c r="B267" s="131"/>
      <c r="C267" s="131"/>
      <c r="D267" s="131"/>
      <c r="E267" s="131"/>
      <c r="F267" s="131"/>
      <c r="G267" s="131"/>
      <c r="H267" s="131"/>
      <c r="I267" s="131"/>
      <c r="J267" s="222"/>
      <c r="K267" s="131"/>
      <c r="L267" s="131"/>
      <c r="M267" s="131"/>
      <c r="N267" s="131"/>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row>
    <row r="268" spans="1:43" ht="15.75" customHeight="1" x14ac:dyDescent="0.55000000000000004">
      <c r="A268" s="131"/>
      <c r="B268" s="131"/>
      <c r="C268" s="131"/>
      <c r="D268" s="131"/>
      <c r="E268" s="131"/>
      <c r="F268" s="131"/>
      <c r="G268" s="131"/>
      <c r="H268" s="131"/>
      <c r="I268" s="131"/>
      <c r="J268" s="222"/>
      <c r="K268" s="131"/>
      <c r="L268" s="131"/>
      <c r="M268" s="131"/>
      <c r="N268" s="131"/>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row>
    <row r="269" spans="1:43" ht="15.75" customHeight="1" x14ac:dyDescent="0.55000000000000004">
      <c r="A269" s="131"/>
      <c r="B269" s="131"/>
      <c r="C269" s="131"/>
      <c r="D269" s="131"/>
      <c r="E269" s="131"/>
      <c r="F269" s="131"/>
      <c r="G269" s="131"/>
      <c r="H269" s="131"/>
      <c r="I269" s="131"/>
      <c r="J269" s="222"/>
      <c r="K269" s="131"/>
      <c r="L269" s="131"/>
      <c r="M269" s="131"/>
      <c r="N269" s="131"/>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row>
    <row r="270" spans="1:43" ht="15.75" customHeight="1" x14ac:dyDescent="0.55000000000000004">
      <c r="A270" s="131"/>
      <c r="B270" s="131"/>
      <c r="C270" s="131"/>
      <c r="D270" s="131"/>
      <c r="E270" s="131"/>
      <c r="F270" s="131"/>
      <c r="G270" s="131"/>
      <c r="H270" s="131"/>
      <c r="I270" s="131"/>
      <c r="J270" s="222"/>
      <c r="K270" s="131"/>
      <c r="L270" s="131"/>
      <c r="M270" s="131"/>
      <c r="N270" s="131"/>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row>
    <row r="271" spans="1:43" ht="15.75" customHeight="1" x14ac:dyDescent="0.55000000000000004">
      <c r="A271" s="131"/>
      <c r="B271" s="131"/>
      <c r="C271" s="131"/>
      <c r="D271" s="131"/>
      <c r="E271" s="131"/>
      <c r="F271" s="131"/>
      <c r="G271" s="131"/>
      <c r="H271" s="131"/>
      <c r="I271" s="131"/>
      <c r="J271" s="222"/>
      <c r="K271" s="131"/>
      <c r="L271" s="131"/>
      <c r="M271" s="131"/>
      <c r="N271" s="131"/>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row>
    <row r="272" spans="1:43" ht="15.75" customHeight="1" x14ac:dyDescent="0.55000000000000004">
      <c r="A272" s="131"/>
      <c r="B272" s="131"/>
      <c r="C272" s="131"/>
      <c r="D272" s="131"/>
      <c r="E272" s="131"/>
      <c r="F272" s="131"/>
      <c r="G272" s="131"/>
      <c r="H272" s="131"/>
      <c r="I272" s="131"/>
      <c r="J272" s="222"/>
      <c r="K272" s="13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row>
    <row r="273" spans="1:43" ht="15.75" customHeight="1" x14ac:dyDescent="0.55000000000000004">
      <c r="A273" s="131"/>
      <c r="B273" s="131"/>
      <c r="C273" s="131"/>
      <c r="D273" s="131"/>
      <c r="E273" s="131"/>
      <c r="F273" s="131"/>
      <c r="G273" s="131"/>
      <c r="H273" s="131"/>
      <c r="I273" s="131"/>
      <c r="J273" s="222"/>
      <c r="K273" s="13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row>
    <row r="274" spans="1:43" ht="15.75" customHeight="1" x14ac:dyDescent="0.55000000000000004">
      <c r="A274" s="131"/>
      <c r="B274" s="131"/>
      <c r="C274" s="131"/>
      <c r="D274" s="131"/>
      <c r="E274" s="131"/>
      <c r="F274" s="131"/>
      <c r="G274" s="131"/>
      <c r="H274" s="131"/>
      <c r="I274" s="131"/>
      <c r="J274" s="222"/>
      <c r="K274" s="13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row>
    <row r="275" spans="1:43" ht="15.75" customHeight="1" x14ac:dyDescent="0.55000000000000004">
      <c r="A275" s="131"/>
      <c r="B275" s="131"/>
      <c r="C275" s="131"/>
      <c r="D275" s="131"/>
      <c r="E275" s="131"/>
      <c r="F275" s="131"/>
      <c r="G275" s="131"/>
      <c r="H275" s="131"/>
      <c r="I275" s="131"/>
      <c r="J275" s="222"/>
      <c r="K275" s="131"/>
      <c r="L275" s="131"/>
      <c r="M275" s="131"/>
      <c r="N275" s="131"/>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row>
    <row r="276" spans="1:43" ht="15.75" customHeight="1" x14ac:dyDescent="0.55000000000000004">
      <c r="A276" s="131"/>
      <c r="B276" s="131"/>
      <c r="C276" s="131"/>
      <c r="D276" s="131"/>
      <c r="E276" s="131"/>
      <c r="F276" s="131"/>
      <c r="G276" s="131"/>
      <c r="H276" s="131"/>
      <c r="I276" s="131"/>
      <c r="J276" s="222"/>
      <c r="K276" s="131"/>
      <c r="L276" s="131"/>
      <c r="M276" s="131"/>
      <c r="N276" s="131"/>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row>
    <row r="277" spans="1:43" ht="15.75" customHeight="1" x14ac:dyDescent="0.55000000000000004">
      <c r="A277" s="131"/>
      <c r="B277" s="131"/>
      <c r="C277" s="131"/>
      <c r="D277" s="131"/>
      <c r="E277" s="131"/>
      <c r="F277" s="131"/>
      <c r="G277" s="131"/>
      <c r="H277" s="131"/>
      <c r="I277" s="131"/>
      <c r="J277" s="222"/>
      <c r="K277" s="131"/>
      <c r="L277" s="131"/>
      <c r="M277" s="131"/>
      <c r="N277" s="131"/>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row>
    <row r="278" spans="1:43" ht="15.75" customHeight="1" x14ac:dyDescent="0.55000000000000004">
      <c r="A278" s="131"/>
      <c r="B278" s="131"/>
      <c r="C278" s="131"/>
      <c r="D278" s="131"/>
      <c r="E278" s="131"/>
      <c r="F278" s="131"/>
      <c r="G278" s="131"/>
      <c r="H278" s="131"/>
      <c r="I278" s="131"/>
      <c r="J278" s="222"/>
      <c r="K278" s="131"/>
      <c r="L278" s="131"/>
      <c r="M278" s="131"/>
      <c r="N278" s="131"/>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row>
    <row r="279" spans="1:43" ht="15.75" customHeight="1" x14ac:dyDescent="0.55000000000000004">
      <c r="A279" s="131"/>
      <c r="B279" s="131"/>
      <c r="C279" s="131"/>
      <c r="D279" s="131"/>
      <c r="E279" s="131"/>
      <c r="F279" s="131"/>
      <c r="G279" s="131"/>
      <c r="H279" s="131"/>
      <c r="I279" s="131"/>
      <c r="J279" s="222"/>
      <c r="K279" s="131"/>
      <c r="L279" s="131"/>
      <c r="M279" s="131"/>
      <c r="N279" s="131"/>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row>
    <row r="280" spans="1:43" ht="15.75" customHeight="1" x14ac:dyDescent="0.55000000000000004">
      <c r="A280" s="131"/>
      <c r="B280" s="131"/>
      <c r="C280" s="131"/>
      <c r="D280" s="131"/>
      <c r="E280" s="131"/>
      <c r="F280" s="131"/>
      <c r="G280" s="131"/>
      <c r="H280" s="131"/>
      <c r="I280" s="131"/>
      <c r="J280" s="222"/>
      <c r="K280" s="131"/>
      <c r="L280" s="131"/>
      <c r="M280" s="131"/>
      <c r="N280" s="131"/>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row>
    <row r="281" spans="1:43" ht="15.75" customHeight="1" x14ac:dyDescent="0.55000000000000004">
      <c r="A281" s="131"/>
      <c r="B281" s="131"/>
      <c r="C281" s="131"/>
      <c r="D281" s="131"/>
      <c r="E281" s="131"/>
      <c r="F281" s="131"/>
      <c r="G281" s="131"/>
      <c r="H281" s="131"/>
      <c r="I281" s="131"/>
      <c r="J281" s="222"/>
      <c r="K281" s="131"/>
      <c r="L281" s="131"/>
      <c r="M281" s="131"/>
      <c r="N281" s="131"/>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row>
    <row r="282" spans="1:43" ht="15.75" customHeight="1" x14ac:dyDescent="0.55000000000000004">
      <c r="A282" s="131"/>
      <c r="B282" s="131"/>
      <c r="C282" s="131"/>
      <c r="D282" s="131"/>
      <c r="E282" s="131"/>
      <c r="F282" s="131"/>
      <c r="G282" s="131"/>
      <c r="H282" s="131"/>
      <c r="I282" s="131"/>
      <c r="J282" s="222"/>
      <c r="K282" s="131"/>
      <c r="L282" s="131"/>
      <c r="M282" s="131"/>
      <c r="N282" s="131"/>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row>
    <row r="283" spans="1:43" ht="15.75" customHeight="1" x14ac:dyDescent="0.55000000000000004">
      <c r="A283" s="131"/>
      <c r="B283" s="131"/>
      <c r="C283" s="131"/>
      <c r="D283" s="131"/>
      <c r="E283" s="131"/>
      <c r="F283" s="131"/>
      <c r="G283" s="131"/>
      <c r="H283" s="131"/>
      <c r="I283" s="131"/>
      <c r="J283" s="222"/>
      <c r="K283" s="131"/>
      <c r="L283" s="131"/>
      <c r="M283" s="131"/>
      <c r="N283" s="131"/>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row>
    <row r="284" spans="1:43" ht="15.75" customHeight="1" x14ac:dyDescent="0.55000000000000004">
      <c r="A284" s="131"/>
      <c r="B284" s="131"/>
      <c r="C284" s="131"/>
      <c r="D284" s="131"/>
      <c r="E284" s="131"/>
      <c r="F284" s="131"/>
      <c r="G284" s="131"/>
      <c r="H284" s="131"/>
      <c r="I284" s="131"/>
      <c r="J284" s="222"/>
      <c r="K284" s="131"/>
      <c r="L284" s="131"/>
      <c r="M284" s="131"/>
      <c r="N284" s="131"/>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row>
    <row r="285" spans="1:43" ht="15.75" customHeight="1" x14ac:dyDescent="0.55000000000000004">
      <c r="A285" s="131"/>
      <c r="B285" s="131"/>
      <c r="C285" s="131"/>
      <c r="D285" s="131"/>
      <c r="E285" s="131"/>
      <c r="F285" s="131"/>
      <c r="G285" s="131"/>
      <c r="H285" s="131"/>
      <c r="I285" s="131"/>
      <c r="J285" s="222"/>
      <c r="K285" s="131"/>
      <c r="L285" s="131"/>
      <c r="M285" s="131"/>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row>
    <row r="286" spans="1:43" ht="15.75" customHeight="1" x14ac:dyDescent="0.55000000000000004">
      <c r="A286" s="131"/>
      <c r="B286" s="131"/>
      <c r="C286" s="131"/>
      <c r="D286" s="131"/>
      <c r="E286" s="131"/>
      <c r="F286" s="131"/>
      <c r="G286" s="131"/>
      <c r="H286" s="131"/>
      <c r="I286" s="131"/>
      <c r="J286" s="222"/>
      <c r="K286" s="131"/>
      <c r="L286" s="131"/>
      <c r="M286" s="131"/>
      <c r="N286" s="131"/>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row>
    <row r="287" spans="1:43" ht="15.75" customHeight="1" x14ac:dyDescent="0.55000000000000004">
      <c r="A287" s="131"/>
      <c r="B287" s="131"/>
      <c r="C287" s="131"/>
      <c r="D287" s="131"/>
      <c r="E287" s="131"/>
      <c r="F287" s="131"/>
      <c r="G287" s="131"/>
      <c r="H287" s="131"/>
      <c r="I287" s="131"/>
      <c r="J287" s="222"/>
      <c r="K287" s="131"/>
      <c r="L287" s="131"/>
      <c r="M287" s="131"/>
      <c r="N287" s="131"/>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row>
    <row r="288" spans="1:43" ht="15.75" customHeight="1" x14ac:dyDescent="0.55000000000000004">
      <c r="A288" s="131"/>
      <c r="B288" s="131"/>
      <c r="C288" s="131"/>
      <c r="D288" s="131"/>
      <c r="E288" s="131"/>
      <c r="F288" s="131"/>
      <c r="G288" s="131"/>
      <c r="H288" s="131"/>
      <c r="I288" s="131"/>
      <c r="J288" s="222"/>
      <c r="K288" s="131"/>
      <c r="L288" s="131"/>
      <c r="M288" s="131"/>
      <c r="N288" s="131"/>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row>
    <row r="289" spans="1:43" ht="15.75" customHeight="1" x14ac:dyDescent="0.55000000000000004">
      <c r="A289" s="131"/>
      <c r="B289" s="131"/>
      <c r="C289" s="131"/>
      <c r="D289" s="131"/>
      <c r="E289" s="131"/>
      <c r="F289" s="131"/>
      <c r="G289" s="131"/>
      <c r="H289" s="131"/>
      <c r="I289" s="131"/>
      <c r="J289" s="222"/>
      <c r="K289" s="131"/>
      <c r="L289" s="131"/>
      <c r="M289" s="131"/>
      <c r="N289" s="131"/>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row>
    <row r="290" spans="1:43" ht="15.75" customHeight="1" x14ac:dyDescent="0.55000000000000004">
      <c r="A290" s="131"/>
      <c r="B290" s="131"/>
      <c r="C290" s="131"/>
      <c r="D290" s="131"/>
      <c r="E290" s="131"/>
      <c r="F290" s="131"/>
      <c r="G290" s="131"/>
      <c r="H290" s="131"/>
      <c r="I290" s="131"/>
      <c r="J290" s="222"/>
      <c r="K290" s="131"/>
      <c r="L290" s="131"/>
      <c r="M290" s="131"/>
      <c r="N290" s="131"/>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row>
    <row r="291" spans="1:43" ht="15.75" customHeight="1" x14ac:dyDescent="0.55000000000000004">
      <c r="A291" s="131"/>
      <c r="B291" s="131"/>
      <c r="C291" s="131"/>
      <c r="D291" s="131"/>
      <c r="E291" s="131"/>
      <c r="F291" s="131"/>
      <c r="G291" s="131"/>
      <c r="H291" s="131"/>
      <c r="I291" s="131"/>
      <c r="J291" s="222"/>
      <c r="K291" s="13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row>
    <row r="292" spans="1:43" ht="15.75" customHeight="1" x14ac:dyDescent="0.55000000000000004">
      <c r="A292" s="131"/>
      <c r="B292" s="131"/>
      <c r="C292" s="131"/>
      <c r="D292" s="131"/>
      <c r="E292" s="131"/>
      <c r="F292" s="131"/>
      <c r="G292" s="131"/>
      <c r="H292" s="131"/>
      <c r="I292" s="131"/>
      <c r="J292" s="222"/>
      <c r="K292" s="131"/>
      <c r="L292" s="131"/>
      <c r="M292" s="131"/>
      <c r="N292" s="131"/>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row>
    <row r="293" spans="1:43" ht="15.75" customHeight="1" x14ac:dyDescent="0.55000000000000004">
      <c r="A293" s="131"/>
      <c r="B293" s="131"/>
      <c r="C293" s="131"/>
      <c r="D293" s="131"/>
      <c r="E293" s="131"/>
      <c r="F293" s="131"/>
      <c r="G293" s="131"/>
      <c r="H293" s="131"/>
      <c r="I293" s="131"/>
      <c r="J293" s="222"/>
      <c r="K293" s="131"/>
      <c r="L293" s="131"/>
      <c r="M293" s="131"/>
      <c r="N293" s="131"/>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row>
    <row r="294" spans="1:43" ht="15.75" customHeight="1" x14ac:dyDescent="0.55000000000000004">
      <c r="A294" s="131"/>
      <c r="B294" s="131"/>
      <c r="C294" s="131"/>
      <c r="D294" s="131"/>
      <c r="E294" s="131"/>
      <c r="F294" s="131"/>
      <c r="G294" s="131"/>
      <c r="H294" s="131"/>
      <c r="I294" s="131"/>
      <c r="J294" s="222"/>
      <c r="K294" s="131"/>
      <c r="L294" s="131"/>
      <c r="M294" s="131"/>
      <c r="N294" s="131"/>
      <c r="O294" s="131"/>
      <c r="P294" s="13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row>
    <row r="295" spans="1:43" ht="15.75" customHeight="1" x14ac:dyDescent="0.55000000000000004">
      <c r="A295" s="131"/>
      <c r="B295" s="131"/>
      <c r="C295" s="131"/>
      <c r="D295" s="131"/>
      <c r="E295" s="131"/>
      <c r="F295" s="131"/>
      <c r="G295" s="131"/>
      <c r="H295" s="131"/>
      <c r="I295" s="131"/>
      <c r="J295" s="222"/>
      <c r="K295" s="131"/>
      <c r="L295" s="131"/>
      <c r="M295" s="131"/>
      <c r="N295" s="131"/>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row>
    <row r="296" spans="1:43" ht="15.75" customHeight="1" x14ac:dyDescent="0.55000000000000004">
      <c r="A296" s="131"/>
      <c r="B296" s="131"/>
      <c r="C296" s="131"/>
      <c r="D296" s="131"/>
      <c r="E296" s="131"/>
      <c r="F296" s="131"/>
      <c r="G296" s="131"/>
      <c r="H296" s="131"/>
      <c r="I296" s="131"/>
      <c r="J296" s="222"/>
      <c r="K296" s="131"/>
      <c r="L296" s="131"/>
      <c r="M296" s="131"/>
      <c r="N296" s="131"/>
      <c r="O296" s="131"/>
      <c r="P296" s="13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row>
    <row r="297" spans="1:43" ht="15.75" customHeight="1" x14ac:dyDescent="0.55000000000000004">
      <c r="A297" s="131"/>
      <c r="B297" s="131"/>
      <c r="C297" s="131"/>
      <c r="D297" s="131"/>
      <c r="E297" s="131"/>
      <c r="F297" s="131"/>
      <c r="G297" s="131"/>
      <c r="H297" s="131"/>
      <c r="I297" s="131"/>
      <c r="J297" s="222"/>
      <c r="K297" s="131"/>
      <c r="L297" s="131"/>
      <c r="M297" s="131"/>
      <c r="N297" s="131"/>
      <c r="O297" s="131"/>
      <c r="P297" s="13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row>
    <row r="298" spans="1:43" ht="15.75" customHeight="1" x14ac:dyDescent="0.55000000000000004">
      <c r="A298" s="131"/>
      <c r="B298" s="131"/>
      <c r="C298" s="131"/>
      <c r="D298" s="131"/>
      <c r="E298" s="131"/>
      <c r="F298" s="131"/>
      <c r="G298" s="131"/>
      <c r="H298" s="131"/>
      <c r="I298" s="131"/>
      <c r="J298" s="222"/>
      <c r="K298" s="131"/>
      <c r="L298" s="131"/>
      <c r="M298" s="131"/>
      <c r="N298" s="131"/>
      <c r="O298" s="131"/>
      <c r="P298" s="13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row>
    <row r="299" spans="1:43" ht="15.75" customHeight="1" x14ac:dyDescent="0.55000000000000004">
      <c r="A299" s="131"/>
      <c r="B299" s="131"/>
      <c r="C299" s="131"/>
      <c r="D299" s="131"/>
      <c r="E299" s="131"/>
      <c r="F299" s="131"/>
      <c r="G299" s="131"/>
      <c r="H299" s="131"/>
      <c r="I299" s="131"/>
      <c r="J299" s="222"/>
      <c r="K299" s="131"/>
      <c r="L299" s="131"/>
      <c r="M299" s="131"/>
      <c r="N299" s="131"/>
      <c r="O299" s="131"/>
      <c r="P299" s="13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row>
    <row r="300" spans="1:43" ht="15.75" customHeight="1" x14ac:dyDescent="0.55000000000000004">
      <c r="A300" s="131"/>
      <c r="B300" s="131"/>
      <c r="C300" s="131"/>
      <c r="D300" s="131"/>
      <c r="E300" s="131"/>
      <c r="F300" s="131"/>
      <c r="G300" s="131"/>
      <c r="H300" s="131"/>
      <c r="I300" s="131"/>
      <c r="J300" s="222"/>
      <c r="K300" s="131"/>
      <c r="L300" s="131"/>
      <c r="M300" s="131"/>
      <c r="N300" s="131"/>
      <c r="O300" s="131"/>
      <c r="P300" s="13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row>
    <row r="301" spans="1:43" ht="15.75" customHeight="1" x14ac:dyDescent="0.55000000000000004">
      <c r="A301" s="131"/>
      <c r="B301" s="131"/>
      <c r="C301" s="131"/>
      <c r="D301" s="131"/>
      <c r="E301" s="131"/>
      <c r="F301" s="131"/>
      <c r="G301" s="131"/>
      <c r="H301" s="131"/>
      <c r="I301" s="131"/>
      <c r="J301" s="222"/>
      <c r="K301" s="131"/>
      <c r="L301" s="131"/>
      <c r="M301" s="131"/>
      <c r="N301" s="131"/>
      <c r="O301" s="131"/>
      <c r="P301" s="13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row>
    <row r="302" spans="1:43" ht="15.75" customHeight="1" x14ac:dyDescent="0.55000000000000004">
      <c r="A302" s="131"/>
      <c r="B302" s="131"/>
      <c r="C302" s="131"/>
      <c r="D302" s="131"/>
      <c r="E302" s="131"/>
      <c r="F302" s="131"/>
      <c r="G302" s="131"/>
      <c r="H302" s="131"/>
      <c r="I302" s="131"/>
      <c r="J302" s="222"/>
      <c r="K302" s="13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row>
    <row r="303" spans="1:43" ht="15.75" customHeight="1" x14ac:dyDescent="0.55000000000000004">
      <c r="A303" s="131"/>
      <c r="B303" s="131"/>
      <c r="C303" s="131"/>
      <c r="D303" s="131"/>
      <c r="E303" s="131"/>
      <c r="F303" s="131"/>
      <c r="G303" s="131"/>
      <c r="H303" s="131"/>
      <c r="I303" s="131"/>
      <c r="J303" s="222"/>
      <c r="K303" s="131"/>
      <c r="L303" s="131"/>
      <c r="M303" s="131"/>
      <c r="N303" s="131"/>
      <c r="O303" s="131"/>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row>
    <row r="304" spans="1:43" ht="15.75" customHeight="1" x14ac:dyDescent="0.55000000000000004">
      <c r="A304" s="131"/>
      <c r="B304" s="131"/>
      <c r="C304" s="131"/>
      <c r="D304" s="131"/>
      <c r="E304" s="131"/>
      <c r="F304" s="131"/>
      <c r="G304" s="131"/>
      <c r="H304" s="131"/>
      <c r="I304" s="131"/>
      <c r="J304" s="222"/>
      <c r="K304" s="13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row>
    <row r="305" spans="1:43" ht="15.75" customHeight="1" x14ac:dyDescent="0.55000000000000004">
      <c r="A305" s="131"/>
      <c r="B305" s="131"/>
      <c r="C305" s="131"/>
      <c r="D305" s="131"/>
      <c r="E305" s="131"/>
      <c r="F305" s="131"/>
      <c r="G305" s="131"/>
      <c r="H305" s="131"/>
      <c r="I305" s="131"/>
      <c r="J305" s="222"/>
      <c r="K305" s="131"/>
      <c r="L305" s="131"/>
      <c r="M305" s="131"/>
      <c r="N305" s="131"/>
      <c r="O305" s="131"/>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row>
    <row r="306" spans="1:43" ht="15.75" customHeight="1" x14ac:dyDescent="0.55000000000000004">
      <c r="A306" s="131"/>
      <c r="B306" s="131"/>
      <c r="C306" s="131"/>
      <c r="D306" s="131"/>
      <c r="E306" s="131"/>
      <c r="F306" s="131"/>
      <c r="G306" s="131"/>
      <c r="H306" s="131"/>
      <c r="I306" s="131"/>
      <c r="J306" s="222"/>
      <c r="K306" s="13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row>
    <row r="307" spans="1:43" ht="15.75" customHeight="1" x14ac:dyDescent="0.55000000000000004">
      <c r="A307" s="131"/>
      <c r="B307" s="131"/>
      <c r="C307" s="131"/>
      <c r="D307" s="131"/>
      <c r="E307" s="131"/>
      <c r="F307" s="131"/>
      <c r="G307" s="131"/>
      <c r="H307" s="131"/>
      <c r="I307" s="131"/>
      <c r="J307" s="222"/>
      <c r="K307" s="131"/>
      <c r="L307" s="131"/>
      <c r="M307" s="131"/>
      <c r="N307" s="131"/>
      <c r="O307" s="131"/>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row>
    <row r="308" spans="1:43" ht="15.75" customHeight="1" x14ac:dyDescent="0.55000000000000004">
      <c r="A308" s="131"/>
      <c r="B308" s="131"/>
      <c r="C308" s="131"/>
      <c r="D308" s="131"/>
      <c r="E308" s="131"/>
      <c r="F308" s="131"/>
      <c r="G308" s="131"/>
      <c r="H308" s="131"/>
      <c r="I308" s="131"/>
      <c r="J308" s="222"/>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row>
    <row r="309" spans="1:43" ht="15.75" customHeight="1" x14ac:dyDescent="0.55000000000000004">
      <c r="A309" s="131"/>
      <c r="B309" s="131"/>
      <c r="C309" s="131"/>
      <c r="D309" s="131"/>
      <c r="E309" s="131"/>
      <c r="F309" s="131"/>
      <c r="G309" s="131"/>
      <c r="H309" s="131"/>
      <c r="I309" s="131"/>
      <c r="J309" s="222"/>
      <c r="K309" s="131"/>
      <c r="L309" s="131"/>
      <c r="M309" s="131"/>
      <c r="N309" s="131"/>
      <c r="O309" s="131"/>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row>
    <row r="310" spans="1:43" ht="15.75" customHeight="1" x14ac:dyDescent="0.55000000000000004">
      <c r="A310" s="131"/>
      <c r="B310" s="131"/>
      <c r="C310" s="131"/>
      <c r="D310" s="131"/>
      <c r="E310" s="131"/>
      <c r="F310" s="131"/>
      <c r="G310" s="131"/>
      <c r="H310" s="131"/>
      <c r="I310" s="131"/>
      <c r="J310" s="222"/>
      <c r="K310" s="13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row>
    <row r="311" spans="1:43" ht="15.75" customHeight="1" x14ac:dyDescent="0.55000000000000004">
      <c r="A311" s="131"/>
      <c r="B311" s="131"/>
      <c r="C311" s="131"/>
      <c r="D311" s="131"/>
      <c r="E311" s="131"/>
      <c r="F311" s="131"/>
      <c r="G311" s="131"/>
      <c r="H311" s="131"/>
      <c r="I311" s="131"/>
      <c r="J311" s="222"/>
      <c r="K311" s="131"/>
      <c r="L311" s="131"/>
      <c r="M311" s="131"/>
      <c r="N311" s="131"/>
      <c r="O311" s="131"/>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row>
    <row r="312" spans="1:43" ht="15.75" customHeight="1" x14ac:dyDescent="0.55000000000000004">
      <c r="A312" s="131"/>
      <c r="B312" s="131"/>
      <c r="C312" s="131"/>
      <c r="D312" s="131"/>
      <c r="E312" s="131"/>
      <c r="F312" s="131"/>
      <c r="G312" s="131"/>
      <c r="H312" s="131"/>
      <c r="I312" s="131"/>
      <c r="J312" s="222"/>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row>
    <row r="313" spans="1:43" ht="15.75" customHeight="1" x14ac:dyDescent="0.55000000000000004">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row>
    <row r="314" spans="1:43" ht="15.75" customHeight="1" x14ac:dyDescent="0.55000000000000004">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row>
    <row r="315" spans="1:43" ht="15.75" customHeight="1" x14ac:dyDescent="0.55000000000000004">
      <c r="A315" s="234"/>
      <c r="B315" s="234"/>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c r="AD315" s="234"/>
      <c r="AE315" s="234"/>
      <c r="AF315" s="234"/>
      <c r="AG315" s="234"/>
      <c r="AH315" s="234"/>
      <c r="AI315" s="234"/>
      <c r="AJ315" s="234"/>
      <c r="AK315" s="234"/>
      <c r="AL315" s="234"/>
      <c r="AM315" s="234"/>
      <c r="AN315" s="234"/>
      <c r="AO315" s="234"/>
      <c r="AP315" s="234"/>
      <c r="AQ315" s="234"/>
    </row>
    <row r="316" spans="1:43" ht="15.75" customHeight="1" x14ac:dyDescent="0.55000000000000004">
      <c r="A316" s="234"/>
      <c r="B316" s="234"/>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c r="AD316" s="234"/>
      <c r="AE316" s="234"/>
      <c r="AF316" s="234"/>
      <c r="AG316" s="234"/>
      <c r="AH316" s="234"/>
      <c r="AI316" s="234"/>
      <c r="AJ316" s="234"/>
      <c r="AK316" s="234"/>
      <c r="AL316" s="234"/>
      <c r="AM316" s="234"/>
      <c r="AN316" s="234"/>
      <c r="AO316" s="234"/>
      <c r="AP316" s="234"/>
      <c r="AQ316" s="234"/>
    </row>
    <row r="317" spans="1:43" ht="15.75" customHeight="1" x14ac:dyDescent="0.55000000000000004">
      <c r="A317" s="234"/>
      <c r="B317" s="234"/>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c r="AD317" s="234"/>
      <c r="AE317" s="234"/>
      <c r="AF317" s="234"/>
      <c r="AG317" s="234"/>
      <c r="AH317" s="234"/>
      <c r="AI317" s="234"/>
      <c r="AJ317" s="234"/>
      <c r="AK317" s="234"/>
      <c r="AL317" s="234"/>
      <c r="AM317" s="234"/>
      <c r="AN317" s="234"/>
      <c r="AO317" s="234"/>
      <c r="AP317" s="234"/>
      <c r="AQ317" s="234"/>
    </row>
    <row r="318" spans="1:43" ht="15.75" customHeight="1" x14ac:dyDescent="0.55000000000000004">
      <c r="A318" s="234"/>
      <c r="B318" s="234"/>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c r="AD318" s="234"/>
      <c r="AE318" s="234"/>
      <c r="AF318" s="234"/>
      <c r="AG318" s="234"/>
      <c r="AH318" s="234"/>
      <c r="AI318" s="234"/>
      <c r="AJ318" s="234"/>
      <c r="AK318" s="234"/>
      <c r="AL318" s="234"/>
      <c r="AM318" s="234"/>
      <c r="AN318" s="234"/>
      <c r="AO318" s="234"/>
      <c r="AP318" s="234"/>
      <c r="AQ318" s="234"/>
    </row>
    <row r="319" spans="1:43" ht="15.75" customHeight="1" x14ac:dyDescent="0.55000000000000004">
      <c r="A319" s="234"/>
      <c r="B319" s="234"/>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c r="AD319" s="234"/>
      <c r="AE319" s="234"/>
      <c r="AF319" s="234"/>
      <c r="AG319" s="234"/>
      <c r="AH319" s="234"/>
      <c r="AI319" s="234"/>
      <c r="AJ319" s="234"/>
      <c r="AK319" s="234"/>
      <c r="AL319" s="234"/>
      <c r="AM319" s="234"/>
      <c r="AN319" s="234"/>
      <c r="AO319" s="234"/>
      <c r="AP319" s="234"/>
      <c r="AQ319" s="234"/>
    </row>
    <row r="320" spans="1:43" ht="15.75" customHeight="1" x14ac:dyDescent="0.55000000000000004">
      <c r="A320" s="234"/>
      <c r="B320" s="234"/>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c r="AD320" s="234"/>
      <c r="AE320" s="234"/>
      <c r="AF320" s="234"/>
      <c r="AG320" s="234"/>
      <c r="AH320" s="234"/>
      <c r="AI320" s="234"/>
      <c r="AJ320" s="234"/>
      <c r="AK320" s="234"/>
      <c r="AL320" s="234"/>
      <c r="AM320" s="234"/>
      <c r="AN320" s="234"/>
      <c r="AO320" s="234"/>
      <c r="AP320" s="234"/>
      <c r="AQ320" s="234"/>
    </row>
    <row r="321" spans="1:43" ht="15.75" customHeight="1" x14ac:dyDescent="0.55000000000000004">
      <c r="A321" s="234"/>
      <c r="B321" s="234"/>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c r="AD321" s="234"/>
      <c r="AE321" s="234"/>
      <c r="AF321" s="234"/>
      <c r="AG321" s="234"/>
      <c r="AH321" s="234"/>
      <c r="AI321" s="234"/>
      <c r="AJ321" s="234"/>
      <c r="AK321" s="234"/>
      <c r="AL321" s="234"/>
      <c r="AM321" s="234"/>
      <c r="AN321" s="234"/>
      <c r="AO321" s="234"/>
      <c r="AP321" s="234"/>
      <c r="AQ321" s="234"/>
    </row>
    <row r="322" spans="1:43" ht="15.75" customHeight="1" x14ac:dyDescent="0.55000000000000004">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c r="AA322" s="235"/>
      <c r="AB322" s="235"/>
      <c r="AC322" s="235"/>
      <c r="AD322" s="235"/>
      <c r="AE322" s="235"/>
      <c r="AF322" s="235"/>
      <c r="AG322" s="235"/>
      <c r="AH322" s="235"/>
      <c r="AI322" s="235"/>
      <c r="AJ322" s="235"/>
      <c r="AK322" s="235"/>
      <c r="AL322" s="235"/>
      <c r="AM322" s="235"/>
      <c r="AN322" s="235"/>
      <c r="AO322" s="235"/>
      <c r="AP322" s="235"/>
      <c r="AQ322" s="235"/>
    </row>
    <row r="323" spans="1:43" ht="15.75" customHeight="1" x14ac:dyDescent="0.55000000000000004">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c r="AA323" s="235"/>
      <c r="AB323" s="235"/>
      <c r="AC323" s="235"/>
      <c r="AD323" s="235"/>
      <c r="AE323" s="235"/>
      <c r="AF323" s="235"/>
      <c r="AG323" s="235"/>
      <c r="AH323" s="235"/>
      <c r="AI323" s="235"/>
      <c r="AJ323" s="235"/>
      <c r="AK323" s="235"/>
      <c r="AL323" s="235"/>
      <c r="AM323" s="235"/>
      <c r="AN323" s="235"/>
      <c r="AO323" s="235"/>
      <c r="AP323" s="235"/>
      <c r="AQ323" s="235"/>
    </row>
    <row r="324" spans="1:43" ht="15.75" customHeight="1" x14ac:dyDescent="0.55000000000000004">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c r="AA324" s="235"/>
      <c r="AB324" s="235"/>
      <c r="AC324" s="235"/>
      <c r="AD324" s="235"/>
      <c r="AE324" s="235"/>
      <c r="AF324" s="235"/>
      <c r="AG324" s="235"/>
      <c r="AH324" s="235"/>
      <c r="AI324" s="235"/>
      <c r="AJ324" s="235"/>
      <c r="AK324" s="235"/>
      <c r="AL324" s="235"/>
      <c r="AM324" s="235"/>
      <c r="AN324" s="235"/>
      <c r="AO324" s="235"/>
      <c r="AP324" s="235"/>
      <c r="AQ324" s="235"/>
    </row>
    <row r="325" spans="1:43" ht="15.75" customHeight="1" x14ac:dyDescent="0.55000000000000004">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c r="AA325" s="235"/>
      <c r="AB325" s="235"/>
      <c r="AC325" s="235"/>
      <c r="AD325" s="235"/>
      <c r="AE325" s="235"/>
      <c r="AF325" s="235"/>
      <c r="AG325" s="235"/>
      <c r="AH325" s="235"/>
      <c r="AI325" s="235"/>
      <c r="AJ325" s="235"/>
      <c r="AK325" s="235"/>
      <c r="AL325" s="235"/>
      <c r="AM325" s="235"/>
      <c r="AN325" s="235"/>
      <c r="AO325" s="235"/>
      <c r="AP325" s="235"/>
      <c r="AQ325" s="235"/>
    </row>
    <row r="326" spans="1:43" ht="15.75" customHeight="1" x14ac:dyDescent="0.55000000000000004">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c r="AA326" s="235"/>
      <c r="AB326" s="235"/>
      <c r="AC326" s="235"/>
      <c r="AD326" s="235"/>
      <c r="AE326" s="235"/>
      <c r="AF326" s="235"/>
      <c r="AG326" s="235"/>
      <c r="AH326" s="235"/>
      <c r="AI326" s="235"/>
      <c r="AJ326" s="235"/>
      <c r="AK326" s="235"/>
      <c r="AL326" s="235"/>
      <c r="AM326" s="235"/>
      <c r="AN326" s="235"/>
      <c r="AO326" s="235"/>
      <c r="AP326" s="235"/>
      <c r="AQ326" s="235"/>
    </row>
    <row r="327" spans="1:43" ht="15.75" customHeight="1" x14ac:dyDescent="0.55000000000000004">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c r="AA327" s="235"/>
      <c r="AB327" s="235"/>
      <c r="AC327" s="235"/>
      <c r="AD327" s="235"/>
      <c r="AE327" s="235"/>
      <c r="AF327" s="235"/>
      <c r="AG327" s="235"/>
      <c r="AH327" s="235"/>
      <c r="AI327" s="235"/>
      <c r="AJ327" s="235"/>
      <c r="AK327" s="235"/>
      <c r="AL327" s="235"/>
      <c r="AM327" s="235"/>
      <c r="AN327" s="235"/>
      <c r="AO327" s="235"/>
      <c r="AP327" s="235"/>
      <c r="AQ327" s="235"/>
    </row>
    <row r="328" spans="1:43" ht="15.75" customHeight="1" x14ac:dyDescent="0.55000000000000004">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c r="AA328" s="235"/>
      <c r="AB328" s="235"/>
      <c r="AC328" s="235"/>
      <c r="AD328" s="235"/>
      <c r="AE328" s="235"/>
      <c r="AF328" s="235"/>
      <c r="AG328" s="235"/>
      <c r="AH328" s="235"/>
      <c r="AI328" s="235"/>
      <c r="AJ328" s="235"/>
      <c r="AK328" s="235"/>
      <c r="AL328" s="235"/>
      <c r="AM328" s="235"/>
      <c r="AN328" s="235"/>
      <c r="AO328" s="235"/>
      <c r="AP328" s="235"/>
      <c r="AQ328" s="235"/>
    </row>
    <row r="329" spans="1:43" ht="15.75" customHeight="1" x14ac:dyDescent="0.55000000000000004">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c r="AA329" s="235"/>
      <c r="AB329" s="235"/>
      <c r="AC329" s="235"/>
      <c r="AD329" s="235"/>
      <c r="AE329" s="235"/>
      <c r="AF329" s="235"/>
      <c r="AG329" s="235"/>
      <c r="AH329" s="235"/>
      <c r="AI329" s="235"/>
      <c r="AJ329" s="235"/>
      <c r="AK329" s="235"/>
      <c r="AL329" s="235"/>
      <c r="AM329" s="235"/>
      <c r="AN329" s="235"/>
      <c r="AO329" s="235"/>
      <c r="AP329" s="235"/>
      <c r="AQ329" s="235"/>
    </row>
    <row r="330" spans="1:43" ht="15.75" customHeight="1" x14ac:dyDescent="0.55000000000000004">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c r="AA330" s="235"/>
      <c r="AB330" s="235"/>
      <c r="AC330" s="235"/>
      <c r="AD330" s="235"/>
      <c r="AE330" s="235"/>
      <c r="AF330" s="235"/>
      <c r="AG330" s="235"/>
      <c r="AH330" s="235"/>
      <c r="AI330" s="235"/>
      <c r="AJ330" s="235"/>
      <c r="AK330" s="235"/>
      <c r="AL330" s="235"/>
      <c r="AM330" s="235"/>
      <c r="AN330" s="235"/>
      <c r="AO330" s="235"/>
      <c r="AP330" s="235"/>
      <c r="AQ330" s="235"/>
    </row>
    <row r="331" spans="1:43" ht="15.75" customHeight="1" x14ac:dyDescent="0.55000000000000004">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c r="AQ331" s="235"/>
    </row>
    <row r="332" spans="1:43" ht="15.75" customHeight="1" x14ac:dyDescent="0.55000000000000004">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c r="AA332" s="235"/>
      <c r="AB332" s="235"/>
      <c r="AC332" s="235"/>
      <c r="AD332" s="235"/>
      <c r="AE332" s="235"/>
      <c r="AF332" s="235"/>
      <c r="AG332" s="235"/>
      <c r="AH332" s="235"/>
      <c r="AI332" s="235"/>
      <c r="AJ332" s="235"/>
      <c r="AK332" s="235"/>
      <c r="AL332" s="235"/>
      <c r="AM332" s="235"/>
      <c r="AN332" s="235"/>
      <c r="AO332" s="235"/>
      <c r="AP332" s="235"/>
      <c r="AQ332" s="235"/>
    </row>
    <row r="333" spans="1:43" ht="15.75" customHeight="1" x14ac:dyDescent="0.55000000000000004">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c r="AA333" s="235"/>
      <c r="AB333" s="235"/>
      <c r="AC333" s="235"/>
      <c r="AD333" s="235"/>
      <c r="AE333" s="235"/>
      <c r="AF333" s="235"/>
      <c r="AG333" s="235"/>
      <c r="AH333" s="235"/>
      <c r="AI333" s="235"/>
      <c r="AJ333" s="235"/>
      <c r="AK333" s="235"/>
      <c r="AL333" s="235"/>
      <c r="AM333" s="235"/>
      <c r="AN333" s="235"/>
      <c r="AO333" s="235"/>
      <c r="AP333" s="235"/>
      <c r="AQ333" s="235"/>
    </row>
    <row r="334" spans="1:43" ht="15.75" customHeight="1" x14ac:dyDescent="0.55000000000000004">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c r="AA334" s="235"/>
      <c r="AB334" s="235"/>
      <c r="AC334" s="235"/>
      <c r="AD334" s="235"/>
      <c r="AE334" s="235"/>
      <c r="AF334" s="235"/>
      <c r="AG334" s="235"/>
      <c r="AH334" s="235"/>
      <c r="AI334" s="235"/>
      <c r="AJ334" s="235"/>
      <c r="AK334" s="235"/>
      <c r="AL334" s="235"/>
      <c r="AM334" s="235"/>
      <c r="AN334" s="235"/>
      <c r="AO334" s="235"/>
      <c r="AP334" s="235"/>
      <c r="AQ334" s="235"/>
    </row>
    <row r="335" spans="1:43" ht="15.75" customHeight="1" x14ac:dyDescent="0.55000000000000004">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c r="AA335" s="235"/>
      <c r="AB335" s="235"/>
      <c r="AC335" s="235"/>
      <c r="AD335" s="235"/>
      <c r="AE335" s="235"/>
      <c r="AF335" s="235"/>
      <c r="AG335" s="235"/>
      <c r="AH335" s="235"/>
      <c r="AI335" s="235"/>
      <c r="AJ335" s="235"/>
      <c r="AK335" s="235"/>
      <c r="AL335" s="235"/>
      <c r="AM335" s="235"/>
      <c r="AN335" s="235"/>
      <c r="AO335" s="235"/>
      <c r="AP335" s="235"/>
      <c r="AQ335" s="235"/>
    </row>
    <row r="336" spans="1:43" ht="15.75" customHeight="1" x14ac:dyDescent="0.55000000000000004">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c r="AA336" s="235"/>
      <c r="AB336" s="235"/>
      <c r="AC336" s="235"/>
      <c r="AD336" s="235"/>
      <c r="AE336" s="235"/>
      <c r="AF336" s="235"/>
      <c r="AG336" s="235"/>
      <c r="AH336" s="235"/>
      <c r="AI336" s="235"/>
      <c r="AJ336" s="235"/>
      <c r="AK336" s="235"/>
      <c r="AL336" s="235"/>
      <c r="AM336" s="235"/>
      <c r="AN336" s="235"/>
      <c r="AO336" s="235"/>
      <c r="AP336" s="235"/>
      <c r="AQ336" s="235"/>
    </row>
    <row r="337" spans="1:43" ht="15.75" customHeight="1" x14ac:dyDescent="0.55000000000000004">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c r="AA337" s="235"/>
      <c r="AB337" s="235"/>
      <c r="AC337" s="235"/>
      <c r="AD337" s="235"/>
      <c r="AE337" s="235"/>
      <c r="AF337" s="235"/>
      <c r="AG337" s="235"/>
      <c r="AH337" s="235"/>
      <c r="AI337" s="235"/>
      <c r="AJ337" s="235"/>
      <c r="AK337" s="235"/>
      <c r="AL337" s="235"/>
      <c r="AM337" s="235"/>
      <c r="AN337" s="235"/>
      <c r="AO337" s="235"/>
      <c r="AP337" s="235"/>
      <c r="AQ337" s="235"/>
    </row>
    <row r="338" spans="1:43" ht="15.75" customHeight="1" x14ac:dyDescent="0.55000000000000004">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c r="AA338" s="235"/>
      <c r="AB338" s="235"/>
      <c r="AC338" s="235"/>
      <c r="AD338" s="235"/>
      <c r="AE338" s="235"/>
      <c r="AF338" s="235"/>
      <c r="AG338" s="235"/>
      <c r="AH338" s="235"/>
      <c r="AI338" s="235"/>
      <c r="AJ338" s="235"/>
      <c r="AK338" s="235"/>
      <c r="AL338" s="235"/>
      <c r="AM338" s="235"/>
      <c r="AN338" s="235"/>
      <c r="AO338" s="235"/>
      <c r="AP338" s="235"/>
      <c r="AQ338" s="235"/>
    </row>
    <row r="339" spans="1:43" ht="15.75" customHeight="1" x14ac:dyDescent="0.55000000000000004">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c r="AA339" s="235"/>
      <c r="AB339" s="235"/>
      <c r="AC339" s="235"/>
      <c r="AD339" s="235"/>
      <c r="AE339" s="235"/>
      <c r="AF339" s="235"/>
      <c r="AG339" s="235"/>
      <c r="AH339" s="235"/>
      <c r="AI339" s="235"/>
      <c r="AJ339" s="235"/>
      <c r="AK339" s="235"/>
      <c r="AL339" s="235"/>
      <c r="AM339" s="235"/>
      <c r="AN339" s="235"/>
      <c r="AO339" s="235"/>
      <c r="AP339" s="235"/>
      <c r="AQ339" s="235"/>
    </row>
    <row r="340" spans="1:43" ht="15.75" customHeight="1" x14ac:dyDescent="0.55000000000000004">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c r="AA340" s="235"/>
      <c r="AB340" s="235"/>
      <c r="AC340" s="235"/>
      <c r="AD340" s="235"/>
      <c r="AE340" s="235"/>
      <c r="AF340" s="235"/>
      <c r="AG340" s="235"/>
      <c r="AH340" s="235"/>
      <c r="AI340" s="235"/>
      <c r="AJ340" s="235"/>
      <c r="AK340" s="235"/>
      <c r="AL340" s="235"/>
      <c r="AM340" s="235"/>
      <c r="AN340" s="235"/>
      <c r="AO340" s="235"/>
      <c r="AP340" s="235"/>
      <c r="AQ340" s="235"/>
    </row>
    <row r="341" spans="1:43" ht="15.75" customHeight="1" x14ac:dyDescent="0.55000000000000004">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c r="AA341" s="235"/>
      <c r="AB341" s="235"/>
      <c r="AC341" s="235"/>
      <c r="AD341" s="235"/>
      <c r="AE341" s="235"/>
      <c r="AF341" s="235"/>
      <c r="AG341" s="235"/>
      <c r="AH341" s="235"/>
      <c r="AI341" s="235"/>
      <c r="AJ341" s="235"/>
      <c r="AK341" s="235"/>
      <c r="AL341" s="235"/>
      <c r="AM341" s="235"/>
      <c r="AN341" s="235"/>
      <c r="AO341" s="235"/>
      <c r="AP341" s="235"/>
      <c r="AQ341" s="235"/>
    </row>
    <row r="342" spans="1:43" ht="15.75" customHeight="1" x14ac:dyDescent="0.55000000000000004">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c r="AA342" s="235"/>
      <c r="AB342" s="235"/>
      <c r="AC342" s="235"/>
      <c r="AD342" s="235"/>
      <c r="AE342" s="235"/>
      <c r="AF342" s="235"/>
      <c r="AG342" s="235"/>
      <c r="AH342" s="235"/>
      <c r="AI342" s="235"/>
      <c r="AJ342" s="235"/>
      <c r="AK342" s="235"/>
      <c r="AL342" s="235"/>
      <c r="AM342" s="235"/>
      <c r="AN342" s="235"/>
      <c r="AO342" s="235"/>
      <c r="AP342" s="235"/>
      <c r="AQ342" s="235"/>
    </row>
    <row r="343" spans="1:43" ht="15.75" customHeight="1" x14ac:dyDescent="0.55000000000000004">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c r="AA343" s="235"/>
      <c r="AB343" s="235"/>
      <c r="AC343" s="235"/>
      <c r="AD343" s="235"/>
      <c r="AE343" s="235"/>
      <c r="AF343" s="235"/>
      <c r="AG343" s="235"/>
      <c r="AH343" s="235"/>
      <c r="AI343" s="235"/>
      <c r="AJ343" s="235"/>
      <c r="AK343" s="235"/>
      <c r="AL343" s="235"/>
      <c r="AM343" s="235"/>
      <c r="AN343" s="235"/>
      <c r="AO343" s="235"/>
      <c r="AP343" s="235"/>
      <c r="AQ343" s="235"/>
    </row>
    <row r="344" spans="1:43" ht="15.75" customHeight="1" x14ac:dyDescent="0.55000000000000004">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c r="AQ344" s="235"/>
    </row>
    <row r="345" spans="1:43" ht="15.75" customHeight="1" x14ac:dyDescent="0.55000000000000004">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c r="AA345" s="235"/>
      <c r="AB345" s="235"/>
      <c r="AC345" s="235"/>
      <c r="AD345" s="235"/>
      <c r="AE345" s="235"/>
      <c r="AF345" s="235"/>
      <c r="AG345" s="235"/>
      <c r="AH345" s="235"/>
      <c r="AI345" s="235"/>
      <c r="AJ345" s="235"/>
      <c r="AK345" s="235"/>
      <c r="AL345" s="235"/>
      <c r="AM345" s="235"/>
      <c r="AN345" s="235"/>
      <c r="AO345" s="235"/>
      <c r="AP345" s="235"/>
      <c r="AQ345" s="235"/>
    </row>
    <row r="346" spans="1:43" ht="15.75" customHeight="1" x14ac:dyDescent="0.55000000000000004">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c r="AA346" s="235"/>
      <c r="AB346" s="235"/>
      <c r="AC346" s="235"/>
      <c r="AD346" s="235"/>
      <c r="AE346" s="235"/>
      <c r="AF346" s="235"/>
      <c r="AG346" s="235"/>
      <c r="AH346" s="235"/>
      <c r="AI346" s="235"/>
      <c r="AJ346" s="235"/>
      <c r="AK346" s="235"/>
      <c r="AL346" s="235"/>
      <c r="AM346" s="235"/>
      <c r="AN346" s="235"/>
      <c r="AO346" s="235"/>
      <c r="AP346" s="235"/>
      <c r="AQ346" s="235"/>
    </row>
    <row r="347" spans="1:43" ht="15.75" customHeight="1" x14ac:dyDescent="0.55000000000000004">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c r="AA347" s="235"/>
      <c r="AB347" s="235"/>
      <c r="AC347" s="235"/>
      <c r="AD347" s="235"/>
      <c r="AE347" s="235"/>
      <c r="AF347" s="235"/>
      <c r="AG347" s="235"/>
      <c r="AH347" s="235"/>
      <c r="AI347" s="235"/>
      <c r="AJ347" s="235"/>
      <c r="AK347" s="235"/>
      <c r="AL347" s="235"/>
      <c r="AM347" s="235"/>
      <c r="AN347" s="235"/>
      <c r="AO347" s="235"/>
      <c r="AP347" s="235"/>
      <c r="AQ347" s="235"/>
    </row>
    <row r="348" spans="1:43" ht="15.75" customHeight="1" x14ac:dyDescent="0.55000000000000004">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c r="AA348" s="235"/>
      <c r="AB348" s="235"/>
      <c r="AC348" s="235"/>
      <c r="AD348" s="235"/>
      <c r="AE348" s="235"/>
      <c r="AF348" s="235"/>
      <c r="AG348" s="235"/>
      <c r="AH348" s="235"/>
      <c r="AI348" s="235"/>
      <c r="AJ348" s="235"/>
      <c r="AK348" s="235"/>
      <c r="AL348" s="235"/>
      <c r="AM348" s="235"/>
      <c r="AN348" s="235"/>
      <c r="AO348" s="235"/>
      <c r="AP348" s="235"/>
      <c r="AQ348" s="235"/>
    </row>
    <row r="349" spans="1:43" ht="15.75" customHeight="1" x14ac:dyDescent="0.55000000000000004">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c r="AA349" s="235"/>
      <c r="AB349" s="235"/>
      <c r="AC349" s="235"/>
      <c r="AD349" s="235"/>
      <c r="AE349" s="235"/>
      <c r="AF349" s="235"/>
      <c r="AG349" s="235"/>
      <c r="AH349" s="235"/>
      <c r="AI349" s="235"/>
      <c r="AJ349" s="235"/>
      <c r="AK349" s="235"/>
      <c r="AL349" s="235"/>
      <c r="AM349" s="235"/>
      <c r="AN349" s="235"/>
      <c r="AO349" s="235"/>
      <c r="AP349" s="235"/>
      <c r="AQ349" s="235"/>
    </row>
    <row r="350" spans="1:43" ht="15.75" customHeight="1" x14ac:dyDescent="0.55000000000000004">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c r="AA350" s="235"/>
      <c r="AB350" s="235"/>
      <c r="AC350" s="235"/>
      <c r="AD350" s="235"/>
      <c r="AE350" s="235"/>
      <c r="AF350" s="235"/>
      <c r="AG350" s="235"/>
      <c r="AH350" s="235"/>
      <c r="AI350" s="235"/>
      <c r="AJ350" s="235"/>
      <c r="AK350" s="235"/>
      <c r="AL350" s="235"/>
      <c r="AM350" s="235"/>
      <c r="AN350" s="235"/>
      <c r="AO350" s="235"/>
      <c r="AP350" s="235"/>
      <c r="AQ350" s="235"/>
    </row>
    <row r="351" spans="1:43" ht="15.75" customHeight="1" x14ac:dyDescent="0.55000000000000004">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c r="AA351" s="235"/>
      <c r="AB351" s="235"/>
      <c r="AC351" s="235"/>
      <c r="AD351" s="235"/>
      <c r="AE351" s="235"/>
      <c r="AF351" s="235"/>
      <c r="AG351" s="235"/>
      <c r="AH351" s="235"/>
      <c r="AI351" s="235"/>
      <c r="AJ351" s="235"/>
      <c r="AK351" s="235"/>
      <c r="AL351" s="235"/>
      <c r="AM351" s="235"/>
      <c r="AN351" s="235"/>
      <c r="AO351" s="235"/>
      <c r="AP351" s="235"/>
      <c r="AQ351" s="235"/>
    </row>
    <row r="352" spans="1:43" ht="15.75" customHeight="1" x14ac:dyDescent="0.55000000000000004">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c r="AA352" s="235"/>
      <c r="AB352" s="235"/>
      <c r="AC352" s="235"/>
      <c r="AD352" s="235"/>
      <c r="AE352" s="235"/>
      <c r="AF352" s="235"/>
      <c r="AG352" s="235"/>
      <c r="AH352" s="235"/>
      <c r="AI352" s="235"/>
      <c r="AJ352" s="235"/>
      <c r="AK352" s="235"/>
      <c r="AL352" s="235"/>
      <c r="AM352" s="235"/>
      <c r="AN352" s="235"/>
      <c r="AO352" s="235"/>
      <c r="AP352" s="235"/>
      <c r="AQ352" s="235"/>
    </row>
    <row r="353" spans="1:43" ht="15.75" customHeight="1" x14ac:dyDescent="0.55000000000000004">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c r="AA353" s="235"/>
      <c r="AB353" s="235"/>
      <c r="AC353" s="235"/>
      <c r="AD353" s="235"/>
      <c r="AE353" s="235"/>
      <c r="AF353" s="235"/>
      <c r="AG353" s="235"/>
      <c r="AH353" s="235"/>
      <c r="AI353" s="235"/>
      <c r="AJ353" s="235"/>
      <c r="AK353" s="235"/>
      <c r="AL353" s="235"/>
      <c r="AM353" s="235"/>
      <c r="AN353" s="235"/>
      <c r="AO353" s="235"/>
      <c r="AP353" s="235"/>
      <c r="AQ353" s="235"/>
    </row>
    <row r="354" spans="1:43" ht="15.75" customHeight="1" x14ac:dyDescent="0.55000000000000004">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c r="AA354" s="235"/>
      <c r="AB354" s="235"/>
      <c r="AC354" s="235"/>
      <c r="AD354" s="235"/>
      <c r="AE354" s="235"/>
      <c r="AF354" s="235"/>
      <c r="AG354" s="235"/>
      <c r="AH354" s="235"/>
      <c r="AI354" s="235"/>
      <c r="AJ354" s="235"/>
      <c r="AK354" s="235"/>
      <c r="AL354" s="235"/>
      <c r="AM354" s="235"/>
      <c r="AN354" s="235"/>
      <c r="AO354" s="235"/>
      <c r="AP354" s="235"/>
      <c r="AQ354" s="235"/>
    </row>
    <row r="355" spans="1:43" ht="15.75" customHeight="1" x14ac:dyDescent="0.55000000000000004">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c r="AA355" s="235"/>
      <c r="AB355" s="235"/>
      <c r="AC355" s="235"/>
      <c r="AD355" s="235"/>
      <c r="AE355" s="235"/>
      <c r="AF355" s="235"/>
      <c r="AG355" s="235"/>
      <c r="AH355" s="235"/>
      <c r="AI355" s="235"/>
      <c r="AJ355" s="235"/>
      <c r="AK355" s="235"/>
      <c r="AL355" s="235"/>
      <c r="AM355" s="235"/>
      <c r="AN355" s="235"/>
      <c r="AO355" s="235"/>
      <c r="AP355" s="235"/>
      <c r="AQ355" s="235"/>
    </row>
    <row r="356" spans="1:43" ht="15.75" customHeight="1" x14ac:dyDescent="0.55000000000000004">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c r="AA356" s="235"/>
      <c r="AB356" s="235"/>
      <c r="AC356" s="235"/>
      <c r="AD356" s="235"/>
      <c r="AE356" s="235"/>
      <c r="AF356" s="235"/>
      <c r="AG356" s="235"/>
      <c r="AH356" s="235"/>
      <c r="AI356" s="235"/>
      <c r="AJ356" s="235"/>
      <c r="AK356" s="235"/>
      <c r="AL356" s="235"/>
      <c r="AM356" s="235"/>
      <c r="AN356" s="235"/>
      <c r="AO356" s="235"/>
      <c r="AP356" s="235"/>
      <c r="AQ356" s="235"/>
    </row>
    <row r="357" spans="1:43" ht="15.75" customHeight="1" x14ac:dyDescent="0.55000000000000004">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c r="AA357" s="235"/>
      <c r="AB357" s="235"/>
      <c r="AC357" s="235"/>
      <c r="AD357" s="235"/>
      <c r="AE357" s="235"/>
      <c r="AF357" s="235"/>
      <c r="AG357" s="235"/>
      <c r="AH357" s="235"/>
      <c r="AI357" s="235"/>
      <c r="AJ357" s="235"/>
      <c r="AK357" s="235"/>
      <c r="AL357" s="235"/>
      <c r="AM357" s="235"/>
      <c r="AN357" s="235"/>
      <c r="AO357" s="235"/>
      <c r="AP357" s="235"/>
      <c r="AQ357" s="235"/>
    </row>
    <row r="358" spans="1:43" ht="15.75" customHeight="1" x14ac:dyDescent="0.55000000000000004">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c r="AB358" s="235"/>
      <c r="AC358" s="235"/>
      <c r="AD358" s="235"/>
      <c r="AE358" s="235"/>
      <c r="AF358" s="235"/>
      <c r="AG358" s="235"/>
      <c r="AH358" s="235"/>
      <c r="AI358" s="235"/>
      <c r="AJ358" s="235"/>
      <c r="AK358" s="235"/>
      <c r="AL358" s="235"/>
      <c r="AM358" s="235"/>
      <c r="AN358" s="235"/>
      <c r="AO358" s="235"/>
      <c r="AP358" s="235"/>
      <c r="AQ358" s="235"/>
    </row>
    <row r="359" spans="1:43" ht="15.75" customHeight="1" x14ac:dyDescent="0.55000000000000004">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c r="AB359" s="235"/>
      <c r="AC359" s="235"/>
      <c r="AD359" s="235"/>
      <c r="AE359" s="235"/>
      <c r="AF359" s="235"/>
      <c r="AG359" s="235"/>
      <c r="AH359" s="235"/>
      <c r="AI359" s="235"/>
      <c r="AJ359" s="235"/>
      <c r="AK359" s="235"/>
      <c r="AL359" s="235"/>
      <c r="AM359" s="235"/>
      <c r="AN359" s="235"/>
      <c r="AO359" s="235"/>
      <c r="AP359" s="235"/>
      <c r="AQ359" s="235"/>
    </row>
    <row r="360" spans="1:43" ht="15.75" customHeight="1" x14ac:dyDescent="0.55000000000000004">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c r="AB360" s="235"/>
      <c r="AC360" s="235"/>
      <c r="AD360" s="235"/>
      <c r="AE360" s="235"/>
      <c r="AF360" s="235"/>
      <c r="AG360" s="235"/>
      <c r="AH360" s="235"/>
      <c r="AI360" s="235"/>
      <c r="AJ360" s="235"/>
      <c r="AK360" s="235"/>
      <c r="AL360" s="235"/>
      <c r="AM360" s="235"/>
      <c r="AN360" s="235"/>
      <c r="AO360" s="235"/>
      <c r="AP360" s="235"/>
      <c r="AQ360" s="235"/>
    </row>
    <row r="361" spans="1:43" ht="15.75" customHeight="1" x14ac:dyDescent="0.55000000000000004">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c r="AB361" s="235"/>
      <c r="AC361" s="235"/>
      <c r="AD361" s="235"/>
      <c r="AE361" s="235"/>
      <c r="AF361" s="235"/>
      <c r="AG361" s="235"/>
      <c r="AH361" s="235"/>
      <c r="AI361" s="235"/>
      <c r="AJ361" s="235"/>
      <c r="AK361" s="235"/>
      <c r="AL361" s="235"/>
      <c r="AM361" s="235"/>
      <c r="AN361" s="235"/>
      <c r="AO361" s="235"/>
      <c r="AP361" s="235"/>
      <c r="AQ361" s="235"/>
    </row>
    <row r="362" spans="1:43" ht="15.75" customHeight="1" x14ac:dyDescent="0.55000000000000004">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c r="AB362" s="235"/>
      <c r="AC362" s="235"/>
      <c r="AD362" s="235"/>
      <c r="AE362" s="235"/>
      <c r="AF362" s="235"/>
      <c r="AG362" s="235"/>
      <c r="AH362" s="235"/>
      <c r="AI362" s="235"/>
      <c r="AJ362" s="235"/>
      <c r="AK362" s="235"/>
      <c r="AL362" s="235"/>
      <c r="AM362" s="235"/>
      <c r="AN362" s="235"/>
      <c r="AO362" s="235"/>
      <c r="AP362" s="235"/>
      <c r="AQ362" s="235"/>
    </row>
    <row r="363" spans="1:43" ht="15.75" customHeight="1" x14ac:dyDescent="0.55000000000000004">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c r="AB363" s="235"/>
      <c r="AC363" s="235"/>
      <c r="AD363" s="235"/>
      <c r="AE363" s="235"/>
      <c r="AF363" s="235"/>
      <c r="AG363" s="235"/>
      <c r="AH363" s="235"/>
      <c r="AI363" s="235"/>
      <c r="AJ363" s="235"/>
      <c r="AK363" s="235"/>
      <c r="AL363" s="235"/>
      <c r="AM363" s="235"/>
      <c r="AN363" s="235"/>
      <c r="AO363" s="235"/>
      <c r="AP363" s="235"/>
      <c r="AQ363" s="235"/>
    </row>
    <row r="364" spans="1:43" ht="15.75" customHeight="1" x14ac:dyDescent="0.55000000000000004">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c r="AQ364" s="235"/>
    </row>
    <row r="365" spans="1:43" ht="15.75" customHeight="1" x14ac:dyDescent="0.55000000000000004">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c r="AB365" s="235"/>
      <c r="AC365" s="235"/>
      <c r="AD365" s="235"/>
      <c r="AE365" s="235"/>
      <c r="AF365" s="235"/>
      <c r="AG365" s="235"/>
      <c r="AH365" s="235"/>
      <c r="AI365" s="235"/>
      <c r="AJ365" s="235"/>
      <c r="AK365" s="235"/>
      <c r="AL365" s="235"/>
      <c r="AM365" s="235"/>
      <c r="AN365" s="235"/>
      <c r="AO365" s="235"/>
      <c r="AP365" s="235"/>
      <c r="AQ365" s="235"/>
    </row>
    <row r="366" spans="1:43" ht="15.75" customHeight="1" x14ac:dyDescent="0.55000000000000004">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c r="AA366" s="235"/>
      <c r="AB366" s="235"/>
      <c r="AC366" s="235"/>
      <c r="AD366" s="235"/>
      <c r="AE366" s="235"/>
      <c r="AF366" s="235"/>
      <c r="AG366" s="235"/>
      <c r="AH366" s="235"/>
      <c r="AI366" s="235"/>
      <c r="AJ366" s="235"/>
      <c r="AK366" s="235"/>
      <c r="AL366" s="235"/>
      <c r="AM366" s="235"/>
      <c r="AN366" s="235"/>
      <c r="AO366" s="235"/>
      <c r="AP366" s="235"/>
      <c r="AQ366" s="235"/>
    </row>
    <row r="367" spans="1:43" ht="15.75" customHeight="1" x14ac:dyDescent="0.55000000000000004">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c r="AA367" s="235"/>
      <c r="AB367" s="235"/>
      <c r="AC367" s="235"/>
      <c r="AD367" s="235"/>
      <c r="AE367" s="235"/>
      <c r="AF367" s="235"/>
      <c r="AG367" s="235"/>
      <c r="AH367" s="235"/>
      <c r="AI367" s="235"/>
      <c r="AJ367" s="235"/>
      <c r="AK367" s="235"/>
      <c r="AL367" s="235"/>
      <c r="AM367" s="235"/>
      <c r="AN367" s="235"/>
      <c r="AO367" s="235"/>
      <c r="AP367" s="235"/>
      <c r="AQ367" s="235"/>
    </row>
    <row r="368" spans="1:43" ht="15.75" customHeight="1" x14ac:dyDescent="0.55000000000000004">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c r="AA368" s="235"/>
      <c r="AB368" s="235"/>
      <c r="AC368" s="235"/>
      <c r="AD368" s="235"/>
      <c r="AE368" s="235"/>
      <c r="AF368" s="235"/>
      <c r="AG368" s="235"/>
      <c r="AH368" s="235"/>
      <c r="AI368" s="235"/>
      <c r="AJ368" s="235"/>
      <c r="AK368" s="235"/>
      <c r="AL368" s="235"/>
      <c r="AM368" s="235"/>
      <c r="AN368" s="235"/>
      <c r="AO368" s="235"/>
      <c r="AP368" s="235"/>
      <c r="AQ368" s="235"/>
    </row>
    <row r="369" spans="1:43" ht="15.75" customHeight="1" x14ac:dyDescent="0.55000000000000004">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c r="AA369" s="235"/>
      <c r="AB369" s="235"/>
      <c r="AC369" s="235"/>
      <c r="AD369" s="235"/>
      <c r="AE369" s="235"/>
      <c r="AF369" s="235"/>
      <c r="AG369" s="235"/>
      <c r="AH369" s="235"/>
      <c r="AI369" s="235"/>
      <c r="AJ369" s="235"/>
      <c r="AK369" s="235"/>
      <c r="AL369" s="235"/>
      <c r="AM369" s="235"/>
      <c r="AN369" s="235"/>
      <c r="AO369" s="235"/>
      <c r="AP369" s="235"/>
      <c r="AQ369" s="235"/>
    </row>
    <row r="370" spans="1:43" ht="15.75" customHeight="1" x14ac:dyDescent="0.55000000000000004">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c r="AA370" s="235"/>
      <c r="AB370" s="235"/>
      <c r="AC370" s="235"/>
      <c r="AD370" s="235"/>
      <c r="AE370" s="235"/>
      <c r="AF370" s="235"/>
      <c r="AG370" s="235"/>
      <c r="AH370" s="235"/>
      <c r="AI370" s="235"/>
      <c r="AJ370" s="235"/>
      <c r="AK370" s="235"/>
      <c r="AL370" s="235"/>
      <c r="AM370" s="235"/>
      <c r="AN370" s="235"/>
      <c r="AO370" s="235"/>
      <c r="AP370" s="235"/>
      <c r="AQ370" s="235"/>
    </row>
    <row r="371" spans="1:43" ht="15.75" customHeight="1" x14ac:dyDescent="0.55000000000000004">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c r="AA371" s="235"/>
      <c r="AB371" s="235"/>
      <c r="AC371" s="235"/>
      <c r="AD371" s="235"/>
      <c r="AE371" s="235"/>
      <c r="AF371" s="235"/>
      <c r="AG371" s="235"/>
      <c r="AH371" s="235"/>
      <c r="AI371" s="235"/>
      <c r="AJ371" s="235"/>
      <c r="AK371" s="235"/>
      <c r="AL371" s="235"/>
      <c r="AM371" s="235"/>
      <c r="AN371" s="235"/>
      <c r="AO371" s="235"/>
      <c r="AP371" s="235"/>
      <c r="AQ371" s="235"/>
    </row>
    <row r="372" spans="1:43" ht="15.75" customHeight="1" x14ac:dyDescent="0.55000000000000004">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c r="AA372" s="235"/>
      <c r="AB372" s="235"/>
      <c r="AC372" s="235"/>
      <c r="AD372" s="235"/>
      <c r="AE372" s="235"/>
      <c r="AF372" s="235"/>
      <c r="AG372" s="235"/>
      <c r="AH372" s="235"/>
      <c r="AI372" s="235"/>
      <c r="AJ372" s="235"/>
      <c r="AK372" s="235"/>
      <c r="AL372" s="235"/>
      <c r="AM372" s="235"/>
      <c r="AN372" s="235"/>
      <c r="AO372" s="235"/>
      <c r="AP372" s="235"/>
      <c r="AQ372" s="235"/>
    </row>
    <row r="373" spans="1:43" ht="15.75" customHeight="1" x14ac:dyDescent="0.55000000000000004">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c r="AA373" s="235"/>
      <c r="AB373" s="235"/>
      <c r="AC373" s="235"/>
      <c r="AD373" s="235"/>
      <c r="AE373" s="235"/>
      <c r="AF373" s="235"/>
      <c r="AG373" s="235"/>
      <c r="AH373" s="235"/>
      <c r="AI373" s="235"/>
      <c r="AJ373" s="235"/>
      <c r="AK373" s="235"/>
      <c r="AL373" s="235"/>
      <c r="AM373" s="235"/>
      <c r="AN373" s="235"/>
      <c r="AO373" s="235"/>
      <c r="AP373" s="235"/>
      <c r="AQ373" s="235"/>
    </row>
    <row r="374" spans="1:43" ht="15.75" customHeight="1" x14ac:dyDescent="0.55000000000000004">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c r="AA374" s="235"/>
      <c r="AB374" s="235"/>
      <c r="AC374" s="235"/>
      <c r="AD374" s="235"/>
      <c r="AE374" s="235"/>
      <c r="AF374" s="235"/>
      <c r="AG374" s="235"/>
      <c r="AH374" s="235"/>
      <c r="AI374" s="235"/>
      <c r="AJ374" s="235"/>
      <c r="AK374" s="235"/>
      <c r="AL374" s="235"/>
      <c r="AM374" s="235"/>
      <c r="AN374" s="235"/>
      <c r="AO374" s="235"/>
      <c r="AP374" s="235"/>
      <c r="AQ374" s="235"/>
    </row>
    <row r="375" spans="1:43" ht="15.75" customHeight="1" x14ac:dyDescent="0.55000000000000004">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c r="AB375" s="235"/>
      <c r="AC375" s="235"/>
      <c r="AD375" s="235"/>
      <c r="AE375" s="235"/>
      <c r="AF375" s="235"/>
      <c r="AG375" s="235"/>
      <c r="AH375" s="235"/>
      <c r="AI375" s="235"/>
      <c r="AJ375" s="235"/>
      <c r="AK375" s="235"/>
      <c r="AL375" s="235"/>
      <c r="AM375" s="235"/>
      <c r="AN375" s="235"/>
      <c r="AO375" s="235"/>
      <c r="AP375" s="235"/>
      <c r="AQ375" s="235"/>
    </row>
    <row r="376" spans="1:43" ht="15.75" customHeight="1" x14ac:dyDescent="0.55000000000000004">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c r="AB376" s="235"/>
      <c r="AC376" s="235"/>
      <c r="AD376" s="235"/>
      <c r="AE376" s="235"/>
      <c r="AF376" s="235"/>
      <c r="AG376" s="235"/>
      <c r="AH376" s="235"/>
      <c r="AI376" s="235"/>
      <c r="AJ376" s="235"/>
      <c r="AK376" s="235"/>
      <c r="AL376" s="235"/>
      <c r="AM376" s="235"/>
      <c r="AN376" s="235"/>
      <c r="AO376" s="235"/>
      <c r="AP376" s="235"/>
      <c r="AQ376" s="235"/>
    </row>
    <row r="377" spans="1:43" ht="15.75" customHeight="1" x14ac:dyDescent="0.55000000000000004">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c r="AB377" s="235"/>
      <c r="AC377" s="235"/>
      <c r="AD377" s="235"/>
      <c r="AE377" s="235"/>
      <c r="AF377" s="235"/>
      <c r="AG377" s="235"/>
      <c r="AH377" s="235"/>
      <c r="AI377" s="235"/>
      <c r="AJ377" s="235"/>
      <c r="AK377" s="235"/>
      <c r="AL377" s="235"/>
      <c r="AM377" s="235"/>
      <c r="AN377" s="235"/>
      <c r="AO377" s="235"/>
      <c r="AP377" s="235"/>
      <c r="AQ377" s="235"/>
    </row>
    <row r="378" spans="1:43" ht="15.75" customHeight="1" x14ac:dyDescent="0.55000000000000004">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c r="AB378" s="235"/>
      <c r="AC378" s="235"/>
      <c r="AD378" s="235"/>
      <c r="AE378" s="235"/>
      <c r="AF378" s="235"/>
      <c r="AG378" s="235"/>
      <c r="AH378" s="235"/>
      <c r="AI378" s="235"/>
      <c r="AJ378" s="235"/>
      <c r="AK378" s="235"/>
      <c r="AL378" s="235"/>
      <c r="AM378" s="235"/>
      <c r="AN378" s="235"/>
      <c r="AO378" s="235"/>
      <c r="AP378" s="235"/>
      <c r="AQ378" s="235"/>
    </row>
    <row r="379" spans="1:43" ht="15.75" customHeight="1" x14ac:dyDescent="0.55000000000000004">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c r="AA379" s="235"/>
      <c r="AB379" s="235"/>
      <c r="AC379" s="235"/>
      <c r="AD379" s="235"/>
      <c r="AE379" s="235"/>
      <c r="AF379" s="235"/>
      <c r="AG379" s="235"/>
      <c r="AH379" s="235"/>
      <c r="AI379" s="235"/>
      <c r="AJ379" s="235"/>
      <c r="AK379" s="235"/>
      <c r="AL379" s="235"/>
      <c r="AM379" s="235"/>
      <c r="AN379" s="235"/>
      <c r="AO379" s="235"/>
      <c r="AP379" s="235"/>
      <c r="AQ379" s="235"/>
    </row>
    <row r="380" spans="1:43" ht="15.75" customHeight="1" x14ac:dyDescent="0.55000000000000004">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c r="AB380" s="235"/>
      <c r="AC380" s="235"/>
      <c r="AD380" s="235"/>
      <c r="AE380" s="235"/>
      <c r="AF380" s="235"/>
      <c r="AG380" s="235"/>
      <c r="AH380" s="235"/>
      <c r="AI380" s="235"/>
      <c r="AJ380" s="235"/>
      <c r="AK380" s="235"/>
      <c r="AL380" s="235"/>
      <c r="AM380" s="235"/>
      <c r="AN380" s="235"/>
      <c r="AO380" s="235"/>
      <c r="AP380" s="235"/>
      <c r="AQ380" s="235"/>
    </row>
    <row r="381" spans="1:43" ht="15.75" customHeight="1" x14ac:dyDescent="0.55000000000000004">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c r="AB381" s="235"/>
      <c r="AC381" s="235"/>
      <c r="AD381" s="235"/>
      <c r="AE381" s="235"/>
      <c r="AF381" s="235"/>
      <c r="AG381" s="235"/>
      <c r="AH381" s="235"/>
      <c r="AI381" s="235"/>
      <c r="AJ381" s="235"/>
      <c r="AK381" s="235"/>
      <c r="AL381" s="235"/>
      <c r="AM381" s="235"/>
      <c r="AN381" s="235"/>
      <c r="AO381" s="235"/>
      <c r="AP381" s="235"/>
      <c r="AQ381" s="235"/>
    </row>
    <row r="382" spans="1:43" ht="15.75" customHeight="1" x14ac:dyDescent="0.55000000000000004">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c r="AB382" s="235"/>
      <c r="AC382" s="235"/>
      <c r="AD382" s="235"/>
      <c r="AE382" s="235"/>
      <c r="AF382" s="235"/>
      <c r="AG382" s="235"/>
      <c r="AH382" s="235"/>
      <c r="AI382" s="235"/>
      <c r="AJ382" s="235"/>
      <c r="AK382" s="235"/>
      <c r="AL382" s="235"/>
      <c r="AM382" s="235"/>
      <c r="AN382" s="235"/>
      <c r="AO382" s="235"/>
      <c r="AP382" s="235"/>
      <c r="AQ382" s="235"/>
    </row>
    <row r="383" spans="1:43" ht="15.75" customHeight="1" x14ac:dyDescent="0.55000000000000004">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c r="AB383" s="235"/>
      <c r="AC383" s="235"/>
      <c r="AD383" s="235"/>
      <c r="AE383" s="235"/>
      <c r="AF383" s="235"/>
      <c r="AG383" s="235"/>
      <c r="AH383" s="235"/>
      <c r="AI383" s="235"/>
      <c r="AJ383" s="235"/>
      <c r="AK383" s="235"/>
      <c r="AL383" s="235"/>
      <c r="AM383" s="235"/>
      <c r="AN383" s="235"/>
      <c r="AO383" s="235"/>
      <c r="AP383" s="235"/>
      <c r="AQ383" s="235"/>
    </row>
    <row r="384" spans="1:43" ht="15.75" customHeight="1" x14ac:dyDescent="0.55000000000000004">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c r="AB384" s="235"/>
      <c r="AC384" s="235"/>
      <c r="AD384" s="235"/>
      <c r="AE384" s="235"/>
      <c r="AF384" s="235"/>
      <c r="AG384" s="235"/>
      <c r="AH384" s="235"/>
      <c r="AI384" s="235"/>
      <c r="AJ384" s="235"/>
      <c r="AK384" s="235"/>
      <c r="AL384" s="235"/>
      <c r="AM384" s="235"/>
      <c r="AN384" s="235"/>
      <c r="AO384" s="235"/>
      <c r="AP384" s="235"/>
      <c r="AQ384" s="235"/>
    </row>
    <row r="385" spans="1:43" ht="15.75" customHeight="1" x14ac:dyDescent="0.55000000000000004">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c r="AB385" s="235"/>
      <c r="AC385" s="235"/>
      <c r="AD385" s="235"/>
      <c r="AE385" s="235"/>
      <c r="AF385" s="235"/>
      <c r="AG385" s="235"/>
      <c r="AH385" s="235"/>
      <c r="AI385" s="235"/>
      <c r="AJ385" s="235"/>
      <c r="AK385" s="235"/>
      <c r="AL385" s="235"/>
      <c r="AM385" s="235"/>
      <c r="AN385" s="235"/>
      <c r="AO385" s="235"/>
      <c r="AP385" s="235"/>
      <c r="AQ385" s="235"/>
    </row>
    <row r="386" spans="1:43" ht="15.75" customHeight="1" x14ac:dyDescent="0.55000000000000004">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c r="AB386" s="235"/>
      <c r="AC386" s="235"/>
      <c r="AD386" s="235"/>
      <c r="AE386" s="235"/>
      <c r="AF386" s="235"/>
      <c r="AG386" s="235"/>
      <c r="AH386" s="235"/>
      <c r="AI386" s="235"/>
      <c r="AJ386" s="235"/>
      <c r="AK386" s="235"/>
      <c r="AL386" s="235"/>
      <c r="AM386" s="235"/>
      <c r="AN386" s="235"/>
      <c r="AO386" s="235"/>
      <c r="AP386" s="235"/>
      <c r="AQ386" s="235"/>
    </row>
    <row r="387" spans="1:43" ht="15.75" customHeight="1" x14ac:dyDescent="0.55000000000000004">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c r="AA387" s="235"/>
      <c r="AB387" s="235"/>
      <c r="AC387" s="235"/>
      <c r="AD387" s="235"/>
      <c r="AE387" s="235"/>
      <c r="AF387" s="235"/>
      <c r="AG387" s="235"/>
      <c r="AH387" s="235"/>
      <c r="AI387" s="235"/>
      <c r="AJ387" s="235"/>
      <c r="AK387" s="235"/>
      <c r="AL387" s="235"/>
      <c r="AM387" s="235"/>
      <c r="AN387" s="235"/>
      <c r="AO387" s="235"/>
      <c r="AP387" s="235"/>
      <c r="AQ387" s="235"/>
    </row>
    <row r="388" spans="1:43" ht="15.75" customHeight="1" x14ac:dyDescent="0.55000000000000004">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c r="AA388" s="235"/>
      <c r="AB388" s="235"/>
      <c r="AC388" s="235"/>
      <c r="AD388" s="235"/>
      <c r="AE388" s="235"/>
      <c r="AF388" s="235"/>
      <c r="AG388" s="235"/>
      <c r="AH388" s="235"/>
      <c r="AI388" s="235"/>
      <c r="AJ388" s="235"/>
      <c r="AK388" s="235"/>
      <c r="AL388" s="235"/>
      <c r="AM388" s="235"/>
      <c r="AN388" s="235"/>
      <c r="AO388" s="235"/>
      <c r="AP388" s="235"/>
      <c r="AQ388" s="235"/>
    </row>
    <row r="389" spans="1:43" ht="15.75" customHeight="1" x14ac:dyDescent="0.55000000000000004">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c r="AA389" s="235"/>
      <c r="AB389" s="235"/>
      <c r="AC389" s="235"/>
      <c r="AD389" s="235"/>
      <c r="AE389" s="235"/>
      <c r="AF389" s="235"/>
      <c r="AG389" s="235"/>
      <c r="AH389" s="235"/>
      <c r="AI389" s="235"/>
      <c r="AJ389" s="235"/>
      <c r="AK389" s="235"/>
      <c r="AL389" s="235"/>
      <c r="AM389" s="235"/>
      <c r="AN389" s="235"/>
      <c r="AO389" s="235"/>
      <c r="AP389" s="235"/>
      <c r="AQ389" s="235"/>
    </row>
    <row r="390" spans="1:43" ht="15.75" customHeight="1" x14ac:dyDescent="0.55000000000000004">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c r="AJ390" s="235"/>
      <c r="AK390" s="235"/>
      <c r="AL390" s="235"/>
      <c r="AM390" s="235"/>
      <c r="AN390" s="235"/>
      <c r="AO390" s="235"/>
      <c r="AP390" s="235"/>
      <c r="AQ390" s="235"/>
    </row>
    <row r="391" spans="1:43" ht="15.75" customHeight="1" x14ac:dyDescent="0.55000000000000004">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c r="AA391" s="235"/>
      <c r="AB391" s="235"/>
      <c r="AC391" s="235"/>
      <c r="AD391" s="235"/>
      <c r="AE391" s="235"/>
      <c r="AF391" s="235"/>
      <c r="AG391" s="235"/>
      <c r="AH391" s="235"/>
      <c r="AI391" s="235"/>
      <c r="AJ391" s="235"/>
      <c r="AK391" s="235"/>
      <c r="AL391" s="235"/>
      <c r="AM391" s="235"/>
      <c r="AN391" s="235"/>
      <c r="AO391" s="235"/>
      <c r="AP391" s="235"/>
      <c r="AQ391" s="235"/>
    </row>
    <row r="392" spans="1:43" ht="15.75" customHeight="1" x14ac:dyDescent="0.55000000000000004">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c r="AA392" s="235"/>
      <c r="AB392" s="235"/>
      <c r="AC392" s="235"/>
      <c r="AD392" s="235"/>
      <c r="AE392" s="235"/>
      <c r="AF392" s="235"/>
      <c r="AG392" s="235"/>
      <c r="AH392" s="235"/>
      <c r="AI392" s="235"/>
      <c r="AJ392" s="235"/>
      <c r="AK392" s="235"/>
      <c r="AL392" s="235"/>
      <c r="AM392" s="235"/>
      <c r="AN392" s="235"/>
      <c r="AO392" s="235"/>
      <c r="AP392" s="235"/>
      <c r="AQ392" s="235"/>
    </row>
    <row r="393" spans="1:43" ht="15.75" customHeight="1" x14ac:dyDescent="0.55000000000000004">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c r="AA393" s="235"/>
      <c r="AB393" s="235"/>
      <c r="AC393" s="235"/>
      <c r="AD393" s="235"/>
      <c r="AE393" s="235"/>
      <c r="AF393" s="235"/>
      <c r="AG393" s="235"/>
      <c r="AH393" s="235"/>
      <c r="AI393" s="235"/>
      <c r="AJ393" s="235"/>
      <c r="AK393" s="235"/>
      <c r="AL393" s="235"/>
      <c r="AM393" s="235"/>
      <c r="AN393" s="235"/>
      <c r="AO393" s="235"/>
      <c r="AP393" s="235"/>
      <c r="AQ393" s="235"/>
    </row>
    <row r="394" spans="1:43" ht="15.75" customHeight="1" x14ac:dyDescent="0.55000000000000004">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c r="AA394" s="235"/>
      <c r="AB394" s="235"/>
      <c r="AC394" s="235"/>
      <c r="AD394" s="235"/>
      <c r="AE394" s="235"/>
      <c r="AF394" s="235"/>
      <c r="AG394" s="235"/>
      <c r="AH394" s="235"/>
      <c r="AI394" s="235"/>
      <c r="AJ394" s="235"/>
      <c r="AK394" s="235"/>
      <c r="AL394" s="235"/>
      <c r="AM394" s="235"/>
      <c r="AN394" s="235"/>
      <c r="AO394" s="235"/>
      <c r="AP394" s="235"/>
      <c r="AQ394" s="235"/>
    </row>
    <row r="395" spans="1:43" ht="15.75" customHeight="1" x14ac:dyDescent="0.55000000000000004">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c r="AA395" s="235"/>
      <c r="AB395" s="235"/>
      <c r="AC395" s="235"/>
      <c r="AD395" s="235"/>
      <c r="AE395" s="235"/>
      <c r="AF395" s="235"/>
      <c r="AG395" s="235"/>
      <c r="AH395" s="235"/>
      <c r="AI395" s="235"/>
      <c r="AJ395" s="235"/>
      <c r="AK395" s="235"/>
      <c r="AL395" s="235"/>
      <c r="AM395" s="235"/>
      <c r="AN395" s="235"/>
      <c r="AO395" s="235"/>
      <c r="AP395" s="235"/>
      <c r="AQ395" s="235"/>
    </row>
    <row r="396" spans="1:43" ht="15.75" customHeight="1" x14ac:dyDescent="0.55000000000000004">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c r="AJ396" s="235"/>
      <c r="AK396" s="235"/>
      <c r="AL396" s="235"/>
      <c r="AM396" s="235"/>
      <c r="AN396" s="235"/>
      <c r="AO396" s="235"/>
      <c r="AP396" s="235"/>
      <c r="AQ396" s="235"/>
    </row>
    <row r="397" spans="1:43" ht="15.75" customHeight="1" x14ac:dyDescent="0.55000000000000004">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c r="AJ397" s="235"/>
      <c r="AK397" s="235"/>
      <c r="AL397" s="235"/>
      <c r="AM397" s="235"/>
      <c r="AN397" s="235"/>
      <c r="AO397" s="235"/>
      <c r="AP397" s="235"/>
      <c r="AQ397" s="235"/>
    </row>
    <row r="398" spans="1:43" ht="15.75" customHeight="1" x14ac:dyDescent="0.55000000000000004">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c r="AJ398" s="235"/>
      <c r="AK398" s="235"/>
      <c r="AL398" s="235"/>
      <c r="AM398" s="235"/>
      <c r="AN398" s="235"/>
      <c r="AO398" s="235"/>
      <c r="AP398" s="235"/>
      <c r="AQ398" s="235"/>
    </row>
    <row r="399" spans="1:43" ht="15.75" customHeight="1" x14ac:dyDescent="0.55000000000000004">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c r="AJ399" s="235"/>
      <c r="AK399" s="235"/>
      <c r="AL399" s="235"/>
      <c r="AM399" s="235"/>
      <c r="AN399" s="235"/>
      <c r="AO399" s="235"/>
      <c r="AP399" s="235"/>
      <c r="AQ399" s="235"/>
    </row>
    <row r="400" spans="1:43" ht="15.75" customHeight="1" x14ac:dyDescent="0.55000000000000004">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c r="AJ400" s="235"/>
      <c r="AK400" s="235"/>
      <c r="AL400" s="235"/>
      <c r="AM400" s="235"/>
      <c r="AN400" s="235"/>
      <c r="AO400" s="235"/>
      <c r="AP400" s="235"/>
      <c r="AQ400" s="235"/>
    </row>
    <row r="401" spans="1:43" ht="15.75" customHeight="1" x14ac:dyDescent="0.55000000000000004">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c r="AJ401" s="235"/>
      <c r="AK401" s="235"/>
      <c r="AL401" s="235"/>
      <c r="AM401" s="235"/>
      <c r="AN401" s="235"/>
      <c r="AO401" s="235"/>
      <c r="AP401" s="235"/>
      <c r="AQ401" s="235"/>
    </row>
    <row r="402" spans="1:43" ht="15.75" customHeight="1" x14ac:dyDescent="0.55000000000000004">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c r="AJ402" s="235"/>
      <c r="AK402" s="235"/>
      <c r="AL402" s="235"/>
      <c r="AM402" s="235"/>
      <c r="AN402" s="235"/>
      <c r="AO402" s="235"/>
      <c r="AP402" s="235"/>
      <c r="AQ402" s="235"/>
    </row>
    <row r="403" spans="1:43" ht="15.75" customHeight="1" x14ac:dyDescent="0.55000000000000004">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c r="AJ403" s="235"/>
      <c r="AK403" s="235"/>
      <c r="AL403" s="235"/>
      <c r="AM403" s="235"/>
      <c r="AN403" s="235"/>
      <c r="AO403" s="235"/>
      <c r="AP403" s="235"/>
      <c r="AQ403" s="235"/>
    </row>
    <row r="404" spans="1:43" ht="15.75" customHeight="1" x14ac:dyDescent="0.55000000000000004">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c r="AJ404" s="235"/>
      <c r="AK404" s="235"/>
      <c r="AL404" s="235"/>
      <c r="AM404" s="235"/>
      <c r="AN404" s="235"/>
      <c r="AO404" s="235"/>
      <c r="AP404" s="235"/>
      <c r="AQ404" s="235"/>
    </row>
    <row r="405" spans="1:43" ht="15.75" customHeight="1" x14ac:dyDescent="0.55000000000000004">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c r="AJ405" s="235"/>
      <c r="AK405" s="235"/>
      <c r="AL405" s="235"/>
      <c r="AM405" s="235"/>
      <c r="AN405" s="235"/>
      <c r="AO405" s="235"/>
      <c r="AP405" s="235"/>
      <c r="AQ405" s="235"/>
    </row>
    <row r="406" spans="1:43" ht="15.75" customHeight="1" x14ac:dyDescent="0.55000000000000004">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c r="AJ406" s="235"/>
      <c r="AK406" s="235"/>
      <c r="AL406" s="235"/>
      <c r="AM406" s="235"/>
      <c r="AN406" s="235"/>
      <c r="AO406" s="235"/>
      <c r="AP406" s="235"/>
      <c r="AQ406" s="235"/>
    </row>
    <row r="407" spans="1:43" ht="15.75" customHeight="1" x14ac:dyDescent="0.55000000000000004">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c r="AJ407" s="235"/>
      <c r="AK407" s="235"/>
      <c r="AL407" s="235"/>
      <c r="AM407" s="235"/>
      <c r="AN407" s="235"/>
      <c r="AO407" s="235"/>
      <c r="AP407" s="235"/>
      <c r="AQ407" s="235"/>
    </row>
    <row r="408" spans="1:43" ht="15.75" customHeight="1" x14ac:dyDescent="0.55000000000000004">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c r="AJ408" s="235"/>
      <c r="AK408" s="235"/>
      <c r="AL408" s="235"/>
      <c r="AM408" s="235"/>
      <c r="AN408" s="235"/>
      <c r="AO408" s="235"/>
      <c r="AP408" s="235"/>
      <c r="AQ408" s="235"/>
    </row>
    <row r="409" spans="1:43" ht="15.75" customHeight="1" x14ac:dyDescent="0.55000000000000004">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c r="AJ409" s="235"/>
      <c r="AK409" s="235"/>
      <c r="AL409" s="235"/>
      <c r="AM409" s="235"/>
      <c r="AN409" s="235"/>
      <c r="AO409" s="235"/>
      <c r="AP409" s="235"/>
      <c r="AQ409" s="235"/>
    </row>
    <row r="410" spans="1:43" ht="15.75" customHeight="1" x14ac:dyDescent="0.55000000000000004">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c r="AJ410" s="235"/>
      <c r="AK410" s="235"/>
      <c r="AL410" s="235"/>
      <c r="AM410" s="235"/>
      <c r="AN410" s="235"/>
      <c r="AO410" s="235"/>
      <c r="AP410" s="235"/>
      <c r="AQ410" s="235"/>
    </row>
    <row r="411" spans="1:43" ht="15.75" customHeight="1" x14ac:dyDescent="0.55000000000000004">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c r="AJ411" s="235"/>
      <c r="AK411" s="235"/>
      <c r="AL411" s="235"/>
      <c r="AM411" s="235"/>
      <c r="AN411" s="235"/>
      <c r="AO411" s="235"/>
      <c r="AP411" s="235"/>
      <c r="AQ411" s="235"/>
    </row>
    <row r="412" spans="1:43" ht="15.75" customHeight="1" x14ac:dyDescent="0.55000000000000004">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c r="AJ412" s="235"/>
      <c r="AK412" s="235"/>
      <c r="AL412" s="235"/>
      <c r="AM412" s="235"/>
      <c r="AN412" s="235"/>
      <c r="AO412" s="235"/>
      <c r="AP412" s="235"/>
      <c r="AQ412" s="235"/>
    </row>
    <row r="413" spans="1:43" ht="15.75" customHeight="1" x14ac:dyDescent="0.55000000000000004">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c r="AJ413" s="235"/>
      <c r="AK413" s="235"/>
      <c r="AL413" s="235"/>
      <c r="AM413" s="235"/>
      <c r="AN413" s="235"/>
      <c r="AO413" s="235"/>
      <c r="AP413" s="235"/>
      <c r="AQ413" s="235"/>
    </row>
    <row r="414" spans="1:43" ht="15.75" customHeight="1" x14ac:dyDescent="0.55000000000000004">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c r="AJ414" s="235"/>
      <c r="AK414" s="235"/>
      <c r="AL414" s="235"/>
      <c r="AM414" s="235"/>
      <c r="AN414" s="235"/>
      <c r="AO414" s="235"/>
      <c r="AP414" s="235"/>
      <c r="AQ414" s="235"/>
    </row>
    <row r="415" spans="1:43" ht="15.75" customHeight="1" x14ac:dyDescent="0.55000000000000004">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c r="AJ415" s="235"/>
      <c r="AK415" s="235"/>
      <c r="AL415" s="235"/>
      <c r="AM415" s="235"/>
      <c r="AN415" s="235"/>
      <c r="AO415" s="235"/>
      <c r="AP415" s="235"/>
      <c r="AQ415" s="235"/>
    </row>
    <row r="416" spans="1:43" ht="15.75" customHeight="1" x14ac:dyDescent="0.55000000000000004">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c r="AJ416" s="235"/>
      <c r="AK416" s="235"/>
      <c r="AL416" s="235"/>
      <c r="AM416" s="235"/>
      <c r="AN416" s="235"/>
      <c r="AO416" s="235"/>
      <c r="AP416" s="235"/>
      <c r="AQ416" s="235"/>
    </row>
    <row r="417" spans="1:43" ht="15.75" customHeight="1" x14ac:dyDescent="0.55000000000000004">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c r="AJ417" s="235"/>
      <c r="AK417" s="235"/>
      <c r="AL417" s="235"/>
      <c r="AM417" s="235"/>
      <c r="AN417" s="235"/>
      <c r="AO417" s="235"/>
      <c r="AP417" s="235"/>
      <c r="AQ417" s="235"/>
    </row>
    <row r="418" spans="1:43" ht="15.75" customHeight="1" x14ac:dyDescent="0.55000000000000004">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c r="AJ418" s="235"/>
      <c r="AK418" s="235"/>
      <c r="AL418" s="235"/>
      <c r="AM418" s="235"/>
      <c r="AN418" s="235"/>
      <c r="AO418" s="235"/>
      <c r="AP418" s="235"/>
      <c r="AQ418" s="235"/>
    </row>
    <row r="419" spans="1:43" ht="15.75" customHeight="1" x14ac:dyDescent="0.55000000000000004">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c r="AJ419" s="235"/>
      <c r="AK419" s="235"/>
      <c r="AL419" s="235"/>
      <c r="AM419" s="235"/>
      <c r="AN419" s="235"/>
      <c r="AO419" s="235"/>
      <c r="AP419" s="235"/>
      <c r="AQ419" s="235"/>
    </row>
    <row r="420" spans="1:43" ht="15.75" customHeight="1" x14ac:dyDescent="0.55000000000000004">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c r="AJ420" s="235"/>
      <c r="AK420" s="235"/>
      <c r="AL420" s="235"/>
      <c r="AM420" s="235"/>
      <c r="AN420" s="235"/>
      <c r="AO420" s="235"/>
      <c r="AP420" s="235"/>
      <c r="AQ420" s="235"/>
    </row>
    <row r="421" spans="1:43" ht="15.75" customHeight="1" x14ac:dyDescent="0.55000000000000004">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c r="AJ421" s="235"/>
      <c r="AK421" s="235"/>
      <c r="AL421" s="235"/>
      <c r="AM421" s="235"/>
      <c r="AN421" s="235"/>
      <c r="AO421" s="235"/>
      <c r="AP421" s="235"/>
      <c r="AQ421" s="235"/>
    </row>
    <row r="422" spans="1:43" ht="15.75" customHeight="1" x14ac:dyDescent="0.55000000000000004">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c r="AJ422" s="235"/>
      <c r="AK422" s="235"/>
      <c r="AL422" s="235"/>
      <c r="AM422" s="235"/>
      <c r="AN422" s="235"/>
      <c r="AO422" s="235"/>
      <c r="AP422" s="235"/>
      <c r="AQ422" s="235"/>
    </row>
    <row r="423" spans="1:43" ht="15.75" customHeight="1" x14ac:dyDescent="0.55000000000000004">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c r="AJ423" s="235"/>
      <c r="AK423" s="235"/>
      <c r="AL423" s="235"/>
      <c r="AM423" s="235"/>
      <c r="AN423" s="235"/>
      <c r="AO423" s="235"/>
      <c r="AP423" s="235"/>
      <c r="AQ423" s="235"/>
    </row>
    <row r="424" spans="1:43" ht="15.75" customHeight="1" x14ac:dyDescent="0.55000000000000004">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c r="AJ424" s="235"/>
      <c r="AK424" s="235"/>
      <c r="AL424" s="235"/>
      <c r="AM424" s="235"/>
      <c r="AN424" s="235"/>
      <c r="AO424" s="235"/>
      <c r="AP424" s="235"/>
      <c r="AQ424" s="235"/>
    </row>
    <row r="425" spans="1:43" ht="15.75" customHeight="1" x14ac:dyDescent="0.55000000000000004">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c r="AJ425" s="235"/>
      <c r="AK425" s="235"/>
      <c r="AL425" s="235"/>
      <c r="AM425" s="235"/>
      <c r="AN425" s="235"/>
      <c r="AO425" s="235"/>
      <c r="AP425" s="235"/>
      <c r="AQ425" s="235"/>
    </row>
    <row r="426" spans="1:43" ht="15.75" customHeight="1" x14ac:dyDescent="0.55000000000000004">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c r="AJ426" s="235"/>
      <c r="AK426" s="235"/>
      <c r="AL426" s="235"/>
      <c r="AM426" s="235"/>
      <c r="AN426" s="235"/>
      <c r="AO426" s="235"/>
      <c r="AP426" s="235"/>
      <c r="AQ426" s="235"/>
    </row>
    <row r="427" spans="1:43" ht="15.75" customHeight="1" x14ac:dyDescent="0.55000000000000004">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c r="AJ427" s="235"/>
      <c r="AK427" s="235"/>
      <c r="AL427" s="235"/>
      <c r="AM427" s="235"/>
      <c r="AN427" s="235"/>
      <c r="AO427" s="235"/>
      <c r="AP427" s="235"/>
      <c r="AQ427" s="235"/>
    </row>
    <row r="428" spans="1:43" ht="15.75" customHeight="1" x14ac:dyDescent="0.55000000000000004">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c r="AJ428" s="235"/>
      <c r="AK428" s="235"/>
      <c r="AL428" s="235"/>
      <c r="AM428" s="235"/>
      <c r="AN428" s="235"/>
      <c r="AO428" s="235"/>
      <c r="AP428" s="235"/>
      <c r="AQ428" s="235"/>
    </row>
    <row r="429" spans="1:43" ht="15.75" customHeight="1" x14ac:dyDescent="0.55000000000000004">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c r="AJ429" s="235"/>
      <c r="AK429" s="235"/>
      <c r="AL429" s="235"/>
      <c r="AM429" s="235"/>
      <c r="AN429" s="235"/>
      <c r="AO429" s="235"/>
      <c r="AP429" s="235"/>
      <c r="AQ429" s="235"/>
    </row>
    <row r="430" spans="1:43" ht="15.75" customHeight="1" x14ac:dyDescent="0.55000000000000004">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c r="AJ430" s="235"/>
      <c r="AK430" s="235"/>
      <c r="AL430" s="235"/>
      <c r="AM430" s="235"/>
      <c r="AN430" s="235"/>
      <c r="AO430" s="235"/>
      <c r="AP430" s="235"/>
      <c r="AQ430" s="235"/>
    </row>
    <row r="431" spans="1:43" ht="15.75" customHeight="1" x14ac:dyDescent="0.55000000000000004">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c r="AJ431" s="235"/>
      <c r="AK431" s="235"/>
      <c r="AL431" s="235"/>
      <c r="AM431" s="235"/>
      <c r="AN431" s="235"/>
      <c r="AO431" s="235"/>
      <c r="AP431" s="235"/>
      <c r="AQ431" s="235"/>
    </row>
    <row r="432" spans="1:43" ht="15.75" customHeight="1" x14ac:dyDescent="0.55000000000000004">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c r="AJ432" s="235"/>
      <c r="AK432" s="235"/>
      <c r="AL432" s="235"/>
      <c r="AM432" s="235"/>
      <c r="AN432" s="235"/>
      <c r="AO432" s="235"/>
      <c r="AP432" s="235"/>
      <c r="AQ432" s="235"/>
    </row>
    <row r="433" spans="1:43" ht="15.75" customHeight="1" x14ac:dyDescent="0.55000000000000004">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c r="AJ433" s="235"/>
      <c r="AK433" s="235"/>
      <c r="AL433" s="235"/>
      <c r="AM433" s="235"/>
      <c r="AN433" s="235"/>
      <c r="AO433" s="235"/>
      <c r="AP433" s="235"/>
      <c r="AQ433" s="235"/>
    </row>
    <row r="434" spans="1:43" ht="15.75" customHeight="1" x14ac:dyDescent="0.55000000000000004">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c r="AJ434" s="235"/>
      <c r="AK434" s="235"/>
      <c r="AL434" s="235"/>
      <c r="AM434" s="235"/>
      <c r="AN434" s="235"/>
      <c r="AO434" s="235"/>
      <c r="AP434" s="235"/>
      <c r="AQ434" s="235"/>
    </row>
    <row r="435" spans="1:43" ht="15.75" customHeight="1" x14ac:dyDescent="0.55000000000000004">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c r="AJ435" s="235"/>
      <c r="AK435" s="235"/>
      <c r="AL435" s="235"/>
      <c r="AM435" s="235"/>
      <c r="AN435" s="235"/>
      <c r="AO435" s="235"/>
      <c r="AP435" s="235"/>
      <c r="AQ435" s="235"/>
    </row>
    <row r="436" spans="1:43" ht="15.75" customHeight="1" x14ac:dyDescent="0.55000000000000004">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c r="AJ436" s="235"/>
      <c r="AK436" s="235"/>
      <c r="AL436" s="235"/>
      <c r="AM436" s="235"/>
      <c r="AN436" s="235"/>
      <c r="AO436" s="235"/>
      <c r="AP436" s="235"/>
      <c r="AQ436" s="235"/>
    </row>
    <row r="437" spans="1:43" ht="15.75" customHeight="1" x14ac:dyDescent="0.55000000000000004">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c r="AJ437" s="235"/>
      <c r="AK437" s="235"/>
      <c r="AL437" s="235"/>
      <c r="AM437" s="235"/>
      <c r="AN437" s="235"/>
      <c r="AO437" s="235"/>
      <c r="AP437" s="235"/>
      <c r="AQ437" s="235"/>
    </row>
    <row r="438" spans="1:43" ht="15.75" customHeight="1" x14ac:dyDescent="0.55000000000000004">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c r="AA438" s="235"/>
      <c r="AB438" s="235"/>
      <c r="AC438" s="235"/>
      <c r="AD438" s="235"/>
      <c r="AE438" s="235"/>
      <c r="AF438" s="235"/>
      <c r="AG438" s="235"/>
      <c r="AH438" s="235"/>
      <c r="AI438" s="235"/>
      <c r="AJ438" s="235"/>
      <c r="AK438" s="235"/>
      <c r="AL438" s="235"/>
      <c r="AM438" s="235"/>
      <c r="AN438" s="235"/>
      <c r="AO438" s="235"/>
      <c r="AP438" s="235"/>
      <c r="AQ438" s="235"/>
    </row>
    <row r="439" spans="1:43" ht="15.75" customHeight="1" x14ac:dyDescent="0.55000000000000004">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c r="AJ439" s="235"/>
      <c r="AK439" s="235"/>
      <c r="AL439" s="235"/>
      <c r="AM439" s="235"/>
      <c r="AN439" s="235"/>
      <c r="AO439" s="235"/>
      <c r="AP439" s="235"/>
      <c r="AQ439" s="235"/>
    </row>
    <row r="440" spans="1:43" ht="15.75" customHeight="1" x14ac:dyDescent="0.55000000000000004">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c r="AJ440" s="235"/>
      <c r="AK440" s="235"/>
      <c r="AL440" s="235"/>
      <c r="AM440" s="235"/>
      <c r="AN440" s="235"/>
      <c r="AO440" s="235"/>
      <c r="AP440" s="235"/>
      <c r="AQ440" s="235"/>
    </row>
    <row r="441" spans="1:43" ht="15.75" customHeight="1" x14ac:dyDescent="0.55000000000000004">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c r="AJ441" s="235"/>
      <c r="AK441" s="235"/>
      <c r="AL441" s="235"/>
      <c r="AM441" s="235"/>
      <c r="AN441" s="235"/>
      <c r="AO441" s="235"/>
      <c r="AP441" s="235"/>
      <c r="AQ441" s="235"/>
    </row>
    <row r="442" spans="1:43" ht="15.75" customHeight="1" x14ac:dyDescent="0.55000000000000004">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c r="AJ442" s="235"/>
      <c r="AK442" s="235"/>
      <c r="AL442" s="235"/>
      <c r="AM442" s="235"/>
      <c r="AN442" s="235"/>
      <c r="AO442" s="235"/>
      <c r="AP442" s="235"/>
      <c r="AQ442" s="235"/>
    </row>
    <row r="443" spans="1:43" ht="15.75" customHeight="1" x14ac:dyDescent="0.55000000000000004">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c r="AJ443" s="235"/>
      <c r="AK443" s="235"/>
      <c r="AL443" s="235"/>
      <c r="AM443" s="235"/>
      <c r="AN443" s="235"/>
      <c r="AO443" s="235"/>
      <c r="AP443" s="235"/>
      <c r="AQ443" s="235"/>
    </row>
    <row r="444" spans="1:43" ht="15.75" customHeight="1" x14ac:dyDescent="0.55000000000000004">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c r="AJ444" s="235"/>
      <c r="AK444" s="235"/>
      <c r="AL444" s="235"/>
      <c r="AM444" s="235"/>
      <c r="AN444" s="235"/>
      <c r="AO444" s="235"/>
      <c r="AP444" s="235"/>
      <c r="AQ444" s="235"/>
    </row>
    <row r="445" spans="1:43" ht="15.75" customHeight="1" x14ac:dyDescent="0.55000000000000004">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c r="AJ445" s="235"/>
      <c r="AK445" s="235"/>
      <c r="AL445" s="235"/>
      <c r="AM445" s="235"/>
      <c r="AN445" s="235"/>
      <c r="AO445" s="235"/>
      <c r="AP445" s="235"/>
      <c r="AQ445" s="235"/>
    </row>
    <row r="446" spans="1:43" ht="15.75" customHeight="1" x14ac:dyDescent="0.55000000000000004">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c r="AJ446" s="235"/>
      <c r="AK446" s="235"/>
      <c r="AL446" s="235"/>
      <c r="AM446" s="235"/>
      <c r="AN446" s="235"/>
      <c r="AO446" s="235"/>
      <c r="AP446" s="235"/>
      <c r="AQ446" s="235"/>
    </row>
    <row r="447" spans="1:43" ht="15.75" customHeight="1" x14ac:dyDescent="0.55000000000000004">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c r="AJ447" s="235"/>
      <c r="AK447" s="235"/>
      <c r="AL447" s="235"/>
      <c r="AM447" s="235"/>
      <c r="AN447" s="235"/>
      <c r="AO447" s="235"/>
      <c r="AP447" s="235"/>
      <c r="AQ447" s="235"/>
    </row>
    <row r="448" spans="1:43" ht="15.75" customHeight="1" x14ac:dyDescent="0.55000000000000004">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c r="AA448" s="235"/>
      <c r="AB448" s="235"/>
      <c r="AC448" s="235"/>
      <c r="AD448" s="235"/>
      <c r="AE448" s="235"/>
      <c r="AF448" s="235"/>
      <c r="AG448" s="235"/>
      <c r="AH448" s="235"/>
      <c r="AI448" s="235"/>
      <c r="AJ448" s="235"/>
      <c r="AK448" s="235"/>
      <c r="AL448" s="235"/>
      <c r="AM448" s="235"/>
      <c r="AN448" s="235"/>
      <c r="AO448" s="235"/>
      <c r="AP448" s="235"/>
      <c r="AQ448" s="235"/>
    </row>
    <row r="449" spans="1:43" ht="15.75" customHeight="1" x14ac:dyDescent="0.55000000000000004">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c r="AA449" s="235"/>
      <c r="AB449" s="235"/>
      <c r="AC449" s="235"/>
      <c r="AD449" s="235"/>
      <c r="AE449" s="235"/>
      <c r="AF449" s="235"/>
      <c r="AG449" s="235"/>
      <c r="AH449" s="235"/>
      <c r="AI449" s="235"/>
      <c r="AJ449" s="235"/>
      <c r="AK449" s="235"/>
      <c r="AL449" s="235"/>
      <c r="AM449" s="235"/>
      <c r="AN449" s="235"/>
      <c r="AO449" s="235"/>
      <c r="AP449" s="235"/>
      <c r="AQ449" s="235"/>
    </row>
    <row r="450" spans="1:43" ht="15.75" customHeight="1" x14ac:dyDescent="0.55000000000000004">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c r="AA450" s="235"/>
      <c r="AB450" s="235"/>
      <c r="AC450" s="235"/>
      <c r="AD450" s="235"/>
      <c r="AE450" s="235"/>
      <c r="AF450" s="235"/>
      <c r="AG450" s="235"/>
      <c r="AH450" s="235"/>
      <c r="AI450" s="235"/>
      <c r="AJ450" s="235"/>
      <c r="AK450" s="235"/>
      <c r="AL450" s="235"/>
      <c r="AM450" s="235"/>
      <c r="AN450" s="235"/>
      <c r="AO450" s="235"/>
      <c r="AP450" s="235"/>
      <c r="AQ450" s="235"/>
    </row>
    <row r="451" spans="1:43" ht="15.75" customHeight="1" x14ac:dyDescent="0.55000000000000004">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c r="AA451" s="235"/>
      <c r="AB451" s="235"/>
      <c r="AC451" s="235"/>
      <c r="AD451" s="235"/>
      <c r="AE451" s="235"/>
      <c r="AF451" s="235"/>
      <c r="AG451" s="235"/>
      <c r="AH451" s="235"/>
      <c r="AI451" s="235"/>
      <c r="AJ451" s="235"/>
      <c r="AK451" s="235"/>
      <c r="AL451" s="235"/>
      <c r="AM451" s="235"/>
      <c r="AN451" s="235"/>
      <c r="AO451" s="235"/>
      <c r="AP451" s="235"/>
      <c r="AQ451" s="235"/>
    </row>
    <row r="452" spans="1:43" ht="15.75" customHeight="1" x14ac:dyDescent="0.55000000000000004">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c r="AA452" s="235"/>
      <c r="AB452" s="235"/>
      <c r="AC452" s="235"/>
      <c r="AD452" s="235"/>
      <c r="AE452" s="235"/>
      <c r="AF452" s="235"/>
      <c r="AG452" s="235"/>
      <c r="AH452" s="235"/>
      <c r="AI452" s="235"/>
      <c r="AJ452" s="235"/>
      <c r="AK452" s="235"/>
      <c r="AL452" s="235"/>
      <c r="AM452" s="235"/>
      <c r="AN452" s="235"/>
      <c r="AO452" s="235"/>
      <c r="AP452" s="235"/>
      <c r="AQ452" s="235"/>
    </row>
    <row r="453" spans="1:43" ht="15.75" customHeight="1" x14ac:dyDescent="0.55000000000000004">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c r="AJ453" s="235"/>
      <c r="AK453" s="235"/>
      <c r="AL453" s="235"/>
      <c r="AM453" s="235"/>
      <c r="AN453" s="235"/>
      <c r="AO453" s="235"/>
      <c r="AP453" s="235"/>
      <c r="AQ453" s="235"/>
    </row>
    <row r="454" spans="1:43" ht="15.75" customHeight="1" x14ac:dyDescent="0.55000000000000004">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c r="AJ454" s="235"/>
      <c r="AK454" s="235"/>
      <c r="AL454" s="235"/>
      <c r="AM454" s="235"/>
      <c r="AN454" s="235"/>
      <c r="AO454" s="235"/>
      <c r="AP454" s="235"/>
      <c r="AQ454" s="235"/>
    </row>
    <row r="455" spans="1:43" ht="15.75" customHeight="1" x14ac:dyDescent="0.55000000000000004">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c r="AJ455" s="235"/>
      <c r="AK455" s="235"/>
      <c r="AL455" s="235"/>
      <c r="AM455" s="235"/>
      <c r="AN455" s="235"/>
      <c r="AO455" s="235"/>
      <c r="AP455" s="235"/>
      <c r="AQ455" s="235"/>
    </row>
    <row r="456" spans="1:43" ht="15.75" customHeight="1" x14ac:dyDescent="0.55000000000000004">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c r="AJ456" s="235"/>
      <c r="AK456" s="235"/>
      <c r="AL456" s="235"/>
      <c r="AM456" s="235"/>
      <c r="AN456" s="235"/>
      <c r="AO456" s="235"/>
      <c r="AP456" s="235"/>
      <c r="AQ456" s="235"/>
    </row>
    <row r="457" spans="1:43" ht="15.75" customHeight="1" x14ac:dyDescent="0.55000000000000004">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c r="AJ457" s="235"/>
      <c r="AK457" s="235"/>
      <c r="AL457" s="235"/>
      <c r="AM457" s="235"/>
      <c r="AN457" s="235"/>
      <c r="AO457" s="235"/>
      <c r="AP457" s="235"/>
      <c r="AQ457" s="235"/>
    </row>
    <row r="458" spans="1:43" ht="15.75" customHeight="1" x14ac:dyDescent="0.55000000000000004">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c r="AJ458" s="235"/>
      <c r="AK458" s="235"/>
      <c r="AL458" s="235"/>
      <c r="AM458" s="235"/>
      <c r="AN458" s="235"/>
      <c r="AO458" s="235"/>
      <c r="AP458" s="235"/>
      <c r="AQ458" s="235"/>
    </row>
    <row r="459" spans="1:43" ht="15.75" customHeight="1" x14ac:dyDescent="0.55000000000000004">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c r="AJ459" s="235"/>
      <c r="AK459" s="235"/>
      <c r="AL459" s="235"/>
      <c r="AM459" s="235"/>
      <c r="AN459" s="235"/>
      <c r="AO459" s="235"/>
      <c r="AP459" s="235"/>
      <c r="AQ459" s="235"/>
    </row>
    <row r="460" spans="1:43" ht="15.75" customHeight="1" x14ac:dyDescent="0.55000000000000004">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c r="AJ460" s="235"/>
      <c r="AK460" s="235"/>
      <c r="AL460" s="235"/>
      <c r="AM460" s="235"/>
      <c r="AN460" s="235"/>
      <c r="AO460" s="235"/>
      <c r="AP460" s="235"/>
      <c r="AQ460" s="235"/>
    </row>
    <row r="461" spans="1:43" ht="15.75" customHeight="1" x14ac:dyDescent="0.55000000000000004">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c r="AJ461" s="235"/>
      <c r="AK461" s="235"/>
      <c r="AL461" s="235"/>
      <c r="AM461" s="235"/>
      <c r="AN461" s="235"/>
      <c r="AO461" s="235"/>
      <c r="AP461" s="235"/>
      <c r="AQ461" s="235"/>
    </row>
    <row r="462" spans="1:43" ht="15.75" customHeight="1" x14ac:dyDescent="0.55000000000000004">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c r="AJ462" s="235"/>
      <c r="AK462" s="235"/>
      <c r="AL462" s="235"/>
      <c r="AM462" s="235"/>
      <c r="AN462" s="235"/>
      <c r="AO462" s="235"/>
      <c r="AP462" s="235"/>
      <c r="AQ462" s="235"/>
    </row>
    <row r="463" spans="1:43" ht="15.75" customHeight="1" x14ac:dyDescent="0.55000000000000004">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c r="AJ463" s="235"/>
      <c r="AK463" s="235"/>
      <c r="AL463" s="235"/>
      <c r="AM463" s="235"/>
      <c r="AN463" s="235"/>
      <c r="AO463" s="235"/>
      <c r="AP463" s="235"/>
      <c r="AQ463" s="235"/>
    </row>
    <row r="464" spans="1:43" ht="15.75" customHeight="1" x14ac:dyDescent="0.55000000000000004">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c r="AJ464" s="235"/>
      <c r="AK464" s="235"/>
      <c r="AL464" s="235"/>
      <c r="AM464" s="235"/>
      <c r="AN464" s="235"/>
      <c r="AO464" s="235"/>
      <c r="AP464" s="235"/>
      <c r="AQ464" s="235"/>
    </row>
    <row r="465" spans="1:43" ht="15.75" customHeight="1" x14ac:dyDescent="0.55000000000000004">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c r="AJ465" s="235"/>
      <c r="AK465" s="235"/>
      <c r="AL465" s="235"/>
      <c r="AM465" s="235"/>
      <c r="AN465" s="235"/>
      <c r="AO465" s="235"/>
      <c r="AP465" s="235"/>
      <c r="AQ465" s="235"/>
    </row>
    <row r="466" spans="1:43" ht="15.75" customHeight="1" x14ac:dyDescent="0.55000000000000004">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c r="AJ466" s="235"/>
      <c r="AK466" s="235"/>
      <c r="AL466" s="235"/>
      <c r="AM466" s="235"/>
      <c r="AN466" s="235"/>
      <c r="AO466" s="235"/>
      <c r="AP466" s="235"/>
      <c r="AQ466" s="235"/>
    </row>
    <row r="467" spans="1:43" ht="15.75" customHeight="1" x14ac:dyDescent="0.55000000000000004">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c r="AJ467" s="235"/>
      <c r="AK467" s="235"/>
      <c r="AL467" s="235"/>
      <c r="AM467" s="235"/>
      <c r="AN467" s="235"/>
      <c r="AO467" s="235"/>
      <c r="AP467" s="235"/>
      <c r="AQ467" s="235"/>
    </row>
    <row r="468" spans="1:43" ht="15.75" customHeight="1" x14ac:dyDescent="0.55000000000000004">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c r="AJ468" s="235"/>
      <c r="AK468" s="235"/>
      <c r="AL468" s="235"/>
      <c r="AM468" s="235"/>
      <c r="AN468" s="235"/>
      <c r="AO468" s="235"/>
      <c r="AP468" s="235"/>
      <c r="AQ468" s="235"/>
    </row>
    <row r="469" spans="1:43" ht="15.75" customHeight="1" x14ac:dyDescent="0.55000000000000004">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c r="AJ469" s="235"/>
      <c r="AK469" s="235"/>
      <c r="AL469" s="235"/>
      <c r="AM469" s="235"/>
      <c r="AN469" s="235"/>
      <c r="AO469" s="235"/>
      <c r="AP469" s="235"/>
      <c r="AQ469" s="235"/>
    </row>
    <row r="470" spans="1:43" ht="15.75" customHeight="1" x14ac:dyDescent="0.55000000000000004">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c r="AJ470" s="235"/>
      <c r="AK470" s="235"/>
      <c r="AL470" s="235"/>
      <c r="AM470" s="235"/>
      <c r="AN470" s="235"/>
      <c r="AO470" s="235"/>
      <c r="AP470" s="235"/>
      <c r="AQ470" s="235"/>
    </row>
    <row r="471" spans="1:43" ht="15.75" customHeight="1" x14ac:dyDescent="0.55000000000000004">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c r="AJ471" s="235"/>
      <c r="AK471" s="235"/>
      <c r="AL471" s="235"/>
      <c r="AM471" s="235"/>
      <c r="AN471" s="235"/>
      <c r="AO471" s="235"/>
      <c r="AP471" s="235"/>
      <c r="AQ471" s="235"/>
    </row>
    <row r="472" spans="1:43" ht="15.75" customHeight="1" x14ac:dyDescent="0.55000000000000004">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c r="AJ472" s="235"/>
      <c r="AK472" s="235"/>
      <c r="AL472" s="235"/>
      <c r="AM472" s="235"/>
      <c r="AN472" s="235"/>
      <c r="AO472" s="235"/>
      <c r="AP472" s="235"/>
      <c r="AQ472" s="235"/>
    </row>
    <row r="473" spans="1:43" ht="15.75" customHeight="1" x14ac:dyDescent="0.55000000000000004">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c r="AJ473" s="235"/>
      <c r="AK473" s="235"/>
      <c r="AL473" s="235"/>
      <c r="AM473" s="235"/>
      <c r="AN473" s="235"/>
      <c r="AO473" s="235"/>
      <c r="AP473" s="235"/>
      <c r="AQ473" s="235"/>
    </row>
    <row r="474" spans="1:43" ht="15.75" customHeight="1" x14ac:dyDescent="0.55000000000000004">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c r="AJ474" s="235"/>
      <c r="AK474" s="235"/>
      <c r="AL474" s="235"/>
      <c r="AM474" s="235"/>
      <c r="AN474" s="235"/>
      <c r="AO474" s="235"/>
      <c r="AP474" s="235"/>
      <c r="AQ474" s="235"/>
    </row>
    <row r="475" spans="1:43" ht="15.75" customHeight="1" x14ac:dyDescent="0.55000000000000004">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c r="AJ475" s="235"/>
      <c r="AK475" s="235"/>
      <c r="AL475" s="235"/>
      <c r="AM475" s="235"/>
      <c r="AN475" s="235"/>
      <c r="AO475" s="235"/>
      <c r="AP475" s="235"/>
      <c r="AQ475" s="235"/>
    </row>
    <row r="476" spans="1:43" ht="15.75" customHeight="1" x14ac:dyDescent="0.55000000000000004">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c r="AJ476" s="235"/>
      <c r="AK476" s="235"/>
      <c r="AL476" s="235"/>
      <c r="AM476" s="235"/>
      <c r="AN476" s="235"/>
      <c r="AO476" s="235"/>
      <c r="AP476" s="235"/>
      <c r="AQ476" s="235"/>
    </row>
    <row r="477" spans="1:43" ht="15.75" customHeight="1" x14ac:dyDescent="0.55000000000000004">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c r="AJ477" s="235"/>
      <c r="AK477" s="235"/>
      <c r="AL477" s="235"/>
      <c r="AM477" s="235"/>
      <c r="AN477" s="235"/>
      <c r="AO477" s="235"/>
      <c r="AP477" s="235"/>
      <c r="AQ477" s="235"/>
    </row>
    <row r="478" spans="1:43" ht="15.75" customHeight="1" x14ac:dyDescent="0.55000000000000004">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c r="AJ478" s="235"/>
      <c r="AK478" s="235"/>
      <c r="AL478" s="235"/>
      <c r="AM478" s="235"/>
      <c r="AN478" s="235"/>
      <c r="AO478" s="235"/>
      <c r="AP478" s="235"/>
      <c r="AQ478" s="235"/>
    </row>
    <row r="479" spans="1:43" ht="15.75" customHeight="1" x14ac:dyDescent="0.55000000000000004">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c r="AJ479" s="235"/>
      <c r="AK479" s="235"/>
      <c r="AL479" s="235"/>
      <c r="AM479" s="235"/>
      <c r="AN479" s="235"/>
      <c r="AO479" s="235"/>
      <c r="AP479" s="235"/>
      <c r="AQ479" s="235"/>
    </row>
    <row r="480" spans="1:43" ht="15.75" customHeight="1" x14ac:dyDescent="0.55000000000000004">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c r="AJ480" s="235"/>
      <c r="AK480" s="235"/>
      <c r="AL480" s="235"/>
      <c r="AM480" s="235"/>
      <c r="AN480" s="235"/>
      <c r="AO480" s="235"/>
      <c r="AP480" s="235"/>
      <c r="AQ480" s="235"/>
    </row>
    <row r="481" spans="1:43" ht="15.75" customHeight="1" x14ac:dyDescent="0.55000000000000004">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c r="AJ481" s="235"/>
      <c r="AK481" s="235"/>
      <c r="AL481" s="235"/>
      <c r="AM481" s="235"/>
      <c r="AN481" s="235"/>
      <c r="AO481" s="235"/>
      <c r="AP481" s="235"/>
      <c r="AQ481" s="235"/>
    </row>
    <row r="482" spans="1:43" ht="15.75" customHeight="1" x14ac:dyDescent="0.55000000000000004">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c r="AJ482" s="235"/>
      <c r="AK482" s="235"/>
      <c r="AL482" s="235"/>
      <c r="AM482" s="235"/>
      <c r="AN482" s="235"/>
      <c r="AO482" s="235"/>
      <c r="AP482" s="235"/>
      <c r="AQ482" s="235"/>
    </row>
    <row r="483" spans="1:43" ht="15.75" customHeight="1" x14ac:dyDescent="0.55000000000000004">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c r="AJ483" s="235"/>
      <c r="AK483" s="235"/>
      <c r="AL483" s="235"/>
      <c r="AM483" s="235"/>
      <c r="AN483" s="235"/>
      <c r="AO483" s="235"/>
      <c r="AP483" s="235"/>
      <c r="AQ483" s="235"/>
    </row>
    <row r="484" spans="1:43" ht="15.75" customHeight="1" x14ac:dyDescent="0.55000000000000004">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c r="AJ484" s="235"/>
      <c r="AK484" s="235"/>
      <c r="AL484" s="235"/>
      <c r="AM484" s="235"/>
      <c r="AN484" s="235"/>
      <c r="AO484" s="235"/>
      <c r="AP484" s="235"/>
      <c r="AQ484" s="235"/>
    </row>
    <row r="485" spans="1:43" ht="15.75" customHeight="1" x14ac:dyDescent="0.55000000000000004">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c r="AJ485" s="235"/>
      <c r="AK485" s="235"/>
      <c r="AL485" s="235"/>
      <c r="AM485" s="235"/>
      <c r="AN485" s="235"/>
      <c r="AO485" s="235"/>
      <c r="AP485" s="235"/>
      <c r="AQ485" s="235"/>
    </row>
    <row r="486" spans="1:43" ht="15.75" customHeight="1" x14ac:dyDescent="0.55000000000000004">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c r="AJ486" s="235"/>
      <c r="AK486" s="235"/>
      <c r="AL486" s="235"/>
      <c r="AM486" s="235"/>
      <c r="AN486" s="235"/>
      <c r="AO486" s="235"/>
      <c r="AP486" s="235"/>
      <c r="AQ486" s="235"/>
    </row>
    <row r="487" spans="1:43" ht="15.75" customHeight="1" x14ac:dyDescent="0.55000000000000004">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c r="AJ487" s="235"/>
      <c r="AK487" s="235"/>
      <c r="AL487" s="235"/>
      <c r="AM487" s="235"/>
      <c r="AN487" s="235"/>
      <c r="AO487" s="235"/>
      <c r="AP487" s="235"/>
      <c r="AQ487" s="235"/>
    </row>
    <row r="488" spans="1:43" ht="15.75" customHeight="1" x14ac:dyDescent="0.55000000000000004">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c r="AJ488" s="235"/>
      <c r="AK488" s="235"/>
      <c r="AL488" s="235"/>
      <c r="AM488" s="235"/>
      <c r="AN488" s="235"/>
      <c r="AO488" s="235"/>
      <c r="AP488" s="235"/>
      <c r="AQ488" s="235"/>
    </row>
    <row r="489" spans="1:43" ht="15.75" customHeight="1" x14ac:dyDescent="0.55000000000000004">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c r="AJ489" s="235"/>
      <c r="AK489" s="235"/>
      <c r="AL489" s="235"/>
      <c r="AM489" s="235"/>
      <c r="AN489" s="235"/>
      <c r="AO489" s="235"/>
      <c r="AP489" s="235"/>
      <c r="AQ489" s="235"/>
    </row>
    <row r="490" spans="1:43" ht="15.75" customHeight="1" x14ac:dyDescent="0.55000000000000004">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c r="AJ490" s="235"/>
      <c r="AK490" s="235"/>
      <c r="AL490" s="235"/>
      <c r="AM490" s="235"/>
      <c r="AN490" s="235"/>
      <c r="AO490" s="235"/>
      <c r="AP490" s="235"/>
      <c r="AQ490" s="235"/>
    </row>
    <row r="491" spans="1:43" ht="15.75" customHeight="1" x14ac:dyDescent="0.55000000000000004">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c r="AJ491" s="235"/>
      <c r="AK491" s="235"/>
      <c r="AL491" s="235"/>
      <c r="AM491" s="235"/>
      <c r="AN491" s="235"/>
      <c r="AO491" s="235"/>
      <c r="AP491" s="235"/>
      <c r="AQ491" s="235"/>
    </row>
    <row r="492" spans="1:43" ht="15.75" customHeight="1" x14ac:dyDescent="0.55000000000000004">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c r="AJ492" s="235"/>
      <c r="AK492" s="235"/>
      <c r="AL492" s="235"/>
      <c r="AM492" s="235"/>
      <c r="AN492" s="235"/>
      <c r="AO492" s="235"/>
      <c r="AP492" s="235"/>
      <c r="AQ492" s="235"/>
    </row>
    <row r="493" spans="1:43" ht="15.75" customHeight="1" x14ac:dyDescent="0.55000000000000004">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c r="AJ493" s="235"/>
      <c r="AK493" s="235"/>
      <c r="AL493" s="235"/>
      <c r="AM493" s="235"/>
      <c r="AN493" s="235"/>
      <c r="AO493" s="235"/>
      <c r="AP493" s="235"/>
      <c r="AQ493" s="235"/>
    </row>
    <row r="494" spans="1:43" ht="15.75" customHeight="1" x14ac:dyDescent="0.55000000000000004">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c r="AJ494" s="235"/>
      <c r="AK494" s="235"/>
      <c r="AL494" s="235"/>
      <c r="AM494" s="235"/>
      <c r="AN494" s="235"/>
      <c r="AO494" s="235"/>
      <c r="AP494" s="235"/>
      <c r="AQ494" s="235"/>
    </row>
    <row r="495" spans="1:43" ht="15.75" customHeight="1" x14ac:dyDescent="0.55000000000000004">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c r="AJ495" s="235"/>
      <c r="AK495" s="235"/>
      <c r="AL495" s="235"/>
      <c r="AM495" s="235"/>
      <c r="AN495" s="235"/>
      <c r="AO495" s="235"/>
      <c r="AP495" s="235"/>
      <c r="AQ495" s="235"/>
    </row>
    <row r="496" spans="1:43" ht="15.75" customHeight="1" x14ac:dyDescent="0.55000000000000004">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c r="AJ496" s="235"/>
      <c r="AK496" s="235"/>
      <c r="AL496" s="235"/>
      <c r="AM496" s="235"/>
      <c r="AN496" s="235"/>
      <c r="AO496" s="235"/>
      <c r="AP496" s="235"/>
      <c r="AQ496" s="235"/>
    </row>
    <row r="497" spans="1:43" ht="15.75" customHeight="1" x14ac:dyDescent="0.55000000000000004">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c r="AJ497" s="235"/>
      <c r="AK497" s="235"/>
      <c r="AL497" s="235"/>
      <c r="AM497" s="235"/>
      <c r="AN497" s="235"/>
      <c r="AO497" s="235"/>
      <c r="AP497" s="235"/>
      <c r="AQ497" s="235"/>
    </row>
    <row r="498" spans="1:43" ht="15.75" customHeight="1" x14ac:dyDescent="0.55000000000000004">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c r="AJ498" s="235"/>
      <c r="AK498" s="235"/>
      <c r="AL498" s="235"/>
      <c r="AM498" s="235"/>
      <c r="AN498" s="235"/>
      <c r="AO498" s="235"/>
      <c r="AP498" s="235"/>
      <c r="AQ498" s="235"/>
    </row>
    <row r="499" spans="1:43" ht="15.75" customHeight="1" x14ac:dyDescent="0.55000000000000004">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c r="AJ499" s="235"/>
      <c r="AK499" s="235"/>
      <c r="AL499" s="235"/>
      <c r="AM499" s="235"/>
      <c r="AN499" s="235"/>
      <c r="AO499" s="235"/>
      <c r="AP499" s="235"/>
      <c r="AQ499" s="235"/>
    </row>
    <row r="500" spans="1:43" ht="15.75" customHeight="1" x14ac:dyDescent="0.55000000000000004">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c r="AJ500" s="235"/>
      <c r="AK500" s="235"/>
      <c r="AL500" s="235"/>
      <c r="AM500" s="235"/>
      <c r="AN500" s="235"/>
      <c r="AO500" s="235"/>
      <c r="AP500" s="235"/>
      <c r="AQ500" s="235"/>
    </row>
    <row r="501" spans="1:43" ht="15.75" customHeight="1" x14ac:dyDescent="0.55000000000000004">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c r="AJ501" s="235"/>
      <c r="AK501" s="235"/>
      <c r="AL501" s="235"/>
      <c r="AM501" s="235"/>
      <c r="AN501" s="235"/>
      <c r="AO501" s="235"/>
      <c r="AP501" s="235"/>
      <c r="AQ501" s="235"/>
    </row>
    <row r="502" spans="1:43" ht="15.75" customHeight="1" x14ac:dyDescent="0.55000000000000004">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c r="AJ502" s="235"/>
      <c r="AK502" s="235"/>
      <c r="AL502" s="235"/>
      <c r="AM502" s="235"/>
      <c r="AN502" s="235"/>
      <c r="AO502" s="235"/>
      <c r="AP502" s="235"/>
      <c r="AQ502" s="235"/>
    </row>
    <row r="503" spans="1:43" ht="15.75" customHeight="1" x14ac:dyDescent="0.55000000000000004">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c r="AJ503" s="235"/>
      <c r="AK503" s="235"/>
      <c r="AL503" s="235"/>
      <c r="AM503" s="235"/>
      <c r="AN503" s="235"/>
      <c r="AO503" s="235"/>
      <c r="AP503" s="235"/>
      <c r="AQ503" s="235"/>
    </row>
    <row r="504" spans="1:43" ht="15.75" customHeight="1" x14ac:dyDescent="0.55000000000000004">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c r="AJ504" s="235"/>
      <c r="AK504" s="235"/>
      <c r="AL504" s="235"/>
      <c r="AM504" s="235"/>
      <c r="AN504" s="235"/>
      <c r="AO504" s="235"/>
      <c r="AP504" s="235"/>
      <c r="AQ504" s="235"/>
    </row>
    <row r="505" spans="1:43" ht="15.75" customHeight="1" x14ac:dyDescent="0.55000000000000004">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c r="AJ505" s="235"/>
      <c r="AK505" s="235"/>
      <c r="AL505" s="235"/>
      <c r="AM505" s="235"/>
      <c r="AN505" s="235"/>
      <c r="AO505" s="235"/>
      <c r="AP505" s="235"/>
      <c r="AQ505" s="235"/>
    </row>
    <row r="506" spans="1:43" ht="15.75" customHeight="1" x14ac:dyDescent="0.55000000000000004">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c r="AA506" s="235"/>
      <c r="AB506" s="235"/>
      <c r="AC506" s="235"/>
      <c r="AD506" s="235"/>
      <c r="AE506" s="235"/>
      <c r="AF506" s="235"/>
      <c r="AG506" s="235"/>
      <c r="AH506" s="235"/>
      <c r="AI506" s="235"/>
      <c r="AJ506" s="235"/>
      <c r="AK506" s="235"/>
      <c r="AL506" s="235"/>
      <c r="AM506" s="235"/>
      <c r="AN506" s="235"/>
      <c r="AO506" s="235"/>
      <c r="AP506" s="235"/>
      <c r="AQ506" s="235"/>
    </row>
    <row r="507" spans="1:43" ht="15.75" customHeight="1" x14ac:dyDescent="0.55000000000000004">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c r="AA507" s="235"/>
      <c r="AB507" s="235"/>
      <c r="AC507" s="235"/>
      <c r="AD507" s="235"/>
      <c r="AE507" s="235"/>
      <c r="AF507" s="235"/>
      <c r="AG507" s="235"/>
      <c r="AH507" s="235"/>
      <c r="AI507" s="235"/>
      <c r="AJ507" s="235"/>
      <c r="AK507" s="235"/>
      <c r="AL507" s="235"/>
      <c r="AM507" s="235"/>
      <c r="AN507" s="235"/>
      <c r="AO507" s="235"/>
      <c r="AP507" s="235"/>
      <c r="AQ507" s="235"/>
    </row>
    <row r="508" spans="1:43" ht="15.75" customHeight="1" x14ac:dyDescent="0.55000000000000004">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c r="AA508" s="235"/>
      <c r="AB508" s="235"/>
      <c r="AC508" s="235"/>
      <c r="AD508" s="235"/>
      <c r="AE508" s="235"/>
      <c r="AF508" s="235"/>
      <c r="AG508" s="235"/>
      <c r="AH508" s="235"/>
      <c r="AI508" s="235"/>
      <c r="AJ508" s="235"/>
      <c r="AK508" s="235"/>
      <c r="AL508" s="235"/>
      <c r="AM508" s="235"/>
      <c r="AN508" s="235"/>
      <c r="AO508" s="235"/>
      <c r="AP508" s="235"/>
      <c r="AQ508" s="235"/>
    </row>
    <row r="509" spans="1:43" ht="15.75" customHeight="1" x14ac:dyDescent="0.55000000000000004">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c r="AA509" s="235"/>
      <c r="AB509" s="235"/>
      <c r="AC509" s="235"/>
      <c r="AD509" s="235"/>
      <c r="AE509" s="235"/>
      <c r="AF509" s="235"/>
      <c r="AG509" s="235"/>
      <c r="AH509" s="235"/>
      <c r="AI509" s="235"/>
      <c r="AJ509" s="235"/>
      <c r="AK509" s="235"/>
      <c r="AL509" s="235"/>
      <c r="AM509" s="235"/>
      <c r="AN509" s="235"/>
      <c r="AO509" s="235"/>
      <c r="AP509" s="235"/>
      <c r="AQ509" s="235"/>
    </row>
    <row r="510" spans="1:43" ht="15.75" customHeight="1" x14ac:dyDescent="0.55000000000000004">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c r="AA510" s="235"/>
      <c r="AB510" s="235"/>
      <c r="AC510" s="235"/>
      <c r="AD510" s="235"/>
      <c r="AE510" s="235"/>
      <c r="AF510" s="235"/>
      <c r="AG510" s="235"/>
      <c r="AH510" s="235"/>
      <c r="AI510" s="235"/>
      <c r="AJ510" s="235"/>
      <c r="AK510" s="235"/>
      <c r="AL510" s="235"/>
      <c r="AM510" s="235"/>
      <c r="AN510" s="235"/>
      <c r="AO510" s="235"/>
      <c r="AP510" s="235"/>
      <c r="AQ510" s="235"/>
    </row>
    <row r="511" spans="1:43" ht="15.75" customHeight="1" x14ac:dyDescent="0.55000000000000004">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c r="AA511" s="235"/>
      <c r="AB511" s="235"/>
      <c r="AC511" s="235"/>
      <c r="AD511" s="235"/>
      <c r="AE511" s="235"/>
      <c r="AF511" s="235"/>
      <c r="AG511" s="235"/>
      <c r="AH511" s="235"/>
      <c r="AI511" s="235"/>
      <c r="AJ511" s="235"/>
      <c r="AK511" s="235"/>
      <c r="AL511" s="235"/>
      <c r="AM511" s="235"/>
      <c r="AN511" s="235"/>
      <c r="AO511" s="235"/>
      <c r="AP511" s="235"/>
      <c r="AQ511" s="235"/>
    </row>
    <row r="512" spans="1:43" ht="15.75" customHeight="1" x14ac:dyDescent="0.55000000000000004">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c r="AA512" s="235"/>
      <c r="AB512" s="235"/>
      <c r="AC512" s="235"/>
      <c r="AD512" s="235"/>
      <c r="AE512" s="235"/>
      <c r="AF512" s="235"/>
      <c r="AG512" s="235"/>
      <c r="AH512" s="235"/>
      <c r="AI512" s="235"/>
      <c r="AJ512" s="235"/>
      <c r="AK512" s="235"/>
      <c r="AL512" s="235"/>
      <c r="AM512" s="235"/>
      <c r="AN512" s="235"/>
      <c r="AO512" s="235"/>
      <c r="AP512" s="235"/>
      <c r="AQ512" s="235"/>
    </row>
    <row r="513" spans="1:43" ht="15.75" customHeight="1" x14ac:dyDescent="0.55000000000000004">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c r="AA513" s="235"/>
      <c r="AB513" s="235"/>
      <c r="AC513" s="235"/>
      <c r="AD513" s="235"/>
      <c r="AE513" s="235"/>
      <c r="AF513" s="235"/>
      <c r="AG513" s="235"/>
      <c r="AH513" s="235"/>
      <c r="AI513" s="235"/>
      <c r="AJ513" s="235"/>
      <c r="AK513" s="235"/>
      <c r="AL513" s="235"/>
      <c r="AM513" s="235"/>
      <c r="AN513" s="235"/>
      <c r="AO513" s="235"/>
      <c r="AP513" s="235"/>
      <c r="AQ513" s="235"/>
    </row>
    <row r="514" spans="1:43" ht="15.75" customHeight="1" x14ac:dyDescent="0.55000000000000004">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c r="AA514" s="235"/>
      <c r="AB514" s="235"/>
      <c r="AC514" s="235"/>
      <c r="AD514" s="235"/>
      <c r="AE514" s="235"/>
      <c r="AF514" s="235"/>
      <c r="AG514" s="235"/>
      <c r="AH514" s="235"/>
      <c r="AI514" s="235"/>
      <c r="AJ514" s="235"/>
      <c r="AK514" s="235"/>
      <c r="AL514" s="235"/>
      <c r="AM514" s="235"/>
      <c r="AN514" s="235"/>
      <c r="AO514" s="235"/>
      <c r="AP514" s="235"/>
      <c r="AQ514" s="235"/>
    </row>
    <row r="515" spans="1:43" ht="15.75" customHeight="1" x14ac:dyDescent="0.55000000000000004">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c r="AA515" s="235"/>
      <c r="AB515" s="235"/>
      <c r="AC515" s="235"/>
      <c r="AD515" s="235"/>
      <c r="AE515" s="235"/>
      <c r="AF515" s="235"/>
      <c r="AG515" s="235"/>
      <c r="AH515" s="235"/>
      <c r="AI515" s="235"/>
      <c r="AJ515" s="235"/>
      <c r="AK515" s="235"/>
      <c r="AL515" s="235"/>
      <c r="AM515" s="235"/>
      <c r="AN515" s="235"/>
      <c r="AO515" s="235"/>
      <c r="AP515" s="235"/>
      <c r="AQ515" s="235"/>
    </row>
    <row r="516" spans="1:43" ht="15.75" customHeight="1" x14ac:dyDescent="0.55000000000000004">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c r="AA516" s="235"/>
      <c r="AB516" s="235"/>
      <c r="AC516" s="235"/>
      <c r="AD516" s="235"/>
      <c r="AE516" s="235"/>
      <c r="AF516" s="235"/>
      <c r="AG516" s="235"/>
      <c r="AH516" s="235"/>
      <c r="AI516" s="235"/>
      <c r="AJ516" s="235"/>
      <c r="AK516" s="235"/>
      <c r="AL516" s="235"/>
      <c r="AM516" s="235"/>
      <c r="AN516" s="235"/>
      <c r="AO516" s="235"/>
      <c r="AP516" s="235"/>
      <c r="AQ516" s="235"/>
    </row>
    <row r="517" spans="1:43" ht="15.75" customHeight="1" x14ac:dyDescent="0.55000000000000004">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c r="AA517" s="235"/>
      <c r="AB517" s="235"/>
      <c r="AC517" s="235"/>
      <c r="AD517" s="235"/>
      <c r="AE517" s="235"/>
      <c r="AF517" s="235"/>
      <c r="AG517" s="235"/>
      <c r="AH517" s="235"/>
      <c r="AI517" s="235"/>
      <c r="AJ517" s="235"/>
      <c r="AK517" s="235"/>
      <c r="AL517" s="235"/>
      <c r="AM517" s="235"/>
      <c r="AN517" s="235"/>
      <c r="AO517" s="235"/>
      <c r="AP517" s="235"/>
      <c r="AQ517" s="235"/>
    </row>
    <row r="518" spans="1:43" ht="15.75" customHeight="1" x14ac:dyDescent="0.55000000000000004">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c r="AA518" s="235"/>
      <c r="AB518" s="235"/>
      <c r="AC518" s="235"/>
      <c r="AD518" s="235"/>
      <c r="AE518" s="235"/>
      <c r="AF518" s="235"/>
      <c r="AG518" s="235"/>
      <c r="AH518" s="235"/>
      <c r="AI518" s="235"/>
      <c r="AJ518" s="235"/>
      <c r="AK518" s="235"/>
      <c r="AL518" s="235"/>
      <c r="AM518" s="235"/>
      <c r="AN518" s="235"/>
      <c r="AO518" s="235"/>
      <c r="AP518" s="235"/>
      <c r="AQ518" s="235"/>
    </row>
    <row r="519" spans="1:43" ht="15.75" customHeight="1" x14ac:dyDescent="0.55000000000000004">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c r="AA519" s="235"/>
      <c r="AB519" s="235"/>
      <c r="AC519" s="235"/>
      <c r="AD519" s="235"/>
      <c r="AE519" s="235"/>
      <c r="AF519" s="235"/>
      <c r="AG519" s="235"/>
      <c r="AH519" s="235"/>
      <c r="AI519" s="235"/>
      <c r="AJ519" s="235"/>
      <c r="AK519" s="235"/>
      <c r="AL519" s="235"/>
      <c r="AM519" s="235"/>
      <c r="AN519" s="235"/>
      <c r="AO519" s="235"/>
      <c r="AP519" s="235"/>
      <c r="AQ519" s="235"/>
    </row>
    <row r="520" spans="1:43" ht="15.75" customHeight="1" x14ac:dyDescent="0.55000000000000004">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c r="AA520" s="235"/>
      <c r="AB520" s="235"/>
      <c r="AC520" s="235"/>
      <c r="AD520" s="235"/>
      <c r="AE520" s="235"/>
      <c r="AF520" s="235"/>
      <c r="AG520" s="235"/>
      <c r="AH520" s="235"/>
      <c r="AI520" s="235"/>
      <c r="AJ520" s="235"/>
      <c r="AK520" s="235"/>
      <c r="AL520" s="235"/>
      <c r="AM520" s="235"/>
      <c r="AN520" s="235"/>
      <c r="AO520" s="235"/>
      <c r="AP520" s="235"/>
      <c r="AQ520" s="235"/>
    </row>
    <row r="521" spans="1:43" ht="15.75" customHeight="1" x14ac:dyDescent="0.55000000000000004">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c r="AA521" s="235"/>
      <c r="AB521" s="235"/>
      <c r="AC521" s="235"/>
      <c r="AD521" s="235"/>
      <c r="AE521" s="235"/>
      <c r="AF521" s="235"/>
      <c r="AG521" s="235"/>
      <c r="AH521" s="235"/>
      <c r="AI521" s="235"/>
      <c r="AJ521" s="235"/>
      <c r="AK521" s="235"/>
      <c r="AL521" s="235"/>
      <c r="AM521" s="235"/>
      <c r="AN521" s="235"/>
      <c r="AO521" s="235"/>
      <c r="AP521" s="235"/>
      <c r="AQ521" s="235"/>
    </row>
    <row r="522" spans="1:43" ht="15.75" customHeight="1" x14ac:dyDescent="0.55000000000000004">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c r="AA522" s="235"/>
      <c r="AB522" s="235"/>
      <c r="AC522" s="235"/>
      <c r="AD522" s="235"/>
      <c r="AE522" s="235"/>
      <c r="AF522" s="235"/>
      <c r="AG522" s="235"/>
      <c r="AH522" s="235"/>
      <c r="AI522" s="235"/>
      <c r="AJ522" s="235"/>
      <c r="AK522" s="235"/>
      <c r="AL522" s="235"/>
      <c r="AM522" s="235"/>
      <c r="AN522" s="235"/>
      <c r="AO522" s="235"/>
      <c r="AP522" s="235"/>
      <c r="AQ522" s="235"/>
    </row>
    <row r="523" spans="1:43" ht="15.75" customHeight="1" x14ac:dyDescent="0.55000000000000004">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c r="AA523" s="235"/>
      <c r="AB523" s="235"/>
      <c r="AC523" s="235"/>
      <c r="AD523" s="235"/>
      <c r="AE523" s="235"/>
      <c r="AF523" s="235"/>
      <c r="AG523" s="235"/>
      <c r="AH523" s="235"/>
      <c r="AI523" s="235"/>
      <c r="AJ523" s="235"/>
      <c r="AK523" s="235"/>
      <c r="AL523" s="235"/>
      <c r="AM523" s="235"/>
      <c r="AN523" s="235"/>
      <c r="AO523" s="235"/>
      <c r="AP523" s="235"/>
      <c r="AQ523" s="235"/>
    </row>
    <row r="524" spans="1:43" ht="15.75" customHeight="1" x14ac:dyDescent="0.55000000000000004">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c r="AA524" s="235"/>
      <c r="AB524" s="235"/>
      <c r="AC524" s="235"/>
      <c r="AD524" s="235"/>
      <c r="AE524" s="235"/>
      <c r="AF524" s="235"/>
      <c r="AG524" s="235"/>
      <c r="AH524" s="235"/>
      <c r="AI524" s="235"/>
      <c r="AJ524" s="235"/>
      <c r="AK524" s="235"/>
      <c r="AL524" s="235"/>
      <c r="AM524" s="235"/>
      <c r="AN524" s="235"/>
      <c r="AO524" s="235"/>
      <c r="AP524" s="235"/>
      <c r="AQ524" s="235"/>
    </row>
    <row r="525" spans="1:43" ht="15.75" customHeight="1" x14ac:dyDescent="0.55000000000000004">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c r="AA525" s="235"/>
      <c r="AB525" s="235"/>
      <c r="AC525" s="235"/>
      <c r="AD525" s="235"/>
      <c r="AE525" s="235"/>
      <c r="AF525" s="235"/>
      <c r="AG525" s="235"/>
      <c r="AH525" s="235"/>
      <c r="AI525" s="235"/>
      <c r="AJ525" s="235"/>
      <c r="AK525" s="235"/>
      <c r="AL525" s="235"/>
      <c r="AM525" s="235"/>
      <c r="AN525" s="235"/>
      <c r="AO525" s="235"/>
      <c r="AP525" s="235"/>
      <c r="AQ525" s="235"/>
    </row>
    <row r="526" spans="1:43" ht="15.75" customHeight="1" x14ac:dyDescent="0.55000000000000004">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c r="AA526" s="235"/>
      <c r="AB526" s="235"/>
      <c r="AC526" s="235"/>
      <c r="AD526" s="235"/>
      <c r="AE526" s="235"/>
      <c r="AF526" s="235"/>
      <c r="AG526" s="235"/>
      <c r="AH526" s="235"/>
      <c r="AI526" s="235"/>
      <c r="AJ526" s="235"/>
      <c r="AK526" s="235"/>
      <c r="AL526" s="235"/>
      <c r="AM526" s="235"/>
      <c r="AN526" s="235"/>
      <c r="AO526" s="235"/>
      <c r="AP526" s="235"/>
      <c r="AQ526" s="235"/>
    </row>
    <row r="527" spans="1:43" ht="15.75" customHeight="1" x14ac:dyDescent="0.55000000000000004">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c r="AA527" s="235"/>
      <c r="AB527" s="235"/>
      <c r="AC527" s="235"/>
      <c r="AD527" s="235"/>
      <c r="AE527" s="235"/>
      <c r="AF527" s="235"/>
      <c r="AG527" s="235"/>
      <c r="AH527" s="235"/>
      <c r="AI527" s="235"/>
      <c r="AJ527" s="235"/>
      <c r="AK527" s="235"/>
      <c r="AL527" s="235"/>
      <c r="AM527" s="235"/>
      <c r="AN527" s="235"/>
      <c r="AO527" s="235"/>
      <c r="AP527" s="235"/>
      <c r="AQ527" s="235"/>
    </row>
    <row r="528" spans="1:43" ht="15.75" customHeight="1" x14ac:dyDescent="0.55000000000000004">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c r="AA528" s="235"/>
      <c r="AB528" s="235"/>
      <c r="AC528" s="235"/>
      <c r="AD528" s="235"/>
      <c r="AE528" s="235"/>
      <c r="AF528" s="235"/>
      <c r="AG528" s="235"/>
      <c r="AH528" s="235"/>
      <c r="AI528" s="235"/>
      <c r="AJ528" s="235"/>
      <c r="AK528" s="235"/>
      <c r="AL528" s="235"/>
      <c r="AM528" s="235"/>
      <c r="AN528" s="235"/>
      <c r="AO528" s="235"/>
      <c r="AP528" s="235"/>
      <c r="AQ528" s="235"/>
    </row>
    <row r="529" spans="1:43" ht="15.75" customHeight="1" x14ac:dyDescent="0.55000000000000004">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c r="AA529" s="235"/>
      <c r="AB529" s="235"/>
      <c r="AC529" s="235"/>
      <c r="AD529" s="235"/>
      <c r="AE529" s="235"/>
      <c r="AF529" s="235"/>
      <c r="AG529" s="235"/>
      <c r="AH529" s="235"/>
      <c r="AI529" s="235"/>
      <c r="AJ529" s="235"/>
      <c r="AK529" s="235"/>
      <c r="AL529" s="235"/>
      <c r="AM529" s="235"/>
      <c r="AN529" s="235"/>
      <c r="AO529" s="235"/>
      <c r="AP529" s="235"/>
      <c r="AQ529" s="235"/>
    </row>
    <row r="530" spans="1:43" ht="15.75" customHeight="1" x14ac:dyDescent="0.55000000000000004">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c r="AA530" s="235"/>
      <c r="AB530" s="235"/>
      <c r="AC530" s="235"/>
      <c r="AD530" s="235"/>
      <c r="AE530" s="235"/>
      <c r="AF530" s="235"/>
      <c r="AG530" s="235"/>
      <c r="AH530" s="235"/>
      <c r="AI530" s="235"/>
      <c r="AJ530" s="235"/>
      <c r="AK530" s="235"/>
      <c r="AL530" s="235"/>
      <c r="AM530" s="235"/>
      <c r="AN530" s="235"/>
      <c r="AO530" s="235"/>
      <c r="AP530" s="235"/>
      <c r="AQ530" s="235"/>
    </row>
    <row r="531" spans="1:43" ht="15.75" customHeight="1" x14ac:dyDescent="0.55000000000000004">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c r="AA531" s="235"/>
      <c r="AB531" s="235"/>
      <c r="AC531" s="235"/>
      <c r="AD531" s="235"/>
      <c r="AE531" s="235"/>
      <c r="AF531" s="235"/>
      <c r="AG531" s="235"/>
      <c r="AH531" s="235"/>
      <c r="AI531" s="235"/>
      <c r="AJ531" s="235"/>
      <c r="AK531" s="235"/>
      <c r="AL531" s="235"/>
      <c r="AM531" s="235"/>
      <c r="AN531" s="235"/>
      <c r="AO531" s="235"/>
      <c r="AP531" s="235"/>
      <c r="AQ531" s="235"/>
    </row>
    <row r="532" spans="1:43" ht="15.75" customHeight="1" x14ac:dyDescent="0.55000000000000004">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c r="AA532" s="235"/>
      <c r="AB532" s="235"/>
      <c r="AC532" s="235"/>
      <c r="AD532" s="235"/>
      <c r="AE532" s="235"/>
      <c r="AF532" s="235"/>
      <c r="AG532" s="235"/>
      <c r="AH532" s="235"/>
      <c r="AI532" s="235"/>
      <c r="AJ532" s="235"/>
      <c r="AK532" s="235"/>
      <c r="AL532" s="235"/>
      <c r="AM532" s="235"/>
      <c r="AN532" s="235"/>
      <c r="AO532" s="235"/>
      <c r="AP532" s="235"/>
      <c r="AQ532" s="235"/>
    </row>
    <row r="533" spans="1:43" ht="15.75" customHeight="1" x14ac:dyDescent="0.55000000000000004">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c r="AA533" s="235"/>
      <c r="AB533" s="235"/>
      <c r="AC533" s="235"/>
      <c r="AD533" s="235"/>
      <c r="AE533" s="235"/>
      <c r="AF533" s="235"/>
      <c r="AG533" s="235"/>
      <c r="AH533" s="235"/>
      <c r="AI533" s="235"/>
      <c r="AJ533" s="235"/>
      <c r="AK533" s="235"/>
      <c r="AL533" s="235"/>
      <c r="AM533" s="235"/>
      <c r="AN533" s="235"/>
      <c r="AO533" s="235"/>
      <c r="AP533" s="235"/>
      <c r="AQ533" s="235"/>
    </row>
    <row r="534" spans="1:43" ht="15.75" customHeight="1" x14ac:dyDescent="0.55000000000000004">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c r="AA534" s="235"/>
      <c r="AB534" s="235"/>
      <c r="AC534" s="235"/>
      <c r="AD534" s="235"/>
      <c r="AE534" s="235"/>
      <c r="AF534" s="235"/>
      <c r="AG534" s="235"/>
      <c r="AH534" s="235"/>
      <c r="AI534" s="235"/>
      <c r="AJ534" s="235"/>
      <c r="AK534" s="235"/>
      <c r="AL534" s="235"/>
      <c r="AM534" s="235"/>
      <c r="AN534" s="235"/>
      <c r="AO534" s="235"/>
      <c r="AP534" s="235"/>
      <c r="AQ534" s="235"/>
    </row>
    <row r="535" spans="1:43" ht="15.75" customHeight="1" x14ac:dyDescent="0.55000000000000004">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c r="AA535" s="235"/>
      <c r="AB535" s="235"/>
      <c r="AC535" s="235"/>
      <c r="AD535" s="235"/>
      <c r="AE535" s="235"/>
      <c r="AF535" s="235"/>
      <c r="AG535" s="235"/>
      <c r="AH535" s="235"/>
      <c r="AI535" s="235"/>
      <c r="AJ535" s="235"/>
      <c r="AK535" s="235"/>
      <c r="AL535" s="235"/>
      <c r="AM535" s="235"/>
      <c r="AN535" s="235"/>
      <c r="AO535" s="235"/>
      <c r="AP535" s="235"/>
      <c r="AQ535" s="235"/>
    </row>
    <row r="536" spans="1:43" ht="15.75" customHeight="1" x14ac:dyDescent="0.55000000000000004">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c r="AA536" s="235"/>
      <c r="AB536" s="235"/>
      <c r="AC536" s="235"/>
      <c r="AD536" s="235"/>
      <c r="AE536" s="235"/>
      <c r="AF536" s="235"/>
      <c r="AG536" s="235"/>
      <c r="AH536" s="235"/>
      <c r="AI536" s="235"/>
      <c r="AJ536" s="235"/>
      <c r="AK536" s="235"/>
      <c r="AL536" s="235"/>
      <c r="AM536" s="235"/>
      <c r="AN536" s="235"/>
      <c r="AO536" s="235"/>
      <c r="AP536" s="235"/>
      <c r="AQ536" s="235"/>
    </row>
    <row r="537" spans="1:43" ht="15.75" customHeight="1" x14ac:dyDescent="0.55000000000000004">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c r="AA537" s="235"/>
      <c r="AB537" s="235"/>
      <c r="AC537" s="235"/>
      <c r="AD537" s="235"/>
      <c r="AE537" s="235"/>
      <c r="AF537" s="235"/>
      <c r="AG537" s="235"/>
      <c r="AH537" s="235"/>
      <c r="AI537" s="235"/>
      <c r="AJ537" s="235"/>
      <c r="AK537" s="235"/>
      <c r="AL537" s="235"/>
      <c r="AM537" s="235"/>
      <c r="AN537" s="235"/>
      <c r="AO537" s="235"/>
      <c r="AP537" s="235"/>
      <c r="AQ537" s="235"/>
    </row>
    <row r="538" spans="1:43" ht="15.75" customHeight="1" x14ac:dyDescent="0.55000000000000004">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c r="AA538" s="235"/>
      <c r="AB538" s="235"/>
      <c r="AC538" s="235"/>
      <c r="AD538" s="235"/>
      <c r="AE538" s="235"/>
      <c r="AF538" s="235"/>
      <c r="AG538" s="235"/>
      <c r="AH538" s="235"/>
      <c r="AI538" s="235"/>
      <c r="AJ538" s="235"/>
      <c r="AK538" s="235"/>
      <c r="AL538" s="235"/>
      <c r="AM538" s="235"/>
      <c r="AN538" s="235"/>
      <c r="AO538" s="235"/>
      <c r="AP538" s="235"/>
      <c r="AQ538" s="235"/>
    </row>
    <row r="539" spans="1:43" ht="15.75" customHeight="1" x14ac:dyDescent="0.55000000000000004">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c r="AA539" s="235"/>
      <c r="AB539" s="235"/>
      <c r="AC539" s="235"/>
      <c r="AD539" s="235"/>
      <c r="AE539" s="235"/>
      <c r="AF539" s="235"/>
      <c r="AG539" s="235"/>
      <c r="AH539" s="235"/>
      <c r="AI539" s="235"/>
      <c r="AJ539" s="235"/>
      <c r="AK539" s="235"/>
      <c r="AL539" s="235"/>
      <c r="AM539" s="235"/>
      <c r="AN539" s="235"/>
      <c r="AO539" s="235"/>
      <c r="AP539" s="235"/>
      <c r="AQ539" s="235"/>
    </row>
    <row r="540" spans="1:43" ht="15.75" customHeight="1" x14ac:dyDescent="0.55000000000000004">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c r="AA540" s="235"/>
      <c r="AB540" s="235"/>
      <c r="AC540" s="235"/>
      <c r="AD540" s="235"/>
      <c r="AE540" s="235"/>
      <c r="AF540" s="235"/>
      <c r="AG540" s="235"/>
      <c r="AH540" s="235"/>
      <c r="AI540" s="235"/>
      <c r="AJ540" s="235"/>
      <c r="AK540" s="235"/>
      <c r="AL540" s="235"/>
      <c r="AM540" s="235"/>
      <c r="AN540" s="235"/>
      <c r="AO540" s="235"/>
      <c r="AP540" s="235"/>
      <c r="AQ540" s="235"/>
    </row>
    <row r="541" spans="1:43" ht="15.75" customHeight="1" x14ac:dyDescent="0.55000000000000004">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c r="AA541" s="235"/>
      <c r="AB541" s="235"/>
      <c r="AC541" s="235"/>
      <c r="AD541" s="235"/>
      <c r="AE541" s="235"/>
      <c r="AF541" s="235"/>
      <c r="AG541" s="235"/>
      <c r="AH541" s="235"/>
      <c r="AI541" s="235"/>
      <c r="AJ541" s="235"/>
      <c r="AK541" s="235"/>
      <c r="AL541" s="235"/>
      <c r="AM541" s="235"/>
      <c r="AN541" s="235"/>
      <c r="AO541" s="235"/>
      <c r="AP541" s="235"/>
      <c r="AQ541" s="235"/>
    </row>
    <row r="542" spans="1:43" ht="15.75" customHeight="1" x14ac:dyDescent="0.55000000000000004">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c r="AA542" s="235"/>
      <c r="AB542" s="235"/>
      <c r="AC542" s="235"/>
      <c r="AD542" s="235"/>
      <c r="AE542" s="235"/>
      <c r="AF542" s="235"/>
      <c r="AG542" s="235"/>
      <c r="AH542" s="235"/>
      <c r="AI542" s="235"/>
      <c r="AJ542" s="235"/>
      <c r="AK542" s="235"/>
      <c r="AL542" s="235"/>
      <c r="AM542" s="235"/>
      <c r="AN542" s="235"/>
      <c r="AO542" s="235"/>
      <c r="AP542" s="235"/>
      <c r="AQ542" s="235"/>
    </row>
    <row r="543" spans="1:43" ht="15.75" customHeight="1" x14ac:dyDescent="0.55000000000000004">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c r="AA543" s="235"/>
      <c r="AB543" s="235"/>
      <c r="AC543" s="235"/>
      <c r="AD543" s="235"/>
      <c r="AE543" s="235"/>
      <c r="AF543" s="235"/>
      <c r="AG543" s="235"/>
      <c r="AH543" s="235"/>
      <c r="AI543" s="235"/>
      <c r="AJ543" s="235"/>
      <c r="AK543" s="235"/>
      <c r="AL543" s="235"/>
      <c r="AM543" s="235"/>
      <c r="AN543" s="235"/>
      <c r="AO543" s="235"/>
      <c r="AP543" s="235"/>
      <c r="AQ543" s="235"/>
    </row>
    <row r="544" spans="1:43" ht="15.75" customHeight="1" x14ac:dyDescent="0.55000000000000004">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c r="AA544" s="235"/>
      <c r="AB544" s="235"/>
      <c r="AC544" s="235"/>
      <c r="AD544" s="235"/>
      <c r="AE544" s="235"/>
      <c r="AF544" s="235"/>
      <c r="AG544" s="235"/>
      <c r="AH544" s="235"/>
      <c r="AI544" s="235"/>
      <c r="AJ544" s="235"/>
      <c r="AK544" s="235"/>
      <c r="AL544" s="235"/>
      <c r="AM544" s="235"/>
      <c r="AN544" s="235"/>
      <c r="AO544" s="235"/>
      <c r="AP544" s="235"/>
      <c r="AQ544" s="235"/>
    </row>
    <row r="545" spans="1:43" ht="15.75" customHeight="1" x14ac:dyDescent="0.55000000000000004">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c r="AA545" s="235"/>
      <c r="AB545" s="235"/>
      <c r="AC545" s="235"/>
      <c r="AD545" s="235"/>
      <c r="AE545" s="235"/>
      <c r="AF545" s="235"/>
      <c r="AG545" s="235"/>
      <c r="AH545" s="235"/>
      <c r="AI545" s="235"/>
      <c r="AJ545" s="235"/>
      <c r="AK545" s="235"/>
      <c r="AL545" s="235"/>
      <c r="AM545" s="235"/>
      <c r="AN545" s="235"/>
      <c r="AO545" s="235"/>
      <c r="AP545" s="235"/>
      <c r="AQ545" s="235"/>
    </row>
    <row r="546" spans="1:43" ht="15.75" customHeight="1" x14ac:dyDescent="0.55000000000000004">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c r="AA546" s="235"/>
      <c r="AB546" s="235"/>
      <c r="AC546" s="235"/>
      <c r="AD546" s="235"/>
      <c r="AE546" s="235"/>
      <c r="AF546" s="235"/>
      <c r="AG546" s="235"/>
      <c r="AH546" s="235"/>
      <c r="AI546" s="235"/>
      <c r="AJ546" s="235"/>
      <c r="AK546" s="235"/>
      <c r="AL546" s="235"/>
      <c r="AM546" s="235"/>
      <c r="AN546" s="235"/>
      <c r="AO546" s="235"/>
      <c r="AP546" s="235"/>
      <c r="AQ546" s="235"/>
    </row>
    <row r="547" spans="1:43" ht="15.75" customHeight="1" x14ac:dyDescent="0.55000000000000004">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c r="AA547" s="235"/>
      <c r="AB547" s="235"/>
      <c r="AC547" s="235"/>
      <c r="AD547" s="235"/>
      <c r="AE547" s="235"/>
      <c r="AF547" s="235"/>
      <c r="AG547" s="235"/>
      <c r="AH547" s="235"/>
      <c r="AI547" s="235"/>
      <c r="AJ547" s="235"/>
      <c r="AK547" s="235"/>
      <c r="AL547" s="235"/>
      <c r="AM547" s="235"/>
      <c r="AN547" s="235"/>
      <c r="AO547" s="235"/>
      <c r="AP547" s="235"/>
      <c r="AQ547" s="235"/>
    </row>
    <row r="548" spans="1:43" ht="15.75" customHeight="1" x14ac:dyDescent="0.55000000000000004">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c r="AA548" s="235"/>
      <c r="AB548" s="235"/>
      <c r="AC548" s="235"/>
      <c r="AD548" s="235"/>
      <c r="AE548" s="235"/>
      <c r="AF548" s="235"/>
      <c r="AG548" s="235"/>
      <c r="AH548" s="235"/>
      <c r="AI548" s="235"/>
      <c r="AJ548" s="235"/>
      <c r="AK548" s="235"/>
      <c r="AL548" s="235"/>
      <c r="AM548" s="235"/>
      <c r="AN548" s="235"/>
      <c r="AO548" s="235"/>
      <c r="AP548" s="235"/>
      <c r="AQ548" s="235"/>
    </row>
    <row r="549" spans="1:43" ht="15.75" customHeight="1" x14ac:dyDescent="0.55000000000000004">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c r="AA549" s="235"/>
      <c r="AB549" s="235"/>
      <c r="AC549" s="235"/>
      <c r="AD549" s="235"/>
      <c r="AE549" s="235"/>
      <c r="AF549" s="235"/>
      <c r="AG549" s="235"/>
      <c r="AH549" s="235"/>
      <c r="AI549" s="235"/>
      <c r="AJ549" s="235"/>
      <c r="AK549" s="235"/>
      <c r="AL549" s="235"/>
      <c r="AM549" s="235"/>
      <c r="AN549" s="235"/>
      <c r="AO549" s="235"/>
      <c r="AP549" s="235"/>
      <c r="AQ549" s="235"/>
    </row>
    <row r="550" spans="1:43" ht="15.75" customHeight="1" x14ac:dyDescent="0.55000000000000004">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c r="AA550" s="235"/>
      <c r="AB550" s="235"/>
      <c r="AC550" s="235"/>
      <c r="AD550" s="235"/>
      <c r="AE550" s="235"/>
      <c r="AF550" s="235"/>
      <c r="AG550" s="235"/>
      <c r="AH550" s="235"/>
      <c r="AI550" s="235"/>
      <c r="AJ550" s="235"/>
      <c r="AK550" s="235"/>
      <c r="AL550" s="235"/>
      <c r="AM550" s="235"/>
      <c r="AN550" s="235"/>
      <c r="AO550" s="235"/>
      <c r="AP550" s="235"/>
      <c r="AQ550" s="235"/>
    </row>
    <row r="551" spans="1:43" ht="15.75" customHeight="1" x14ac:dyDescent="0.55000000000000004">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c r="AA551" s="235"/>
      <c r="AB551" s="235"/>
      <c r="AC551" s="235"/>
      <c r="AD551" s="235"/>
      <c r="AE551" s="235"/>
      <c r="AF551" s="235"/>
      <c r="AG551" s="235"/>
      <c r="AH551" s="235"/>
      <c r="AI551" s="235"/>
      <c r="AJ551" s="235"/>
      <c r="AK551" s="235"/>
      <c r="AL551" s="235"/>
      <c r="AM551" s="235"/>
      <c r="AN551" s="235"/>
      <c r="AO551" s="235"/>
      <c r="AP551" s="235"/>
      <c r="AQ551" s="235"/>
    </row>
    <row r="552" spans="1:43" ht="15.75" customHeight="1" x14ac:dyDescent="0.55000000000000004">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c r="AA552" s="235"/>
      <c r="AB552" s="235"/>
      <c r="AC552" s="235"/>
      <c r="AD552" s="235"/>
      <c r="AE552" s="235"/>
      <c r="AF552" s="235"/>
      <c r="AG552" s="235"/>
      <c r="AH552" s="235"/>
      <c r="AI552" s="235"/>
      <c r="AJ552" s="235"/>
      <c r="AK552" s="235"/>
      <c r="AL552" s="235"/>
      <c r="AM552" s="235"/>
      <c r="AN552" s="235"/>
      <c r="AO552" s="235"/>
      <c r="AP552" s="235"/>
      <c r="AQ552" s="235"/>
    </row>
    <row r="553" spans="1:43" ht="15.75" customHeight="1" x14ac:dyDescent="0.55000000000000004">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c r="AA553" s="235"/>
      <c r="AB553" s="235"/>
      <c r="AC553" s="235"/>
      <c r="AD553" s="235"/>
      <c r="AE553" s="235"/>
      <c r="AF553" s="235"/>
      <c r="AG553" s="235"/>
      <c r="AH553" s="235"/>
      <c r="AI553" s="235"/>
      <c r="AJ553" s="235"/>
      <c r="AK553" s="235"/>
      <c r="AL553" s="235"/>
      <c r="AM553" s="235"/>
      <c r="AN553" s="235"/>
      <c r="AO553" s="235"/>
      <c r="AP553" s="235"/>
      <c r="AQ553" s="235"/>
    </row>
    <row r="554" spans="1:43" ht="15.75" customHeight="1" x14ac:dyDescent="0.55000000000000004">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c r="AA554" s="235"/>
      <c r="AB554" s="235"/>
      <c r="AC554" s="235"/>
      <c r="AD554" s="235"/>
      <c r="AE554" s="235"/>
      <c r="AF554" s="235"/>
      <c r="AG554" s="235"/>
      <c r="AH554" s="235"/>
      <c r="AI554" s="235"/>
      <c r="AJ554" s="235"/>
      <c r="AK554" s="235"/>
      <c r="AL554" s="235"/>
      <c r="AM554" s="235"/>
      <c r="AN554" s="235"/>
      <c r="AO554" s="235"/>
      <c r="AP554" s="235"/>
      <c r="AQ554" s="235"/>
    </row>
    <row r="555" spans="1:43" ht="15.75" customHeight="1" x14ac:dyDescent="0.55000000000000004">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c r="AA555" s="235"/>
      <c r="AB555" s="235"/>
      <c r="AC555" s="235"/>
      <c r="AD555" s="235"/>
      <c r="AE555" s="235"/>
      <c r="AF555" s="235"/>
      <c r="AG555" s="235"/>
      <c r="AH555" s="235"/>
      <c r="AI555" s="235"/>
      <c r="AJ555" s="235"/>
      <c r="AK555" s="235"/>
      <c r="AL555" s="235"/>
      <c r="AM555" s="235"/>
      <c r="AN555" s="235"/>
      <c r="AO555" s="235"/>
      <c r="AP555" s="235"/>
      <c r="AQ555" s="235"/>
    </row>
    <row r="556" spans="1:43" ht="15.75" customHeight="1" x14ac:dyDescent="0.55000000000000004">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c r="AA556" s="235"/>
      <c r="AB556" s="235"/>
      <c r="AC556" s="235"/>
      <c r="AD556" s="235"/>
      <c r="AE556" s="235"/>
      <c r="AF556" s="235"/>
      <c r="AG556" s="235"/>
      <c r="AH556" s="235"/>
      <c r="AI556" s="235"/>
      <c r="AJ556" s="235"/>
      <c r="AK556" s="235"/>
      <c r="AL556" s="235"/>
      <c r="AM556" s="235"/>
      <c r="AN556" s="235"/>
      <c r="AO556" s="235"/>
      <c r="AP556" s="235"/>
      <c r="AQ556" s="235"/>
    </row>
    <row r="557" spans="1:43" ht="15.75" customHeight="1" x14ac:dyDescent="0.55000000000000004">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c r="AA557" s="235"/>
      <c r="AB557" s="235"/>
      <c r="AC557" s="235"/>
      <c r="AD557" s="235"/>
      <c r="AE557" s="235"/>
      <c r="AF557" s="235"/>
      <c r="AG557" s="235"/>
      <c r="AH557" s="235"/>
      <c r="AI557" s="235"/>
      <c r="AJ557" s="235"/>
      <c r="AK557" s="235"/>
      <c r="AL557" s="235"/>
      <c r="AM557" s="235"/>
      <c r="AN557" s="235"/>
      <c r="AO557" s="235"/>
      <c r="AP557" s="235"/>
      <c r="AQ557" s="235"/>
    </row>
    <row r="558" spans="1:43" ht="15.75" customHeight="1" x14ac:dyDescent="0.55000000000000004">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c r="AA558" s="235"/>
      <c r="AB558" s="235"/>
      <c r="AC558" s="235"/>
      <c r="AD558" s="235"/>
      <c r="AE558" s="235"/>
      <c r="AF558" s="235"/>
      <c r="AG558" s="235"/>
      <c r="AH558" s="235"/>
      <c r="AI558" s="235"/>
      <c r="AJ558" s="235"/>
      <c r="AK558" s="235"/>
      <c r="AL558" s="235"/>
      <c r="AM558" s="235"/>
      <c r="AN558" s="235"/>
      <c r="AO558" s="235"/>
      <c r="AP558" s="235"/>
      <c r="AQ558" s="235"/>
    </row>
    <row r="559" spans="1:43" ht="15.75" customHeight="1" x14ac:dyDescent="0.55000000000000004">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c r="AA559" s="235"/>
      <c r="AB559" s="235"/>
      <c r="AC559" s="235"/>
      <c r="AD559" s="235"/>
      <c r="AE559" s="235"/>
      <c r="AF559" s="235"/>
      <c r="AG559" s="235"/>
      <c r="AH559" s="235"/>
      <c r="AI559" s="235"/>
      <c r="AJ559" s="235"/>
      <c r="AK559" s="235"/>
      <c r="AL559" s="235"/>
      <c r="AM559" s="235"/>
      <c r="AN559" s="235"/>
      <c r="AO559" s="235"/>
      <c r="AP559" s="235"/>
      <c r="AQ559" s="235"/>
    </row>
    <row r="560" spans="1:43" ht="15.75" customHeight="1" x14ac:dyDescent="0.55000000000000004">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c r="AA560" s="235"/>
      <c r="AB560" s="235"/>
      <c r="AC560" s="235"/>
      <c r="AD560" s="235"/>
      <c r="AE560" s="235"/>
      <c r="AF560" s="235"/>
      <c r="AG560" s="235"/>
      <c r="AH560" s="235"/>
      <c r="AI560" s="235"/>
      <c r="AJ560" s="235"/>
      <c r="AK560" s="235"/>
      <c r="AL560" s="235"/>
      <c r="AM560" s="235"/>
      <c r="AN560" s="235"/>
      <c r="AO560" s="235"/>
      <c r="AP560" s="235"/>
      <c r="AQ560" s="235"/>
    </row>
    <row r="561" spans="1:43" ht="15.75" customHeight="1" x14ac:dyDescent="0.55000000000000004">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c r="AA561" s="235"/>
      <c r="AB561" s="235"/>
      <c r="AC561" s="235"/>
      <c r="AD561" s="235"/>
      <c r="AE561" s="235"/>
      <c r="AF561" s="235"/>
      <c r="AG561" s="235"/>
      <c r="AH561" s="235"/>
      <c r="AI561" s="235"/>
      <c r="AJ561" s="235"/>
      <c r="AK561" s="235"/>
      <c r="AL561" s="235"/>
      <c r="AM561" s="235"/>
      <c r="AN561" s="235"/>
      <c r="AO561" s="235"/>
      <c r="AP561" s="235"/>
      <c r="AQ561" s="235"/>
    </row>
    <row r="562" spans="1:43" ht="15.75" customHeight="1" x14ac:dyDescent="0.55000000000000004">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c r="AA562" s="235"/>
      <c r="AB562" s="235"/>
      <c r="AC562" s="235"/>
      <c r="AD562" s="235"/>
      <c r="AE562" s="235"/>
      <c r="AF562" s="235"/>
      <c r="AG562" s="235"/>
      <c r="AH562" s="235"/>
      <c r="AI562" s="235"/>
      <c r="AJ562" s="235"/>
      <c r="AK562" s="235"/>
      <c r="AL562" s="235"/>
      <c r="AM562" s="235"/>
      <c r="AN562" s="235"/>
      <c r="AO562" s="235"/>
      <c r="AP562" s="235"/>
      <c r="AQ562" s="235"/>
    </row>
    <row r="563" spans="1:43" ht="15.75" customHeight="1" x14ac:dyDescent="0.55000000000000004">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c r="AA563" s="235"/>
      <c r="AB563" s="235"/>
      <c r="AC563" s="235"/>
      <c r="AD563" s="235"/>
      <c r="AE563" s="235"/>
      <c r="AF563" s="235"/>
      <c r="AG563" s="235"/>
      <c r="AH563" s="235"/>
      <c r="AI563" s="235"/>
      <c r="AJ563" s="235"/>
      <c r="AK563" s="235"/>
      <c r="AL563" s="235"/>
      <c r="AM563" s="235"/>
      <c r="AN563" s="235"/>
      <c r="AO563" s="235"/>
      <c r="AP563" s="235"/>
      <c r="AQ563" s="235"/>
    </row>
    <row r="564" spans="1:43" ht="15.75" customHeight="1" x14ac:dyDescent="0.55000000000000004">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c r="AA564" s="235"/>
      <c r="AB564" s="235"/>
      <c r="AC564" s="235"/>
      <c r="AD564" s="235"/>
      <c r="AE564" s="235"/>
      <c r="AF564" s="235"/>
      <c r="AG564" s="235"/>
      <c r="AH564" s="235"/>
      <c r="AI564" s="235"/>
      <c r="AJ564" s="235"/>
      <c r="AK564" s="235"/>
      <c r="AL564" s="235"/>
      <c r="AM564" s="235"/>
      <c r="AN564" s="235"/>
      <c r="AO564" s="235"/>
      <c r="AP564" s="235"/>
      <c r="AQ564" s="235"/>
    </row>
    <row r="565" spans="1:43" ht="15.75" customHeight="1" x14ac:dyDescent="0.55000000000000004">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c r="AA565" s="235"/>
      <c r="AB565" s="235"/>
      <c r="AC565" s="235"/>
      <c r="AD565" s="235"/>
      <c r="AE565" s="235"/>
      <c r="AF565" s="235"/>
      <c r="AG565" s="235"/>
      <c r="AH565" s="235"/>
      <c r="AI565" s="235"/>
      <c r="AJ565" s="235"/>
      <c r="AK565" s="235"/>
      <c r="AL565" s="235"/>
      <c r="AM565" s="235"/>
      <c r="AN565" s="235"/>
      <c r="AO565" s="235"/>
      <c r="AP565" s="235"/>
      <c r="AQ565" s="235"/>
    </row>
    <row r="566" spans="1:43" ht="15.75" customHeight="1" x14ac:dyDescent="0.55000000000000004">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c r="AA566" s="235"/>
      <c r="AB566" s="235"/>
      <c r="AC566" s="235"/>
      <c r="AD566" s="235"/>
      <c r="AE566" s="235"/>
      <c r="AF566" s="235"/>
      <c r="AG566" s="235"/>
      <c r="AH566" s="235"/>
      <c r="AI566" s="235"/>
      <c r="AJ566" s="235"/>
      <c r="AK566" s="235"/>
      <c r="AL566" s="235"/>
      <c r="AM566" s="235"/>
      <c r="AN566" s="235"/>
      <c r="AO566" s="235"/>
      <c r="AP566" s="235"/>
      <c r="AQ566" s="235"/>
    </row>
    <row r="567" spans="1:43" ht="15.75" customHeight="1" x14ac:dyDescent="0.55000000000000004">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c r="AA567" s="235"/>
      <c r="AB567" s="235"/>
      <c r="AC567" s="235"/>
      <c r="AD567" s="235"/>
      <c r="AE567" s="235"/>
      <c r="AF567" s="235"/>
      <c r="AG567" s="235"/>
      <c r="AH567" s="235"/>
      <c r="AI567" s="235"/>
      <c r="AJ567" s="235"/>
      <c r="AK567" s="235"/>
      <c r="AL567" s="235"/>
      <c r="AM567" s="235"/>
      <c r="AN567" s="235"/>
      <c r="AO567" s="235"/>
      <c r="AP567" s="235"/>
      <c r="AQ567" s="235"/>
    </row>
    <row r="568" spans="1:43" ht="15.75" customHeight="1" x14ac:dyDescent="0.55000000000000004">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c r="AA568" s="235"/>
      <c r="AB568" s="235"/>
      <c r="AC568" s="235"/>
      <c r="AD568" s="235"/>
      <c r="AE568" s="235"/>
      <c r="AF568" s="235"/>
      <c r="AG568" s="235"/>
      <c r="AH568" s="235"/>
      <c r="AI568" s="235"/>
      <c r="AJ568" s="235"/>
      <c r="AK568" s="235"/>
      <c r="AL568" s="235"/>
      <c r="AM568" s="235"/>
      <c r="AN568" s="235"/>
      <c r="AO568" s="235"/>
      <c r="AP568" s="235"/>
      <c r="AQ568" s="235"/>
    </row>
    <row r="569" spans="1:43" ht="15.75" customHeight="1" x14ac:dyDescent="0.55000000000000004">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c r="AA569" s="235"/>
      <c r="AB569" s="235"/>
      <c r="AC569" s="235"/>
      <c r="AD569" s="235"/>
      <c r="AE569" s="235"/>
      <c r="AF569" s="235"/>
      <c r="AG569" s="235"/>
      <c r="AH569" s="235"/>
      <c r="AI569" s="235"/>
      <c r="AJ569" s="235"/>
      <c r="AK569" s="235"/>
      <c r="AL569" s="235"/>
      <c r="AM569" s="235"/>
      <c r="AN569" s="235"/>
      <c r="AO569" s="235"/>
      <c r="AP569" s="235"/>
      <c r="AQ569" s="235"/>
    </row>
    <row r="570" spans="1:43" ht="15.75" customHeight="1" x14ac:dyDescent="0.55000000000000004">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c r="AA570" s="235"/>
      <c r="AB570" s="235"/>
      <c r="AC570" s="235"/>
      <c r="AD570" s="235"/>
      <c r="AE570" s="235"/>
      <c r="AF570" s="235"/>
      <c r="AG570" s="235"/>
      <c r="AH570" s="235"/>
      <c r="AI570" s="235"/>
      <c r="AJ570" s="235"/>
      <c r="AK570" s="235"/>
      <c r="AL570" s="235"/>
      <c r="AM570" s="235"/>
      <c r="AN570" s="235"/>
      <c r="AO570" s="235"/>
      <c r="AP570" s="235"/>
      <c r="AQ570" s="235"/>
    </row>
    <row r="571" spans="1:43" ht="15.75" customHeight="1" x14ac:dyDescent="0.55000000000000004">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c r="AA571" s="235"/>
      <c r="AB571" s="235"/>
      <c r="AC571" s="235"/>
      <c r="AD571" s="235"/>
      <c r="AE571" s="235"/>
      <c r="AF571" s="235"/>
      <c r="AG571" s="235"/>
      <c r="AH571" s="235"/>
      <c r="AI571" s="235"/>
      <c r="AJ571" s="235"/>
      <c r="AK571" s="235"/>
      <c r="AL571" s="235"/>
      <c r="AM571" s="235"/>
      <c r="AN571" s="235"/>
      <c r="AO571" s="235"/>
      <c r="AP571" s="235"/>
      <c r="AQ571" s="235"/>
    </row>
    <row r="572" spans="1:43" ht="15.75" customHeight="1" x14ac:dyDescent="0.55000000000000004">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c r="AA572" s="235"/>
      <c r="AB572" s="235"/>
      <c r="AC572" s="235"/>
      <c r="AD572" s="235"/>
      <c r="AE572" s="235"/>
      <c r="AF572" s="235"/>
      <c r="AG572" s="235"/>
      <c r="AH572" s="235"/>
      <c r="AI572" s="235"/>
      <c r="AJ572" s="235"/>
      <c r="AK572" s="235"/>
      <c r="AL572" s="235"/>
      <c r="AM572" s="235"/>
      <c r="AN572" s="235"/>
      <c r="AO572" s="235"/>
      <c r="AP572" s="235"/>
      <c r="AQ572" s="235"/>
    </row>
    <row r="573" spans="1:43" ht="15.75" customHeight="1" x14ac:dyDescent="0.55000000000000004">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c r="AA573" s="235"/>
      <c r="AB573" s="235"/>
      <c r="AC573" s="235"/>
      <c r="AD573" s="235"/>
      <c r="AE573" s="235"/>
      <c r="AF573" s="235"/>
      <c r="AG573" s="235"/>
      <c r="AH573" s="235"/>
      <c r="AI573" s="235"/>
      <c r="AJ573" s="235"/>
      <c r="AK573" s="235"/>
      <c r="AL573" s="235"/>
      <c r="AM573" s="235"/>
      <c r="AN573" s="235"/>
      <c r="AO573" s="235"/>
      <c r="AP573" s="235"/>
      <c r="AQ573" s="235"/>
    </row>
    <row r="574" spans="1:43" ht="15.75" customHeight="1" x14ac:dyDescent="0.55000000000000004">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c r="AA574" s="235"/>
      <c r="AB574" s="235"/>
      <c r="AC574" s="235"/>
      <c r="AD574" s="235"/>
      <c r="AE574" s="235"/>
      <c r="AF574" s="235"/>
      <c r="AG574" s="235"/>
      <c r="AH574" s="235"/>
      <c r="AI574" s="235"/>
      <c r="AJ574" s="235"/>
      <c r="AK574" s="235"/>
      <c r="AL574" s="235"/>
      <c r="AM574" s="235"/>
      <c r="AN574" s="235"/>
      <c r="AO574" s="235"/>
      <c r="AP574" s="235"/>
      <c r="AQ574" s="235"/>
    </row>
    <row r="575" spans="1:43" ht="15.75" customHeight="1" x14ac:dyDescent="0.55000000000000004">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c r="AA575" s="235"/>
      <c r="AB575" s="235"/>
      <c r="AC575" s="235"/>
      <c r="AD575" s="235"/>
      <c r="AE575" s="235"/>
      <c r="AF575" s="235"/>
      <c r="AG575" s="235"/>
      <c r="AH575" s="235"/>
      <c r="AI575" s="235"/>
      <c r="AJ575" s="235"/>
      <c r="AK575" s="235"/>
      <c r="AL575" s="235"/>
      <c r="AM575" s="235"/>
      <c r="AN575" s="235"/>
      <c r="AO575" s="235"/>
      <c r="AP575" s="235"/>
      <c r="AQ575" s="235"/>
    </row>
    <row r="576" spans="1:43" ht="15.75" customHeight="1" x14ac:dyDescent="0.55000000000000004">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c r="AA576" s="235"/>
      <c r="AB576" s="235"/>
      <c r="AC576" s="235"/>
      <c r="AD576" s="235"/>
      <c r="AE576" s="235"/>
      <c r="AF576" s="235"/>
      <c r="AG576" s="235"/>
      <c r="AH576" s="235"/>
      <c r="AI576" s="235"/>
      <c r="AJ576" s="235"/>
      <c r="AK576" s="235"/>
      <c r="AL576" s="235"/>
      <c r="AM576" s="235"/>
      <c r="AN576" s="235"/>
      <c r="AO576" s="235"/>
      <c r="AP576" s="235"/>
      <c r="AQ576" s="235"/>
    </row>
    <row r="577" spans="1:43" ht="15.75" customHeight="1" x14ac:dyDescent="0.55000000000000004">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c r="AA577" s="235"/>
      <c r="AB577" s="235"/>
      <c r="AC577" s="235"/>
      <c r="AD577" s="235"/>
      <c r="AE577" s="235"/>
      <c r="AF577" s="235"/>
      <c r="AG577" s="235"/>
      <c r="AH577" s="235"/>
      <c r="AI577" s="235"/>
      <c r="AJ577" s="235"/>
      <c r="AK577" s="235"/>
      <c r="AL577" s="235"/>
      <c r="AM577" s="235"/>
      <c r="AN577" s="235"/>
      <c r="AO577" s="235"/>
      <c r="AP577" s="235"/>
      <c r="AQ577" s="235"/>
    </row>
    <row r="578" spans="1:43" ht="15.75" customHeight="1" x14ac:dyDescent="0.55000000000000004">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c r="AA578" s="235"/>
      <c r="AB578" s="235"/>
      <c r="AC578" s="235"/>
      <c r="AD578" s="235"/>
      <c r="AE578" s="235"/>
      <c r="AF578" s="235"/>
      <c r="AG578" s="235"/>
      <c r="AH578" s="235"/>
      <c r="AI578" s="235"/>
      <c r="AJ578" s="235"/>
      <c r="AK578" s="235"/>
      <c r="AL578" s="235"/>
      <c r="AM578" s="235"/>
      <c r="AN578" s="235"/>
      <c r="AO578" s="235"/>
      <c r="AP578" s="235"/>
      <c r="AQ578" s="235"/>
    </row>
    <row r="579" spans="1:43" ht="15.75" customHeight="1" x14ac:dyDescent="0.55000000000000004">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c r="AA579" s="235"/>
      <c r="AB579" s="235"/>
      <c r="AC579" s="235"/>
      <c r="AD579" s="235"/>
      <c r="AE579" s="235"/>
      <c r="AF579" s="235"/>
      <c r="AG579" s="235"/>
      <c r="AH579" s="235"/>
      <c r="AI579" s="235"/>
      <c r="AJ579" s="235"/>
      <c r="AK579" s="235"/>
      <c r="AL579" s="235"/>
      <c r="AM579" s="235"/>
      <c r="AN579" s="235"/>
      <c r="AO579" s="235"/>
      <c r="AP579" s="235"/>
      <c r="AQ579" s="235"/>
    </row>
    <row r="580" spans="1:43" ht="15.75" customHeight="1" x14ac:dyDescent="0.55000000000000004">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c r="AA580" s="235"/>
      <c r="AB580" s="235"/>
      <c r="AC580" s="235"/>
      <c r="AD580" s="235"/>
      <c r="AE580" s="235"/>
      <c r="AF580" s="235"/>
      <c r="AG580" s="235"/>
      <c r="AH580" s="235"/>
      <c r="AI580" s="235"/>
      <c r="AJ580" s="235"/>
      <c r="AK580" s="235"/>
      <c r="AL580" s="235"/>
      <c r="AM580" s="235"/>
      <c r="AN580" s="235"/>
      <c r="AO580" s="235"/>
      <c r="AP580" s="235"/>
      <c r="AQ580" s="235"/>
    </row>
    <row r="581" spans="1:43" ht="15.75" customHeight="1" x14ac:dyDescent="0.55000000000000004">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c r="AA581" s="235"/>
      <c r="AB581" s="235"/>
      <c r="AC581" s="235"/>
      <c r="AD581" s="235"/>
      <c r="AE581" s="235"/>
      <c r="AF581" s="235"/>
      <c r="AG581" s="235"/>
      <c r="AH581" s="235"/>
      <c r="AI581" s="235"/>
      <c r="AJ581" s="235"/>
      <c r="AK581" s="235"/>
      <c r="AL581" s="235"/>
      <c r="AM581" s="235"/>
      <c r="AN581" s="235"/>
      <c r="AO581" s="235"/>
      <c r="AP581" s="235"/>
      <c r="AQ581" s="235"/>
    </row>
    <row r="582" spans="1:43" ht="15.75" customHeight="1" x14ac:dyDescent="0.55000000000000004">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c r="AA582" s="235"/>
      <c r="AB582" s="235"/>
      <c r="AC582" s="235"/>
      <c r="AD582" s="235"/>
      <c r="AE582" s="235"/>
      <c r="AF582" s="235"/>
      <c r="AG582" s="235"/>
      <c r="AH582" s="235"/>
      <c r="AI582" s="235"/>
      <c r="AJ582" s="235"/>
      <c r="AK582" s="235"/>
      <c r="AL582" s="235"/>
      <c r="AM582" s="235"/>
      <c r="AN582" s="235"/>
      <c r="AO582" s="235"/>
      <c r="AP582" s="235"/>
      <c r="AQ582" s="235"/>
    </row>
    <row r="583" spans="1:43" ht="15.75" customHeight="1" x14ac:dyDescent="0.55000000000000004">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c r="AA583" s="235"/>
      <c r="AB583" s="235"/>
      <c r="AC583" s="235"/>
      <c r="AD583" s="235"/>
      <c r="AE583" s="235"/>
      <c r="AF583" s="235"/>
      <c r="AG583" s="235"/>
      <c r="AH583" s="235"/>
      <c r="AI583" s="235"/>
      <c r="AJ583" s="235"/>
      <c r="AK583" s="235"/>
      <c r="AL583" s="235"/>
      <c r="AM583" s="235"/>
      <c r="AN583" s="235"/>
      <c r="AO583" s="235"/>
      <c r="AP583" s="235"/>
      <c r="AQ583" s="235"/>
    </row>
    <row r="584" spans="1:43" ht="15.75" customHeight="1" x14ac:dyDescent="0.55000000000000004">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c r="AA584" s="235"/>
      <c r="AB584" s="235"/>
      <c r="AC584" s="235"/>
      <c r="AD584" s="235"/>
      <c r="AE584" s="235"/>
      <c r="AF584" s="235"/>
      <c r="AG584" s="235"/>
      <c r="AH584" s="235"/>
      <c r="AI584" s="235"/>
      <c r="AJ584" s="235"/>
      <c r="AK584" s="235"/>
      <c r="AL584" s="235"/>
      <c r="AM584" s="235"/>
      <c r="AN584" s="235"/>
      <c r="AO584" s="235"/>
      <c r="AP584" s="235"/>
      <c r="AQ584" s="235"/>
    </row>
    <row r="585" spans="1:43" ht="15.75" customHeight="1" x14ac:dyDescent="0.55000000000000004">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c r="AA585" s="235"/>
      <c r="AB585" s="235"/>
      <c r="AC585" s="235"/>
      <c r="AD585" s="235"/>
      <c r="AE585" s="235"/>
      <c r="AF585" s="235"/>
      <c r="AG585" s="235"/>
      <c r="AH585" s="235"/>
      <c r="AI585" s="235"/>
      <c r="AJ585" s="235"/>
      <c r="AK585" s="235"/>
      <c r="AL585" s="235"/>
      <c r="AM585" s="235"/>
      <c r="AN585" s="235"/>
      <c r="AO585" s="235"/>
      <c r="AP585" s="235"/>
      <c r="AQ585" s="235"/>
    </row>
    <row r="586" spans="1:43" ht="15.75" customHeight="1" x14ac:dyDescent="0.55000000000000004">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c r="AA586" s="235"/>
      <c r="AB586" s="235"/>
      <c r="AC586" s="235"/>
      <c r="AD586" s="235"/>
      <c r="AE586" s="235"/>
      <c r="AF586" s="235"/>
      <c r="AG586" s="235"/>
      <c r="AH586" s="235"/>
      <c r="AI586" s="235"/>
      <c r="AJ586" s="235"/>
      <c r="AK586" s="235"/>
      <c r="AL586" s="235"/>
      <c r="AM586" s="235"/>
      <c r="AN586" s="235"/>
      <c r="AO586" s="235"/>
      <c r="AP586" s="235"/>
      <c r="AQ586" s="235"/>
    </row>
    <row r="587" spans="1:43" ht="15.75" customHeight="1" x14ac:dyDescent="0.55000000000000004">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c r="AA587" s="235"/>
      <c r="AB587" s="235"/>
      <c r="AC587" s="235"/>
      <c r="AD587" s="235"/>
      <c r="AE587" s="235"/>
      <c r="AF587" s="235"/>
      <c r="AG587" s="235"/>
      <c r="AH587" s="235"/>
      <c r="AI587" s="235"/>
      <c r="AJ587" s="235"/>
      <c r="AK587" s="235"/>
      <c r="AL587" s="235"/>
      <c r="AM587" s="235"/>
      <c r="AN587" s="235"/>
      <c r="AO587" s="235"/>
      <c r="AP587" s="235"/>
      <c r="AQ587" s="235"/>
    </row>
    <row r="588" spans="1:43" ht="15.75" customHeight="1" x14ac:dyDescent="0.55000000000000004">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c r="AA588" s="235"/>
      <c r="AB588" s="235"/>
      <c r="AC588" s="235"/>
      <c r="AD588" s="235"/>
      <c r="AE588" s="235"/>
      <c r="AF588" s="235"/>
      <c r="AG588" s="235"/>
      <c r="AH588" s="235"/>
      <c r="AI588" s="235"/>
      <c r="AJ588" s="235"/>
      <c r="AK588" s="235"/>
      <c r="AL588" s="235"/>
      <c r="AM588" s="235"/>
      <c r="AN588" s="235"/>
      <c r="AO588" s="235"/>
      <c r="AP588" s="235"/>
      <c r="AQ588" s="235"/>
    </row>
    <row r="589" spans="1:43" ht="15.75" customHeight="1" x14ac:dyDescent="0.55000000000000004">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c r="AA589" s="235"/>
      <c r="AB589" s="235"/>
      <c r="AC589" s="235"/>
      <c r="AD589" s="235"/>
      <c r="AE589" s="235"/>
      <c r="AF589" s="235"/>
      <c r="AG589" s="235"/>
      <c r="AH589" s="235"/>
      <c r="AI589" s="235"/>
      <c r="AJ589" s="235"/>
      <c r="AK589" s="235"/>
      <c r="AL589" s="235"/>
      <c r="AM589" s="235"/>
      <c r="AN589" s="235"/>
      <c r="AO589" s="235"/>
      <c r="AP589" s="235"/>
      <c r="AQ589" s="235"/>
    </row>
    <row r="590" spans="1:43" ht="15.75" customHeight="1" x14ac:dyDescent="0.55000000000000004">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c r="AA590" s="235"/>
      <c r="AB590" s="235"/>
      <c r="AC590" s="235"/>
      <c r="AD590" s="235"/>
      <c r="AE590" s="235"/>
      <c r="AF590" s="235"/>
      <c r="AG590" s="235"/>
      <c r="AH590" s="235"/>
      <c r="AI590" s="235"/>
      <c r="AJ590" s="235"/>
      <c r="AK590" s="235"/>
      <c r="AL590" s="235"/>
      <c r="AM590" s="235"/>
      <c r="AN590" s="235"/>
      <c r="AO590" s="235"/>
      <c r="AP590" s="235"/>
      <c r="AQ590" s="235"/>
    </row>
    <row r="591" spans="1:43" ht="15.75" customHeight="1" x14ac:dyDescent="0.55000000000000004">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c r="AA591" s="235"/>
      <c r="AB591" s="235"/>
      <c r="AC591" s="235"/>
      <c r="AD591" s="235"/>
      <c r="AE591" s="235"/>
      <c r="AF591" s="235"/>
      <c r="AG591" s="235"/>
      <c r="AH591" s="235"/>
      <c r="AI591" s="235"/>
      <c r="AJ591" s="235"/>
      <c r="AK591" s="235"/>
      <c r="AL591" s="235"/>
      <c r="AM591" s="235"/>
      <c r="AN591" s="235"/>
      <c r="AO591" s="235"/>
      <c r="AP591" s="235"/>
      <c r="AQ591" s="235"/>
    </row>
    <row r="592" spans="1:43" ht="15.75" customHeight="1" x14ac:dyDescent="0.55000000000000004">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c r="AA592" s="235"/>
      <c r="AB592" s="235"/>
      <c r="AC592" s="235"/>
      <c r="AD592" s="235"/>
      <c r="AE592" s="235"/>
      <c r="AF592" s="235"/>
      <c r="AG592" s="235"/>
      <c r="AH592" s="235"/>
      <c r="AI592" s="235"/>
      <c r="AJ592" s="235"/>
      <c r="AK592" s="235"/>
      <c r="AL592" s="235"/>
      <c r="AM592" s="235"/>
      <c r="AN592" s="235"/>
      <c r="AO592" s="235"/>
      <c r="AP592" s="235"/>
      <c r="AQ592" s="235"/>
    </row>
    <row r="593" spans="1:43" ht="15.75" customHeight="1" x14ac:dyDescent="0.55000000000000004">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c r="AA593" s="235"/>
      <c r="AB593" s="235"/>
      <c r="AC593" s="235"/>
      <c r="AD593" s="235"/>
      <c r="AE593" s="235"/>
      <c r="AF593" s="235"/>
      <c r="AG593" s="235"/>
      <c r="AH593" s="235"/>
      <c r="AI593" s="235"/>
      <c r="AJ593" s="235"/>
      <c r="AK593" s="235"/>
      <c r="AL593" s="235"/>
      <c r="AM593" s="235"/>
      <c r="AN593" s="235"/>
      <c r="AO593" s="235"/>
      <c r="AP593" s="235"/>
      <c r="AQ593" s="235"/>
    </row>
    <row r="594" spans="1:43" ht="15.75" customHeight="1" x14ac:dyDescent="0.55000000000000004">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c r="AA594" s="235"/>
      <c r="AB594" s="235"/>
      <c r="AC594" s="235"/>
      <c r="AD594" s="235"/>
      <c r="AE594" s="235"/>
      <c r="AF594" s="235"/>
      <c r="AG594" s="235"/>
      <c r="AH594" s="235"/>
      <c r="AI594" s="235"/>
      <c r="AJ594" s="235"/>
      <c r="AK594" s="235"/>
      <c r="AL594" s="235"/>
      <c r="AM594" s="235"/>
      <c r="AN594" s="235"/>
      <c r="AO594" s="235"/>
      <c r="AP594" s="235"/>
      <c r="AQ594" s="235"/>
    </row>
    <row r="595" spans="1:43" ht="15.75" customHeight="1" x14ac:dyDescent="0.55000000000000004">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c r="AA595" s="235"/>
      <c r="AB595" s="235"/>
      <c r="AC595" s="235"/>
      <c r="AD595" s="235"/>
      <c r="AE595" s="235"/>
      <c r="AF595" s="235"/>
      <c r="AG595" s="235"/>
      <c r="AH595" s="235"/>
      <c r="AI595" s="235"/>
      <c r="AJ595" s="235"/>
      <c r="AK595" s="235"/>
      <c r="AL595" s="235"/>
      <c r="AM595" s="235"/>
      <c r="AN595" s="235"/>
      <c r="AO595" s="235"/>
      <c r="AP595" s="235"/>
      <c r="AQ595" s="235"/>
    </row>
    <row r="596" spans="1:43" ht="15.75" customHeight="1" x14ac:dyDescent="0.55000000000000004">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c r="AA596" s="235"/>
      <c r="AB596" s="235"/>
      <c r="AC596" s="235"/>
      <c r="AD596" s="235"/>
      <c r="AE596" s="235"/>
      <c r="AF596" s="235"/>
      <c r="AG596" s="235"/>
      <c r="AH596" s="235"/>
      <c r="AI596" s="235"/>
      <c r="AJ596" s="235"/>
      <c r="AK596" s="235"/>
      <c r="AL596" s="235"/>
      <c r="AM596" s="235"/>
      <c r="AN596" s="235"/>
      <c r="AO596" s="235"/>
      <c r="AP596" s="235"/>
      <c r="AQ596" s="235"/>
    </row>
    <row r="597" spans="1:43" ht="15.75" customHeight="1" x14ac:dyDescent="0.55000000000000004">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c r="AA597" s="235"/>
      <c r="AB597" s="235"/>
      <c r="AC597" s="235"/>
      <c r="AD597" s="235"/>
      <c r="AE597" s="235"/>
      <c r="AF597" s="235"/>
      <c r="AG597" s="235"/>
      <c r="AH597" s="235"/>
      <c r="AI597" s="235"/>
      <c r="AJ597" s="235"/>
      <c r="AK597" s="235"/>
      <c r="AL597" s="235"/>
      <c r="AM597" s="235"/>
      <c r="AN597" s="235"/>
      <c r="AO597" s="235"/>
      <c r="AP597" s="235"/>
      <c r="AQ597" s="235"/>
    </row>
    <row r="598" spans="1:43" ht="15.75" customHeight="1" x14ac:dyDescent="0.55000000000000004">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c r="AA598" s="235"/>
      <c r="AB598" s="235"/>
      <c r="AC598" s="235"/>
      <c r="AD598" s="235"/>
      <c r="AE598" s="235"/>
      <c r="AF598" s="235"/>
      <c r="AG598" s="235"/>
      <c r="AH598" s="235"/>
      <c r="AI598" s="235"/>
      <c r="AJ598" s="235"/>
      <c r="AK598" s="235"/>
      <c r="AL598" s="235"/>
      <c r="AM598" s="235"/>
      <c r="AN598" s="235"/>
      <c r="AO598" s="235"/>
      <c r="AP598" s="235"/>
      <c r="AQ598" s="235"/>
    </row>
    <row r="599" spans="1:43" ht="15.75" customHeight="1" x14ac:dyDescent="0.55000000000000004">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c r="AA599" s="235"/>
      <c r="AB599" s="235"/>
      <c r="AC599" s="235"/>
      <c r="AD599" s="235"/>
      <c r="AE599" s="235"/>
      <c r="AF599" s="235"/>
      <c r="AG599" s="235"/>
      <c r="AH599" s="235"/>
      <c r="AI599" s="235"/>
      <c r="AJ599" s="235"/>
      <c r="AK599" s="235"/>
      <c r="AL599" s="235"/>
      <c r="AM599" s="235"/>
      <c r="AN599" s="235"/>
      <c r="AO599" s="235"/>
      <c r="AP599" s="235"/>
      <c r="AQ599" s="235"/>
    </row>
    <row r="600" spans="1:43" ht="15.75" customHeight="1" x14ac:dyDescent="0.55000000000000004">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c r="AA600" s="235"/>
      <c r="AB600" s="235"/>
      <c r="AC600" s="235"/>
      <c r="AD600" s="235"/>
      <c r="AE600" s="235"/>
      <c r="AF600" s="235"/>
      <c r="AG600" s="235"/>
      <c r="AH600" s="235"/>
      <c r="AI600" s="235"/>
      <c r="AJ600" s="235"/>
      <c r="AK600" s="235"/>
      <c r="AL600" s="235"/>
      <c r="AM600" s="235"/>
      <c r="AN600" s="235"/>
      <c r="AO600" s="235"/>
      <c r="AP600" s="235"/>
      <c r="AQ600" s="235"/>
    </row>
    <row r="601" spans="1:43" ht="15.75" customHeight="1" x14ac:dyDescent="0.55000000000000004">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c r="AA601" s="235"/>
      <c r="AB601" s="235"/>
      <c r="AC601" s="235"/>
      <c r="AD601" s="235"/>
      <c r="AE601" s="235"/>
      <c r="AF601" s="235"/>
      <c r="AG601" s="235"/>
      <c r="AH601" s="235"/>
      <c r="AI601" s="235"/>
      <c r="AJ601" s="235"/>
      <c r="AK601" s="235"/>
      <c r="AL601" s="235"/>
      <c r="AM601" s="235"/>
      <c r="AN601" s="235"/>
      <c r="AO601" s="235"/>
      <c r="AP601" s="235"/>
      <c r="AQ601" s="235"/>
    </row>
    <row r="602" spans="1:43" ht="15.75" customHeight="1" x14ac:dyDescent="0.55000000000000004">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c r="AA602" s="235"/>
      <c r="AB602" s="235"/>
      <c r="AC602" s="235"/>
      <c r="AD602" s="235"/>
      <c r="AE602" s="235"/>
      <c r="AF602" s="235"/>
      <c r="AG602" s="235"/>
      <c r="AH602" s="235"/>
      <c r="AI602" s="235"/>
      <c r="AJ602" s="235"/>
      <c r="AK602" s="235"/>
      <c r="AL602" s="235"/>
      <c r="AM602" s="235"/>
      <c r="AN602" s="235"/>
      <c r="AO602" s="235"/>
      <c r="AP602" s="235"/>
      <c r="AQ602" s="235"/>
    </row>
    <row r="603" spans="1:43" ht="15.75" customHeight="1" x14ac:dyDescent="0.55000000000000004">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c r="AA603" s="235"/>
      <c r="AB603" s="235"/>
      <c r="AC603" s="235"/>
      <c r="AD603" s="235"/>
      <c r="AE603" s="235"/>
      <c r="AF603" s="235"/>
      <c r="AG603" s="235"/>
      <c r="AH603" s="235"/>
      <c r="AI603" s="235"/>
      <c r="AJ603" s="235"/>
      <c r="AK603" s="235"/>
      <c r="AL603" s="235"/>
      <c r="AM603" s="235"/>
      <c r="AN603" s="235"/>
      <c r="AO603" s="235"/>
      <c r="AP603" s="235"/>
      <c r="AQ603" s="235"/>
    </row>
    <row r="604" spans="1:43" ht="15.75" customHeight="1" x14ac:dyDescent="0.55000000000000004">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c r="AB604" s="235"/>
      <c r="AC604" s="235"/>
      <c r="AD604" s="235"/>
      <c r="AE604" s="235"/>
      <c r="AF604" s="235"/>
      <c r="AG604" s="235"/>
      <c r="AH604" s="235"/>
      <c r="AI604" s="235"/>
      <c r="AJ604" s="235"/>
      <c r="AK604" s="235"/>
      <c r="AL604" s="235"/>
      <c r="AM604" s="235"/>
      <c r="AN604" s="235"/>
      <c r="AO604" s="235"/>
      <c r="AP604" s="235"/>
      <c r="AQ604" s="235"/>
    </row>
    <row r="605" spans="1:43" ht="15.75" customHeight="1" x14ac:dyDescent="0.55000000000000004">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c r="AA605" s="235"/>
      <c r="AB605" s="235"/>
      <c r="AC605" s="235"/>
      <c r="AD605" s="235"/>
      <c r="AE605" s="235"/>
      <c r="AF605" s="235"/>
      <c r="AG605" s="235"/>
      <c r="AH605" s="235"/>
      <c r="AI605" s="235"/>
      <c r="AJ605" s="235"/>
      <c r="AK605" s="235"/>
      <c r="AL605" s="235"/>
      <c r="AM605" s="235"/>
      <c r="AN605" s="235"/>
      <c r="AO605" s="235"/>
      <c r="AP605" s="235"/>
      <c r="AQ605" s="235"/>
    </row>
    <row r="606" spans="1:43" ht="15.75" customHeight="1" x14ac:dyDescent="0.55000000000000004">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c r="AA606" s="235"/>
      <c r="AB606" s="235"/>
      <c r="AC606" s="235"/>
      <c r="AD606" s="235"/>
      <c r="AE606" s="235"/>
      <c r="AF606" s="235"/>
      <c r="AG606" s="235"/>
      <c r="AH606" s="235"/>
      <c r="AI606" s="235"/>
      <c r="AJ606" s="235"/>
      <c r="AK606" s="235"/>
      <c r="AL606" s="235"/>
      <c r="AM606" s="235"/>
      <c r="AN606" s="235"/>
      <c r="AO606" s="235"/>
      <c r="AP606" s="235"/>
      <c r="AQ606" s="235"/>
    </row>
    <row r="607" spans="1:43" ht="15.75" customHeight="1" x14ac:dyDescent="0.55000000000000004">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c r="AA607" s="235"/>
      <c r="AB607" s="235"/>
      <c r="AC607" s="235"/>
      <c r="AD607" s="235"/>
      <c r="AE607" s="235"/>
      <c r="AF607" s="235"/>
      <c r="AG607" s="235"/>
      <c r="AH607" s="235"/>
      <c r="AI607" s="235"/>
      <c r="AJ607" s="235"/>
      <c r="AK607" s="235"/>
      <c r="AL607" s="235"/>
      <c r="AM607" s="235"/>
      <c r="AN607" s="235"/>
      <c r="AO607" s="235"/>
      <c r="AP607" s="235"/>
      <c r="AQ607" s="235"/>
    </row>
    <row r="608" spans="1:43" ht="15.75" customHeight="1" x14ac:dyDescent="0.55000000000000004">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c r="AA608" s="235"/>
      <c r="AB608" s="235"/>
      <c r="AC608" s="235"/>
      <c r="AD608" s="235"/>
      <c r="AE608" s="235"/>
      <c r="AF608" s="235"/>
      <c r="AG608" s="235"/>
      <c r="AH608" s="235"/>
      <c r="AI608" s="235"/>
      <c r="AJ608" s="235"/>
      <c r="AK608" s="235"/>
      <c r="AL608" s="235"/>
      <c r="AM608" s="235"/>
      <c r="AN608" s="235"/>
      <c r="AO608" s="235"/>
      <c r="AP608" s="235"/>
      <c r="AQ608" s="235"/>
    </row>
    <row r="609" spans="1:43" ht="15.75" customHeight="1" x14ac:dyDescent="0.55000000000000004">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c r="AA609" s="235"/>
      <c r="AB609" s="235"/>
      <c r="AC609" s="235"/>
      <c r="AD609" s="235"/>
      <c r="AE609" s="235"/>
      <c r="AF609" s="235"/>
      <c r="AG609" s="235"/>
      <c r="AH609" s="235"/>
      <c r="AI609" s="235"/>
      <c r="AJ609" s="235"/>
      <c r="AK609" s="235"/>
      <c r="AL609" s="235"/>
      <c r="AM609" s="235"/>
      <c r="AN609" s="235"/>
      <c r="AO609" s="235"/>
      <c r="AP609" s="235"/>
      <c r="AQ609" s="235"/>
    </row>
    <row r="610" spans="1:43" ht="15.75" customHeight="1" x14ac:dyDescent="0.55000000000000004">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c r="AA610" s="235"/>
      <c r="AB610" s="235"/>
      <c r="AC610" s="235"/>
      <c r="AD610" s="235"/>
      <c r="AE610" s="235"/>
      <c r="AF610" s="235"/>
      <c r="AG610" s="235"/>
      <c r="AH610" s="235"/>
      <c r="AI610" s="235"/>
      <c r="AJ610" s="235"/>
      <c r="AK610" s="235"/>
      <c r="AL610" s="235"/>
      <c r="AM610" s="235"/>
      <c r="AN610" s="235"/>
      <c r="AO610" s="235"/>
      <c r="AP610" s="235"/>
      <c r="AQ610" s="235"/>
    </row>
    <row r="611" spans="1:43" ht="15.75" customHeight="1" x14ac:dyDescent="0.55000000000000004">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c r="AA611" s="235"/>
      <c r="AB611" s="235"/>
      <c r="AC611" s="235"/>
      <c r="AD611" s="235"/>
      <c r="AE611" s="235"/>
      <c r="AF611" s="235"/>
      <c r="AG611" s="235"/>
      <c r="AH611" s="235"/>
      <c r="AI611" s="235"/>
      <c r="AJ611" s="235"/>
      <c r="AK611" s="235"/>
      <c r="AL611" s="235"/>
      <c r="AM611" s="235"/>
      <c r="AN611" s="235"/>
      <c r="AO611" s="235"/>
      <c r="AP611" s="235"/>
      <c r="AQ611" s="235"/>
    </row>
    <row r="612" spans="1:43" ht="15.75" customHeight="1" x14ac:dyDescent="0.55000000000000004">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c r="AA612" s="235"/>
      <c r="AB612" s="235"/>
      <c r="AC612" s="235"/>
      <c r="AD612" s="235"/>
      <c r="AE612" s="235"/>
      <c r="AF612" s="235"/>
      <c r="AG612" s="235"/>
      <c r="AH612" s="235"/>
      <c r="AI612" s="235"/>
      <c r="AJ612" s="235"/>
      <c r="AK612" s="235"/>
      <c r="AL612" s="235"/>
      <c r="AM612" s="235"/>
      <c r="AN612" s="235"/>
      <c r="AO612" s="235"/>
      <c r="AP612" s="235"/>
      <c r="AQ612" s="235"/>
    </row>
    <row r="613" spans="1:43" ht="15.75" customHeight="1" x14ac:dyDescent="0.55000000000000004">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c r="AA613" s="235"/>
      <c r="AB613" s="235"/>
      <c r="AC613" s="235"/>
      <c r="AD613" s="235"/>
      <c r="AE613" s="235"/>
      <c r="AF613" s="235"/>
      <c r="AG613" s="235"/>
      <c r="AH613" s="235"/>
      <c r="AI613" s="235"/>
      <c r="AJ613" s="235"/>
      <c r="AK613" s="235"/>
      <c r="AL613" s="235"/>
      <c r="AM613" s="235"/>
      <c r="AN613" s="235"/>
      <c r="AO613" s="235"/>
      <c r="AP613" s="235"/>
      <c r="AQ613" s="235"/>
    </row>
    <row r="614" spans="1:43" ht="15.75" customHeight="1" x14ac:dyDescent="0.55000000000000004">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c r="AA614" s="235"/>
      <c r="AB614" s="235"/>
      <c r="AC614" s="235"/>
      <c r="AD614" s="235"/>
      <c r="AE614" s="235"/>
      <c r="AF614" s="235"/>
      <c r="AG614" s="235"/>
      <c r="AH614" s="235"/>
      <c r="AI614" s="235"/>
      <c r="AJ614" s="235"/>
      <c r="AK614" s="235"/>
      <c r="AL614" s="235"/>
      <c r="AM614" s="235"/>
      <c r="AN614" s="235"/>
      <c r="AO614" s="235"/>
      <c r="AP614" s="235"/>
      <c r="AQ614" s="235"/>
    </row>
    <row r="615" spans="1:43" ht="15.75" customHeight="1" x14ac:dyDescent="0.55000000000000004">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c r="AA615" s="235"/>
      <c r="AB615" s="235"/>
      <c r="AC615" s="235"/>
      <c r="AD615" s="235"/>
      <c r="AE615" s="235"/>
      <c r="AF615" s="235"/>
      <c r="AG615" s="235"/>
      <c r="AH615" s="235"/>
      <c r="AI615" s="235"/>
      <c r="AJ615" s="235"/>
      <c r="AK615" s="235"/>
      <c r="AL615" s="235"/>
      <c r="AM615" s="235"/>
      <c r="AN615" s="235"/>
      <c r="AO615" s="235"/>
      <c r="AP615" s="235"/>
      <c r="AQ615" s="235"/>
    </row>
    <row r="616" spans="1:43" ht="15.75" customHeight="1" x14ac:dyDescent="0.55000000000000004">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c r="AA616" s="235"/>
      <c r="AB616" s="235"/>
      <c r="AC616" s="235"/>
      <c r="AD616" s="235"/>
      <c r="AE616" s="235"/>
      <c r="AF616" s="235"/>
      <c r="AG616" s="235"/>
      <c r="AH616" s="235"/>
      <c r="AI616" s="235"/>
      <c r="AJ616" s="235"/>
      <c r="AK616" s="235"/>
      <c r="AL616" s="235"/>
      <c r="AM616" s="235"/>
      <c r="AN616" s="235"/>
      <c r="AO616" s="235"/>
      <c r="AP616" s="235"/>
      <c r="AQ616" s="235"/>
    </row>
    <row r="617" spans="1:43" ht="15.75" customHeight="1" x14ac:dyDescent="0.55000000000000004">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c r="AA617" s="235"/>
      <c r="AB617" s="235"/>
      <c r="AC617" s="235"/>
      <c r="AD617" s="235"/>
      <c r="AE617" s="235"/>
      <c r="AF617" s="235"/>
      <c r="AG617" s="235"/>
      <c r="AH617" s="235"/>
      <c r="AI617" s="235"/>
      <c r="AJ617" s="235"/>
      <c r="AK617" s="235"/>
      <c r="AL617" s="235"/>
      <c r="AM617" s="235"/>
      <c r="AN617" s="235"/>
      <c r="AO617" s="235"/>
      <c r="AP617" s="235"/>
      <c r="AQ617" s="235"/>
    </row>
    <row r="618" spans="1:43" ht="15.75" customHeight="1" x14ac:dyDescent="0.55000000000000004">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c r="AA618" s="235"/>
      <c r="AB618" s="235"/>
      <c r="AC618" s="235"/>
      <c r="AD618" s="235"/>
      <c r="AE618" s="235"/>
      <c r="AF618" s="235"/>
      <c r="AG618" s="235"/>
      <c r="AH618" s="235"/>
      <c r="AI618" s="235"/>
      <c r="AJ618" s="235"/>
      <c r="AK618" s="235"/>
      <c r="AL618" s="235"/>
      <c r="AM618" s="235"/>
      <c r="AN618" s="235"/>
      <c r="AO618" s="235"/>
      <c r="AP618" s="235"/>
      <c r="AQ618" s="235"/>
    </row>
    <row r="619" spans="1:43" ht="15.75" customHeight="1" x14ac:dyDescent="0.55000000000000004">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c r="AA619" s="235"/>
      <c r="AB619" s="235"/>
      <c r="AC619" s="235"/>
      <c r="AD619" s="235"/>
      <c r="AE619" s="235"/>
      <c r="AF619" s="235"/>
      <c r="AG619" s="235"/>
      <c r="AH619" s="235"/>
      <c r="AI619" s="235"/>
      <c r="AJ619" s="235"/>
      <c r="AK619" s="235"/>
      <c r="AL619" s="235"/>
      <c r="AM619" s="235"/>
      <c r="AN619" s="235"/>
      <c r="AO619" s="235"/>
      <c r="AP619" s="235"/>
      <c r="AQ619" s="235"/>
    </row>
    <row r="620" spans="1:43" ht="15.75" customHeight="1" x14ac:dyDescent="0.55000000000000004">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c r="AA620" s="235"/>
      <c r="AB620" s="235"/>
      <c r="AC620" s="235"/>
      <c r="AD620" s="235"/>
      <c r="AE620" s="235"/>
      <c r="AF620" s="235"/>
      <c r="AG620" s="235"/>
      <c r="AH620" s="235"/>
      <c r="AI620" s="235"/>
      <c r="AJ620" s="235"/>
      <c r="AK620" s="235"/>
      <c r="AL620" s="235"/>
      <c r="AM620" s="235"/>
      <c r="AN620" s="235"/>
      <c r="AO620" s="235"/>
      <c r="AP620" s="235"/>
      <c r="AQ620" s="235"/>
    </row>
    <row r="621" spans="1:43" ht="15.75" customHeight="1" x14ac:dyDescent="0.55000000000000004">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c r="AA621" s="235"/>
      <c r="AB621" s="235"/>
      <c r="AC621" s="235"/>
      <c r="AD621" s="235"/>
      <c r="AE621" s="235"/>
      <c r="AF621" s="235"/>
      <c r="AG621" s="235"/>
      <c r="AH621" s="235"/>
      <c r="AI621" s="235"/>
      <c r="AJ621" s="235"/>
      <c r="AK621" s="235"/>
      <c r="AL621" s="235"/>
      <c r="AM621" s="235"/>
      <c r="AN621" s="235"/>
      <c r="AO621" s="235"/>
      <c r="AP621" s="235"/>
      <c r="AQ621" s="235"/>
    </row>
    <row r="622" spans="1:43" ht="15.75" customHeight="1" x14ac:dyDescent="0.55000000000000004">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c r="AA622" s="235"/>
      <c r="AB622" s="235"/>
      <c r="AC622" s="235"/>
      <c r="AD622" s="235"/>
      <c r="AE622" s="235"/>
      <c r="AF622" s="235"/>
      <c r="AG622" s="235"/>
      <c r="AH622" s="235"/>
      <c r="AI622" s="235"/>
      <c r="AJ622" s="235"/>
      <c r="AK622" s="235"/>
      <c r="AL622" s="235"/>
      <c r="AM622" s="235"/>
      <c r="AN622" s="235"/>
      <c r="AO622" s="235"/>
      <c r="AP622" s="235"/>
      <c r="AQ622" s="235"/>
    </row>
    <row r="623" spans="1:43" ht="15.75" customHeight="1" x14ac:dyDescent="0.55000000000000004">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c r="AA623" s="235"/>
      <c r="AB623" s="235"/>
      <c r="AC623" s="235"/>
      <c r="AD623" s="235"/>
      <c r="AE623" s="235"/>
      <c r="AF623" s="235"/>
      <c r="AG623" s="235"/>
      <c r="AH623" s="235"/>
      <c r="AI623" s="235"/>
      <c r="AJ623" s="235"/>
      <c r="AK623" s="235"/>
      <c r="AL623" s="235"/>
      <c r="AM623" s="235"/>
      <c r="AN623" s="235"/>
      <c r="AO623" s="235"/>
      <c r="AP623" s="235"/>
      <c r="AQ623" s="235"/>
    </row>
    <row r="624" spans="1:43" ht="15.75" customHeight="1" x14ac:dyDescent="0.55000000000000004">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c r="AA624" s="235"/>
      <c r="AB624" s="235"/>
      <c r="AC624" s="235"/>
      <c r="AD624" s="235"/>
      <c r="AE624" s="235"/>
      <c r="AF624" s="235"/>
      <c r="AG624" s="235"/>
      <c r="AH624" s="235"/>
      <c r="AI624" s="235"/>
      <c r="AJ624" s="235"/>
      <c r="AK624" s="235"/>
      <c r="AL624" s="235"/>
      <c r="AM624" s="235"/>
      <c r="AN624" s="235"/>
      <c r="AO624" s="235"/>
      <c r="AP624" s="235"/>
      <c r="AQ624" s="235"/>
    </row>
    <row r="625" spans="1:43" ht="15.75" customHeight="1" x14ac:dyDescent="0.55000000000000004">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c r="AJ625" s="235"/>
      <c r="AK625" s="235"/>
      <c r="AL625" s="235"/>
      <c r="AM625" s="235"/>
      <c r="AN625" s="235"/>
      <c r="AO625" s="235"/>
      <c r="AP625" s="235"/>
      <c r="AQ625" s="235"/>
    </row>
    <row r="626" spans="1:43" ht="15.75" customHeight="1" x14ac:dyDescent="0.55000000000000004">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c r="AJ626" s="235"/>
      <c r="AK626" s="235"/>
      <c r="AL626" s="235"/>
      <c r="AM626" s="235"/>
      <c r="AN626" s="235"/>
      <c r="AO626" s="235"/>
      <c r="AP626" s="235"/>
      <c r="AQ626" s="235"/>
    </row>
    <row r="627" spans="1:43" ht="15.75" customHeight="1" x14ac:dyDescent="0.55000000000000004">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c r="AJ627" s="235"/>
      <c r="AK627" s="235"/>
      <c r="AL627" s="235"/>
      <c r="AM627" s="235"/>
      <c r="AN627" s="235"/>
      <c r="AO627" s="235"/>
      <c r="AP627" s="235"/>
      <c r="AQ627" s="235"/>
    </row>
    <row r="628" spans="1:43" ht="15.75" customHeight="1" x14ac:dyDescent="0.55000000000000004">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c r="AJ628" s="235"/>
      <c r="AK628" s="235"/>
      <c r="AL628" s="235"/>
      <c r="AM628" s="235"/>
      <c r="AN628" s="235"/>
      <c r="AO628" s="235"/>
      <c r="AP628" s="235"/>
      <c r="AQ628" s="235"/>
    </row>
    <row r="629" spans="1:43" ht="15.75" customHeight="1" x14ac:dyDescent="0.55000000000000004">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c r="AJ629" s="235"/>
      <c r="AK629" s="235"/>
      <c r="AL629" s="235"/>
      <c r="AM629" s="235"/>
      <c r="AN629" s="235"/>
      <c r="AO629" s="235"/>
      <c r="AP629" s="235"/>
      <c r="AQ629" s="235"/>
    </row>
    <row r="630" spans="1:43" ht="15.75" customHeight="1" x14ac:dyDescent="0.55000000000000004">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c r="AJ630" s="235"/>
      <c r="AK630" s="235"/>
      <c r="AL630" s="235"/>
      <c r="AM630" s="235"/>
      <c r="AN630" s="235"/>
      <c r="AO630" s="235"/>
      <c r="AP630" s="235"/>
      <c r="AQ630" s="235"/>
    </row>
    <row r="631" spans="1:43" ht="15.75" customHeight="1" x14ac:dyDescent="0.55000000000000004">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c r="AJ631" s="235"/>
      <c r="AK631" s="235"/>
      <c r="AL631" s="235"/>
      <c r="AM631" s="235"/>
      <c r="AN631" s="235"/>
      <c r="AO631" s="235"/>
      <c r="AP631" s="235"/>
      <c r="AQ631" s="235"/>
    </row>
    <row r="632" spans="1:43" ht="15.75" customHeight="1" x14ac:dyDescent="0.55000000000000004">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c r="AJ632" s="235"/>
      <c r="AK632" s="235"/>
      <c r="AL632" s="235"/>
      <c r="AM632" s="235"/>
      <c r="AN632" s="235"/>
      <c r="AO632" s="235"/>
      <c r="AP632" s="235"/>
      <c r="AQ632" s="235"/>
    </row>
    <row r="633" spans="1:43" ht="15.75" customHeight="1" x14ac:dyDescent="0.55000000000000004">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c r="AJ633" s="235"/>
      <c r="AK633" s="235"/>
      <c r="AL633" s="235"/>
      <c r="AM633" s="235"/>
      <c r="AN633" s="235"/>
      <c r="AO633" s="235"/>
      <c r="AP633" s="235"/>
      <c r="AQ633" s="235"/>
    </row>
    <row r="634" spans="1:43" ht="15.75" customHeight="1" x14ac:dyDescent="0.55000000000000004">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c r="AJ634" s="235"/>
      <c r="AK634" s="235"/>
      <c r="AL634" s="235"/>
      <c r="AM634" s="235"/>
      <c r="AN634" s="235"/>
      <c r="AO634" s="235"/>
      <c r="AP634" s="235"/>
      <c r="AQ634" s="235"/>
    </row>
    <row r="635" spans="1:43" ht="15.75" customHeight="1" x14ac:dyDescent="0.55000000000000004">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c r="AJ635" s="235"/>
      <c r="AK635" s="235"/>
      <c r="AL635" s="235"/>
      <c r="AM635" s="235"/>
      <c r="AN635" s="235"/>
      <c r="AO635" s="235"/>
      <c r="AP635" s="235"/>
      <c r="AQ635" s="235"/>
    </row>
    <row r="636" spans="1:43" ht="15.75" customHeight="1" x14ac:dyDescent="0.55000000000000004">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c r="AJ636" s="235"/>
      <c r="AK636" s="235"/>
      <c r="AL636" s="235"/>
      <c r="AM636" s="235"/>
      <c r="AN636" s="235"/>
      <c r="AO636" s="235"/>
      <c r="AP636" s="235"/>
      <c r="AQ636" s="235"/>
    </row>
    <row r="637" spans="1:43" ht="15.75" customHeight="1" x14ac:dyDescent="0.55000000000000004">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c r="AJ637" s="235"/>
      <c r="AK637" s="235"/>
      <c r="AL637" s="235"/>
      <c r="AM637" s="235"/>
      <c r="AN637" s="235"/>
      <c r="AO637" s="235"/>
      <c r="AP637" s="235"/>
      <c r="AQ637" s="235"/>
    </row>
    <row r="638" spans="1:43" ht="15.75" customHeight="1" x14ac:dyDescent="0.55000000000000004">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c r="AJ638" s="235"/>
      <c r="AK638" s="235"/>
      <c r="AL638" s="235"/>
      <c r="AM638" s="235"/>
      <c r="AN638" s="235"/>
      <c r="AO638" s="235"/>
      <c r="AP638" s="235"/>
      <c r="AQ638" s="235"/>
    </row>
    <row r="639" spans="1:43" ht="15.75" customHeight="1" x14ac:dyDescent="0.55000000000000004">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c r="AJ639" s="235"/>
      <c r="AK639" s="235"/>
      <c r="AL639" s="235"/>
      <c r="AM639" s="235"/>
      <c r="AN639" s="235"/>
      <c r="AO639" s="235"/>
      <c r="AP639" s="235"/>
      <c r="AQ639" s="235"/>
    </row>
    <row r="640" spans="1:43" ht="15.75" customHeight="1" x14ac:dyDescent="0.55000000000000004">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c r="AJ640" s="235"/>
      <c r="AK640" s="235"/>
      <c r="AL640" s="235"/>
      <c r="AM640" s="235"/>
      <c r="AN640" s="235"/>
      <c r="AO640" s="235"/>
      <c r="AP640" s="235"/>
      <c r="AQ640" s="235"/>
    </row>
    <row r="641" spans="1:43" ht="15.75" customHeight="1" x14ac:dyDescent="0.55000000000000004">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c r="AJ641" s="235"/>
      <c r="AK641" s="235"/>
      <c r="AL641" s="235"/>
      <c r="AM641" s="235"/>
      <c r="AN641" s="235"/>
      <c r="AO641" s="235"/>
      <c r="AP641" s="235"/>
      <c r="AQ641" s="235"/>
    </row>
    <row r="642" spans="1:43" ht="15.75" customHeight="1" x14ac:dyDescent="0.55000000000000004">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c r="AJ642" s="235"/>
      <c r="AK642" s="235"/>
      <c r="AL642" s="235"/>
      <c r="AM642" s="235"/>
      <c r="AN642" s="235"/>
      <c r="AO642" s="235"/>
      <c r="AP642" s="235"/>
      <c r="AQ642" s="235"/>
    </row>
    <row r="643" spans="1:43" ht="15.75" customHeight="1" x14ac:dyDescent="0.55000000000000004">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c r="AJ643" s="235"/>
      <c r="AK643" s="235"/>
      <c r="AL643" s="235"/>
      <c r="AM643" s="235"/>
      <c r="AN643" s="235"/>
      <c r="AO643" s="235"/>
      <c r="AP643" s="235"/>
      <c r="AQ643" s="235"/>
    </row>
    <row r="644" spans="1:43" ht="15.75" customHeight="1" x14ac:dyDescent="0.55000000000000004">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c r="AJ644" s="235"/>
      <c r="AK644" s="235"/>
      <c r="AL644" s="235"/>
      <c r="AM644" s="235"/>
      <c r="AN644" s="235"/>
      <c r="AO644" s="235"/>
      <c r="AP644" s="235"/>
      <c r="AQ644" s="235"/>
    </row>
    <row r="645" spans="1:43" ht="15.75" customHeight="1" x14ac:dyDescent="0.55000000000000004">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c r="AA645" s="235"/>
      <c r="AB645" s="235"/>
      <c r="AC645" s="235"/>
      <c r="AD645" s="235"/>
      <c r="AE645" s="235"/>
      <c r="AF645" s="235"/>
      <c r="AG645" s="235"/>
      <c r="AH645" s="235"/>
      <c r="AI645" s="235"/>
      <c r="AJ645" s="235"/>
      <c r="AK645" s="235"/>
      <c r="AL645" s="235"/>
      <c r="AM645" s="235"/>
      <c r="AN645" s="235"/>
      <c r="AO645" s="235"/>
      <c r="AP645" s="235"/>
      <c r="AQ645" s="235"/>
    </row>
    <row r="646" spans="1:43" ht="15.75" customHeight="1" x14ac:dyDescent="0.55000000000000004">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c r="AA646" s="235"/>
      <c r="AB646" s="235"/>
      <c r="AC646" s="235"/>
      <c r="AD646" s="235"/>
      <c r="AE646" s="235"/>
      <c r="AF646" s="235"/>
      <c r="AG646" s="235"/>
      <c r="AH646" s="235"/>
      <c r="AI646" s="235"/>
      <c r="AJ646" s="235"/>
      <c r="AK646" s="235"/>
      <c r="AL646" s="235"/>
      <c r="AM646" s="235"/>
      <c r="AN646" s="235"/>
      <c r="AO646" s="235"/>
      <c r="AP646" s="235"/>
      <c r="AQ646" s="235"/>
    </row>
    <row r="647" spans="1:43" ht="15.75" customHeight="1" x14ac:dyDescent="0.55000000000000004">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c r="AA647" s="235"/>
      <c r="AB647" s="235"/>
      <c r="AC647" s="235"/>
      <c r="AD647" s="235"/>
      <c r="AE647" s="235"/>
      <c r="AF647" s="235"/>
      <c r="AG647" s="235"/>
      <c r="AH647" s="235"/>
      <c r="AI647" s="235"/>
      <c r="AJ647" s="235"/>
      <c r="AK647" s="235"/>
      <c r="AL647" s="235"/>
      <c r="AM647" s="235"/>
      <c r="AN647" s="235"/>
      <c r="AO647" s="235"/>
      <c r="AP647" s="235"/>
      <c r="AQ647" s="235"/>
    </row>
    <row r="648" spans="1:43" ht="15.75" customHeight="1" x14ac:dyDescent="0.55000000000000004">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c r="AA648" s="235"/>
      <c r="AB648" s="235"/>
      <c r="AC648" s="235"/>
      <c r="AD648" s="235"/>
      <c r="AE648" s="235"/>
      <c r="AF648" s="235"/>
      <c r="AG648" s="235"/>
      <c r="AH648" s="235"/>
      <c r="AI648" s="235"/>
      <c r="AJ648" s="235"/>
      <c r="AK648" s="235"/>
      <c r="AL648" s="235"/>
      <c r="AM648" s="235"/>
      <c r="AN648" s="235"/>
      <c r="AO648" s="235"/>
      <c r="AP648" s="235"/>
      <c r="AQ648" s="235"/>
    </row>
    <row r="649" spans="1:43" ht="15.75" customHeight="1" x14ac:dyDescent="0.55000000000000004">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c r="AA649" s="235"/>
      <c r="AB649" s="235"/>
      <c r="AC649" s="235"/>
      <c r="AD649" s="235"/>
      <c r="AE649" s="235"/>
      <c r="AF649" s="235"/>
      <c r="AG649" s="235"/>
      <c r="AH649" s="235"/>
      <c r="AI649" s="235"/>
      <c r="AJ649" s="235"/>
      <c r="AK649" s="235"/>
      <c r="AL649" s="235"/>
      <c r="AM649" s="235"/>
      <c r="AN649" s="235"/>
      <c r="AO649" s="235"/>
      <c r="AP649" s="235"/>
      <c r="AQ649" s="235"/>
    </row>
    <row r="650" spans="1:43" ht="15.75" customHeight="1" x14ac:dyDescent="0.55000000000000004">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c r="AA650" s="235"/>
      <c r="AB650" s="235"/>
      <c r="AC650" s="235"/>
      <c r="AD650" s="235"/>
      <c r="AE650" s="235"/>
      <c r="AF650" s="235"/>
      <c r="AG650" s="235"/>
      <c r="AH650" s="235"/>
      <c r="AI650" s="235"/>
      <c r="AJ650" s="235"/>
      <c r="AK650" s="235"/>
      <c r="AL650" s="235"/>
      <c r="AM650" s="235"/>
      <c r="AN650" s="235"/>
      <c r="AO650" s="235"/>
      <c r="AP650" s="235"/>
      <c r="AQ650" s="235"/>
    </row>
    <row r="651" spans="1:43" ht="15.75" customHeight="1" x14ac:dyDescent="0.55000000000000004">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c r="AA651" s="235"/>
      <c r="AB651" s="235"/>
      <c r="AC651" s="235"/>
      <c r="AD651" s="235"/>
      <c r="AE651" s="235"/>
      <c r="AF651" s="235"/>
      <c r="AG651" s="235"/>
      <c r="AH651" s="235"/>
      <c r="AI651" s="235"/>
      <c r="AJ651" s="235"/>
      <c r="AK651" s="235"/>
      <c r="AL651" s="235"/>
      <c r="AM651" s="235"/>
      <c r="AN651" s="235"/>
      <c r="AO651" s="235"/>
      <c r="AP651" s="235"/>
      <c r="AQ651" s="235"/>
    </row>
    <row r="652" spans="1:43" ht="15.75" customHeight="1" x14ac:dyDescent="0.55000000000000004">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c r="AA652" s="235"/>
      <c r="AB652" s="235"/>
      <c r="AC652" s="235"/>
      <c r="AD652" s="235"/>
      <c r="AE652" s="235"/>
      <c r="AF652" s="235"/>
      <c r="AG652" s="235"/>
      <c r="AH652" s="235"/>
      <c r="AI652" s="235"/>
      <c r="AJ652" s="235"/>
      <c r="AK652" s="235"/>
      <c r="AL652" s="235"/>
      <c r="AM652" s="235"/>
      <c r="AN652" s="235"/>
      <c r="AO652" s="235"/>
      <c r="AP652" s="235"/>
      <c r="AQ652" s="235"/>
    </row>
    <row r="653" spans="1:43" ht="15.75" customHeight="1" x14ac:dyDescent="0.55000000000000004">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c r="AA653" s="235"/>
      <c r="AB653" s="235"/>
      <c r="AC653" s="235"/>
      <c r="AD653" s="235"/>
      <c r="AE653" s="235"/>
      <c r="AF653" s="235"/>
      <c r="AG653" s="235"/>
      <c r="AH653" s="235"/>
      <c r="AI653" s="235"/>
      <c r="AJ653" s="235"/>
      <c r="AK653" s="235"/>
      <c r="AL653" s="235"/>
      <c r="AM653" s="235"/>
      <c r="AN653" s="235"/>
      <c r="AO653" s="235"/>
      <c r="AP653" s="235"/>
      <c r="AQ653" s="235"/>
    </row>
    <row r="654" spans="1:43" ht="15.75" customHeight="1" x14ac:dyDescent="0.55000000000000004">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c r="AA654" s="235"/>
      <c r="AB654" s="235"/>
      <c r="AC654" s="235"/>
      <c r="AD654" s="235"/>
      <c r="AE654" s="235"/>
      <c r="AF654" s="235"/>
      <c r="AG654" s="235"/>
      <c r="AH654" s="235"/>
      <c r="AI654" s="235"/>
      <c r="AJ654" s="235"/>
      <c r="AK654" s="235"/>
      <c r="AL654" s="235"/>
      <c r="AM654" s="235"/>
      <c r="AN654" s="235"/>
      <c r="AO654" s="235"/>
      <c r="AP654" s="235"/>
      <c r="AQ654" s="235"/>
    </row>
    <row r="655" spans="1:43" ht="15.75" customHeight="1" x14ac:dyDescent="0.55000000000000004">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c r="AA655" s="235"/>
      <c r="AB655" s="235"/>
      <c r="AC655" s="235"/>
      <c r="AD655" s="235"/>
      <c r="AE655" s="235"/>
      <c r="AF655" s="235"/>
      <c r="AG655" s="235"/>
      <c r="AH655" s="235"/>
      <c r="AI655" s="235"/>
      <c r="AJ655" s="235"/>
      <c r="AK655" s="235"/>
      <c r="AL655" s="235"/>
      <c r="AM655" s="235"/>
      <c r="AN655" s="235"/>
      <c r="AO655" s="235"/>
      <c r="AP655" s="235"/>
      <c r="AQ655" s="235"/>
    </row>
    <row r="656" spans="1:43" ht="15.75" customHeight="1" x14ac:dyDescent="0.55000000000000004">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c r="AA656" s="235"/>
      <c r="AB656" s="235"/>
      <c r="AC656" s="235"/>
      <c r="AD656" s="235"/>
      <c r="AE656" s="235"/>
      <c r="AF656" s="235"/>
      <c r="AG656" s="235"/>
      <c r="AH656" s="235"/>
      <c r="AI656" s="235"/>
      <c r="AJ656" s="235"/>
      <c r="AK656" s="235"/>
      <c r="AL656" s="235"/>
      <c r="AM656" s="235"/>
      <c r="AN656" s="235"/>
      <c r="AO656" s="235"/>
      <c r="AP656" s="235"/>
      <c r="AQ656" s="235"/>
    </row>
    <row r="657" spans="1:43" ht="15.75" customHeight="1" x14ac:dyDescent="0.55000000000000004">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c r="AA657" s="235"/>
      <c r="AB657" s="235"/>
      <c r="AC657" s="235"/>
      <c r="AD657" s="235"/>
      <c r="AE657" s="235"/>
      <c r="AF657" s="235"/>
      <c r="AG657" s="235"/>
      <c r="AH657" s="235"/>
      <c r="AI657" s="235"/>
      <c r="AJ657" s="235"/>
      <c r="AK657" s="235"/>
      <c r="AL657" s="235"/>
      <c r="AM657" s="235"/>
      <c r="AN657" s="235"/>
      <c r="AO657" s="235"/>
      <c r="AP657" s="235"/>
      <c r="AQ657" s="235"/>
    </row>
    <row r="658" spans="1:43" ht="15.75" customHeight="1" x14ac:dyDescent="0.55000000000000004">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c r="AA658" s="235"/>
      <c r="AB658" s="235"/>
      <c r="AC658" s="235"/>
      <c r="AD658" s="235"/>
      <c r="AE658" s="235"/>
      <c r="AF658" s="235"/>
      <c r="AG658" s="235"/>
      <c r="AH658" s="235"/>
      <c r="AI658" s="235"/>
      <c r="AJ658" s="235"/>
      <c r="AK658" s="235"/>
      <c r="AL658" s="235"/>
      <c r="AM658" s="235"/>
      <c r="AN658" s="235"/>
      <c r="AO658" s="235"/>
      <c r="AP658" s="235"/>
      <c r="AQ658" s="235"/>
    </row>
    <row r="659" spans="1:43" ht="15.75" customHeight="1" x14ac:dyDescent="0.55000000000000004">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c r="AA659" s="235"/>
      <c r="AB659" s="235"/>
      <c r="AC659" s="235"/>
      <c r="AD659" s="235"/>
      <c r="AE659" s="235"/>
      <c r="AF659" s="235"/>
      <c r="AG659" s="235"/>
      <c r="AH659" s="235"/>
      <c r="AI659" s="235"/>
      <c r="AJ659" s="235"/>
      <c r="AK659" s="235"/>
      <c r="AL659" s="235"/>
      <c r="AM659" s="235"/>
      <c r="AN659" s="235"/>
      <c r="AO659" s="235"/>
      <c r="AP659" s="235"/>
      <c r="AQ659" s="235"/>
    </row>
    <row r="660" spans="1:43" ht="15.75" customHeight="1" x14ac:dyDescent="0.55000000000000004">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c r="AA660" s="235"/>
      <c r="AB660" s="235"/>
      <c r="AC660" s="235"/>
      <c r="AD660" s="235"/>
      <c r="AE660" s="235"/>
      <c r="AF660" s="235"/>
      <c r="AG660" s="235"/>
      <c r="AH660" s="235"/>
      <c r="AI660" s="235"/>
      <c r="AJ660" s="235"/>
      <c r="AK660" s="235"/>
      <c r="AL660" s="235"/>
      <c r="AM660" s="235"/>
      <c r="AN660" s="235"/>
      <c r="AO660" s="235"/>
      <c r="AP660" s="235"/>
      <c r="AQ660" s="235"/>
    </row>
    <row r="661" spans="1:43" ht="15.75" customHeight="1" x14ac:dyDescent="0.55000000000000004">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c r="AA661" s="235"/>
      <c r="AB661" s="235"/>
      <c r="AC661" s="235"/>
      <c r="AD661" s="235"/>
      <c r="AE661" s="235"/>
      <c r="AF661" s="235"/>
      <c r="AG661" s="235"/>
      <c r="AH661" s="235"/>
      <c r="AI661" s="235"/>
      <c r="AJ661" s="235"/>
      <c r="AK661" s="235"/>
      <c r="AL661" s="235"/>
      <c r="AM661" s="235"/>
      <c r="AN661" s="235"/>
      <c r="AO661" s="235"/>
      <c r="AP661" s="235"/>
      <c r="AQ661" s="235"/>
    </row>
    <row r="662" spans="1:43" ht="15.75" customHeight="1" x14ac:dyDescent="0.55000000000000004">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c r="AA662" s="235"/>
      <c r="AB662" s="235"/>
      <c r="AC662" s="235"/>
      <c r="AD662" s="235"/>
      <c r="AE662" s="235"/>
      <c r="AF662" s="235"/>
      <c r="AG662" s="235"/>
      <c r="AH662" s="235"/>
      <c r="AI662" s="235"/>
      <c r="AJ662" s="235"/>
      <c r="AK662" s="235"/>
      <c r="AL662" s="235"/>
      <c r="AM662" s="235"/>
      <c r="AN662" s="235"/>
      <c r="AO662" s="235"/>
      <c r="AP662" s="235"/>
      <c r="AQ662" s="235"/>
    </row>
    <row r="663" spans="1:43" ht="15.75" customHeight="1" x14ac:dyDescent="0.55000000000000004">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c r="AA663" s="235"/>
      <c r="AB663" s="235"/>
      <c r="AC663" s="235"/>
      <c r="AD663" s="235"/>
      <c r="AE663" s="235"/>
      <c r="AF663" s="235"/>
      <c r="AG663" s="235"/>
      <c r="AH663" s="235"/>
      <c r="AI663" s="235"/>
      <c r="AJ663" s="235"/>
      <c r="AK663" s="235"/>
      <c r="AL663" s="235"/>
      <c r="AM663" s="235"/>
      <c r="AN663" s="235"/>
      <c r="AO663" s="235"/>
      <c r="AP663" s="235"/>
      <c r="AQ663" s="235"/>
    </row>
    <row r="664" spans="1:43" ht="15.75" customHeight="1" x14ac:dyDescent="0.55000000000000004">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c r="AA664" s="235"/>
      <c r="AB664" s="235"/>
      <c r="AC664" s="235"/>
      <c r="AD664" s="235"/>
      <c r="AE664" s="235"/>
      <c r="AF664" s="235"/>
      <c r="AG664" s="235"/>
      <c r="AH664" s="235"/>
      <c r="AI664" s="235"/>
      <c r="AJ664" s="235"/>
      <c r="AK664" s="235"/>
      <c r="AL664" s="235"/>
      <c r="AM664" s="235"/>
      <c r="AN664" s="235"/>
      <c r="AO664" s="235"/>
      <c r="AP664" s="235"/>
      <c r="AQ664" s="235"/>
    </row>
    <row r="665" spans="1:43" ht="15.75" customHeight="1" x14ac:dyDescent="0.55000000000000004">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c r="AA665" s="235"/>
      <c r="AB665" s="235"/>
      <c r="AC665" s="235"/>
      <c r="AD665" s="235"/>
      <c r="AE665" s="235"/>
      <c r="AF665" s="235"/>
      <c r="AG665" s="235"/>
      <c r="AH665" s="235"/>
      <c r="AI665" s="235"/>
      <c r="AJ665" s="235"/>
      <c r="AK665" s="235"/>
      <c r="AL665" s="235"/>
      <c r="AM665" s="235"/>
      <c r="AN665" s="235"/>
      <c r="AO665" s="235"/>
      <c r="AP665" s="235"/>
      <c r="AQ665" s="235"/>
    </row>
    <row r="666" spans="1:43" ht="15.75" customHeight="1" x14ac:dyDescent="0.55000000000000004">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c r="AA666" s="235"/>
      <c r="AB666" s="235"/>
      <c r="AC666" s="235"/>
      <c r="AD666" s="235"/>
      <c r="AE666" s="235"/>
      <c r="AF666" s="235"/>
      <c r="AG666" s="235"/>
      <c r="AH666" s="235"/>
      <c r="AI666" s="235"/>
      <c r="AJ666" s="235"/>
      <c r="AK666" s="235"/>
      <c r="AL666" s="235"/>
      <c r="AM666" s="235"/>
      <c r="AN666" s="235"/>
      <c r="AO666" s="235"/>
      <c r="AP666" s="235"/>
      <c r="AQ666" s="235"/>
    </row>
    <row r="667" spans="1:43" ht="15.75" customHeight="1" x14ac:dyDescent="0.55000000000000004">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c r="AA667" s="235"/>
      <c r="AB667" s="235"/>
      <c r="AC667" s="235"/>
      <c r="AD667" s="235"/>
      <c r="AE667" s="235"/>
      <c r="AF667" s="235"/>
      <c r="AG667" s="235"/>
      <c r="AH667" s="235"/>
      <c r="AI667" s="235"/>
      <c r="AJ667" s="235"/>
      <c r="AK667" s="235"/>
      <c r="AL667" s="235"/>
      <c r="AM667" s="235"/>
      <c r="AN667" s="235"/>
      <c r="AO667" s="235"/>
      <c r="AP667" s="235"/>
      <c r="AQ667" s="235"/>
    </row>
    <row r="668" spans="1:43" ht="15.75" customHeight="1" x14ac:dyDescent="0.55000000000000004">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c r="AA668" s="235"/>
      <c r="AB668" s="235"/>
      <c r="AC668" s="235"/>
      <c r="AD668" s="235"/>
      <c r="AE668" s="235"/>
      <c r="AF668" s="235"/>
      <c r="AG668" s="235"/>
      <c r="AH668" s="235"/>
      <c r="AI668" s="235"/>
      <c r="AJ668" s="235"/>
      <c r="AK668" s="235"/>
      <c r="AL668" s="235"/>
      <c r="AM668" s="235"/>
      <c r="AN668" s="235"/>
      <c r="AO668" s="235"/>
      <c r="AP668" s="235"/>
      <c r="AQ668" s="235"/>
    </row>
    <row r="669" spans="1:43" ht="15.75" customHeight="1" x14ac:dyDescent="0.55000000000000004">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c r="AA669" s="235"/>
      <c r="AB669" s="235"/>
      <c r="AC669" s="235"/>
      <c r="AD669" s="235"/>
      <c r="AE669" s="235"/>
      <c r="AF669" s="235"/>
      <c r="AG669" s="235"/>
      <c r="AH669" s="235"/>
      <c r="AI669" s="235"/>
      <c r="AJ669" s="235"/>
      <c r="AK669" s="235"/>
      <c r="AL669" s="235"/>
      <c r="AM669" s="235"/>
      <c r="AN669" s="235"/>
      <c r="AO669" s="235"/>
      <c r="AP669" s="235"/>
      <c r="AQ669" s="235"/>
    </row>
    <row r="670" spans="1:43" ht="15.75" customHeight="1" x14ac:dyDescent="0.55000000000000004">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c r="AA670" s="235"/>
      <c r="AB670" s="235"/>
      <c r="AC670" s="235"/>
      <c r="AD670" s="235"/>
      <c r="AE670" s="235"/>
      <c r="AF670" s="235"/>
      <c r="AG670" s="235"/>
      <c r="AH670" s="235"/>
      <c r="AI670" s="235"/>
      <c r="AJ670" s="235"/>
      <c r="AK670" s="235"/>
      <c r="AL670" s="235"/>
      <c r="AM670" s="235"/>
      <c r="AN670" s="235"/>
      <c r="AO670" s="235"/>
      <c r="AP670" s="235"/>
      <c r="AQ670" s="235"/>
    </row>
    <row r="671" spans="1:43" ht="15.75" customHeight="1" x14ac:dyDescent="0.55000000000000004">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c r="AA671" s="235"/>
      <c r="AB671" s="235"/>
      <c r="AC671" s="235"/>
      <c r="AD671" s="235"/>
      <c r="AE671" s="235"/>
      <c r="AF671" s="235"/>
      <c r="AG671" s="235"/>
      <c r="AH671" s="235"/>
      <c r="AI671" s="235"/>
      <c r="AJ671" s="235"/>
      <c r="AK671" s="235"/>
      <c r="AL671" s="235"/>
      <c r="AM671" s="235"/>
      <c r="AN671" s="235"/>
      <c r="AO671" s="235"/>
      <c r="AP671" s="235"/>
      <c r="AQ671" s="235"/>
    </row>
    <row r="672" spans="1:43" ht="15.75" customHeight="1" x14ac:dyDescent="0.55000000000000004">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c r="AA672" s="235"/>
      <c r="AB672" s="235"/>
      <c r="AC672" s="235"/>
      <c r="AD672" s="235"/>
      <c r="AE672" s="235"/>
      <c r="AF672" s="235"/>
      <c r="AG672" s="235"/>
      <c r="AH672" s="235"/>
      <c r="AI672" s="235"/>
      <c r="AJ672" s="235"/>
      <c r="AK672" s="235"/>
      <c r="AL672" s="235"/>
      <c r="AM672" s="235"/>
      <c r="AN672" s="235"/>
      <c r="AO672" s="235"/>
      <c r="AP672" s="235"/>
      <c r="AQ672" s="235"/>
    </row>
    <row r="673" spans="1:43" ht="15.75" customHeight="1" x14ac:dyDescent="0.55000000000000004">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c r="AA673" s="235"/>
      <c r="AB673" s="235"/>
      <c r="AC673" s="235"/>
      <c r="AD673" s="235"/>
      <c r="AE673" s="235"/>
      <c r="AF673" s="235"/>
      <c r="AG673" s="235"/>
      <c r="AH673" s="235"/>
      <c r="AI673" s="235"/>
      <c r="AJ673" s="235"/>
      <c r="AK673" s="235"/>
      <c r="AL673" s="235"/>
      <c r="AM673" s="235"/>
      <c r="AN673" s="235"/>
      <c r="AO673" s="235"/>
      <c r="AP673" s="235"/>
      <c r="AQ673" s="235"/>
    </row>
    <row r="674" spans="1:43" ht="15.75" customHeight="1" x14ac:dyDescent="0.55000000000000004">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c r="AA674" s="235"/>
      <c r="AB674" s="235"/>
      <c r="AC674" s="235"/>
      <c r="AD674" s="235"/>
      <c r="AE674" s="235"/>
      <c r="AF674" s="235"/>
      <c r="AG674" s="235"/>
      <c r="AH674" s="235"/>
      <c r="AI674" s="235"/>
      <c r="AJ674" s="235"/>
      <c r="AK674" s="235"/>
      <c r="AL674" s="235"/>
      <c r="AM674" s="235"/>
      <c r="AN674" s="235"/>
      <c r="AO674" s="235"/>
      <c r="AP674" s="235"/>
      <c r="AQ674" s="235"/>
    </row>
    <row r="675" spans="1:43" ht="15.75" customHeight="1" x14ac:dyDescent="0.55000000000000004">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c r="AA675" s="235"/>
      <c r="AB675" s="235"/>
      <c r="AC675" s="235"/>
      <c r="AD675" s="235"/>
      <c r="AE675" s="235"/>
      <c r="AF675" s="235"/>
      <c r="AG675" s="235"/>
      <c r="AH675" s="235"/>
      <c r="AI675" s="235"/>
      <c r="AJ675" s="235"/>
      <c r="AK675" s="235"/>
      <c r="AL675" s="235"/>
      <c r="AM675" s="235"/>
      <c r="AN675" s="235"/>
      <c r="AO675" s="235"/>
      <c r="AP675" s="235"/>
      <c r="AQ675" s="235"/>
    </row>
    <row r="676" spans="1:43" ht="15.75" customHeight="1" x14ac:dyDescent="0.55000000000000004">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c r="AA676" s="235"/>
      <c r="AB676" s="235"/>
      <c r="AC676" s="235"/>
      <c r="AD676" s="235"/>
      <c r="AE676" s="235"/>
      <c r="AF676" s="235"/>
      <c r="AG676" s="235"/>
      <c r="AH676" s="235"/>
      <c r="AI676" s="235"/>
      <c r="AJ676" s="235"/>
      <c r="AK676" s="235"/>
      <c r="AL676" s="235"/>
      <c r="AM676" s="235"/>
      <c r="AN676" s="235"/>
      <c r="AO676" s="235"/>
      <c r="AP676" s="235"/>
      <c r="AQ676" s="235"/>
    </row>
    <row r="677" spans="1:43" ht="15.75" customHeight="1" x14ac:dyDescent="0.55000000000000004">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c r="AA677" s="235"/>
      <c r="AB677" s="235"/>
      <c r="AC677" s="235"/>
      <c r="AD677" s="235"/>
      <c r="AE677" s="235"/>
      <c r="AF677" s="235"/>
      <c r="AG677" s="235"/>
      <c r="AH677" s="235"/>
      <c r="AI677" s="235"/>
      <c r="AJ677" s="235"/>
      <c r="AK677" s="235"/>
      <c r="AL677" s="235"/>
      <c r="AM677" s="235"/>
      <c r="AN677" s="235"/>
      <c r="AO677" s="235"/>
      <c r="AP677" s="235"/>
      <c r="AQ677" s="235"/>
    </row>
    <row r="678" spans="1:43" ht="15.75" customHeight="1" x14ac:dyDescent="0.55000000000000004">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c r="AA678" s="235"/>
      <c r="AB678" s="235"/>
      <c r="AC678" s="235"/>
      <c r="AD678" s="235"/>
      <c r="AE678" s="235"/>
      <c r="AF678" s="235"/>
      <c r="AG678" s="235"/>
      <c r="AH678" s="235"/>
      <c r="AI678" s="235"/>
      <c r="AJ678" s="235"/>
      <c r="AK678" s="235"/>
      <c r="AL678" s="235"/>
      <c r="AM678" s="235"/>
      <c r="AN678" s="235"/>
      <c r="AO678" s="235"/>
      <c r="AP678" s="235"/>
      <c r="AQ678" s="235"/>
    </row>
    <row r="679" spans="1:43" ht="15.75" customHeight="1" x14ac:dyDescent="0.55000000000000004">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c r="AA679" s="235"/>
      <c r="AB679" s="235"/>
      <c r="AC679" s="235"/>
      <c r="AD679" s="235"/>
      <c r="AE679" s="235"/>
      <c r="AF679" s="235"/>
      <c r="AG679" s="235"/>
      <c r="AH679" s="235"/>
      <c r="AI679" s="235"/>
      <c r="AJ679" s="235"/>
      <c r="AK679" s="235"/>
      <c r="AL679" s="235"/>
      <c r="AM679" s="235"/>
      <c r="AN679" s="235"/>
      <c r="AO679" s="235"/>
      <c r="AP679" s="235"/>
      <c r="AQ679" s="235"/>
    </row>
    <row r="680" spans="1:43" ht="15.75" customHeight="1" x14ac:dyDescent="0.55000000000000004">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c r="AA680" s="235"/>
      <c r="AB680" s="235"/>
      <c r="AC680" s="235"/>
      <c r="AD680" s="235"/>
      <c r="AE680" s="235"/>
      <c r="AF680" s="235"/>
      <c r="AG680" s="235"/>
      <c r="AH680" s="235"/>
      <c r="AI680" s="235"/>
      <c r="AJ680" s="235"/>
      <c r="AK680" s="235"/>
      <c r="AL680" s="235"/>
      <c r="AM680" s="235"/>
      <c r="AN680" s="235"/>
      <c r="AO680" s="235"/>
      <c r="AP680" s="235"/>
      <c r="AQ680" s="235"/>
    </row>
    <row r="681" spans="1:43" ht="15.75" customHeight="1" x14ac:dyDescent="0.55000000000000004">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c r="AA681" s="235"/>
      <c r="AB681" s="235"/>
      <c r="AC681" s="235"/>
      <c r="AD681" s="235"/>
      <c r="AE681" s="235"/>
      <c r="AF681" s="235"/>
      <c r="AG681" s="235"/>
      <c r="AH681" s="235"/>
      <c r="AI681" s="235"/>
      <c r="AJ681" s="235"/>
      <c r="AK681" s="235"/>
      <c r="AL681" s="235"/>
      <c r="AM681" s="235"/>
      <c r="AN681" s="235"/>
      <c r="AO681" s="235"/>
      <c r="AP681" s="235"/>
      <c r="AQ681" s="235"/>
    </row>
    <row r="682" spans="1:43" ht="15.75" customHeight="1" x14ac:dyDescent="0.55000000000000004">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c r="AA682" s="235"/>
      <c r="AB682" s="235"/>
      <c r="AC682" s="235"/>
      <c r="AD682" s="235"/>
      <c r="AE682" s="235"/>
      <c r="AF682" s="235"/>
      <c r="AG682" s="235"/>
      <c r="AH682" s="235"/>
      <c r="AI682" s="235"/>
      <c r="AJ682" s="235"/>
      <c r="AK682" s="235"/>
      <c r="AL682" s="235"/>
      <c r="AM682" s="235"/>
      <c r="AN682" s="235"/>
      <c r="AO682" s="235"/>
      <c r="AP682" s="235"/>
      <c r="AQ682" s="235"/>
    </row>
    <row r="683" spans="1:43" ht="15.75" customHeight="1" x14ac:dyDescent="0.55000000000000004">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c r="AA683" s="235"/>
      <c r="AB683" s="235"/>
      <c r="AC683" s="235"/>
      <c r="AD683" s="235"/>
      <c r="AE683" s="235"/>
      <c r="AF683" s="235"/>
      <c r="AG683" s="235"/>
      <c r="AH683" s="235"/>
      <c r="AI683" s="235"/>
      <c r="AJ683" s="235"/>
      <c r="AK683" s="235"/>
      <c r="AL683" s="235"/>
      <c r="AM683" s="235"/>
      <c r="AN683" s="235"/>
      <c r="AO683" s="235"/>
      <c r="AP683" s="235"/>
      <c r="AQ683" s="235"/>
    </row>
    <row r="684" spans="1:43" ht="15.75" customHeight="1" x14ac:dyDescent="0.55000000000000004">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c r="AA684" s="235"/>
      <c r="AB684" s="235"/>
      <c r="AC684" s="235"/>
      <c r="AD684" s="235"/>
      <c r="AE684" s="235"/>
      <c r="AF684" s="235"/>
      <c r="AG684" s="235"/>
      <c r="AH684" s="235"/>
      <c r="AI684" s="235"/>
      <c r="AJ684" s="235"/>
      <c r="AK684" s="235"/>
      <c r="AL684" s="235"/>
      <c r="AM684" s="235"/>
      <c r="AN684" s="235"/>
      <c r="AO684" s="235"/>
      <c r="AP684" s="235"/>
      <c r="AQ684" s="235"/>
    </row>
    <row r="685" spans="1:43" ht="15.75" customHeight="1" x14ac:dyDescent="0.55000000000000004">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c r="AA685" s="235"/>
      <c r="AB685" s="235"/>
      <c r="AC685" s="235"/>
      <c r="AD685" s="235"/>
      <c r="AE685" s="235"/>
      <c r="AF685" s="235"/>
      <c r="AG685" s="235"/>
      <c r="AH685" s="235"/>
      <c r="AI685" s="235"/>
      <c r="AJ685" s="235"/>
      <c r="AK685" s="235"/>
      <c r="AL685" s="235"/>
      <c r="AM685" s="235"/>
      <c r="AN685" s="235"/>
      <c r="AO685" s="235"/>
      <c r="AP685" s="235"/>
      <c r="AQ685" s="235"/>
    </row>
    <row r="686" spans="1:43" ht="15.75" customHeight="1" x14ac:dyDescent="0.55000000000000004">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c r="AA686" s="235"/>
      <c r="AB686" s="235"/>
      <c r="AC686" s="235"/>
      <c r="AD686" s="235"/>
      <c r="AE686" s="235"/>
      <c r="AF686" s="235"/>
      <c r="AG686" s="235"/>
      <c r="AH686" s="235"/>
      <c r="AI686" s="235"/>
      <c r="AJ686" s="235"/>
      <c r="AK686" s="235"/>
      <c r="AL686" s="235"/>
      <c r="AM686" s="235"/>
      <c r="AN686" s="235"/>
      <c r="AO686" s="235"/>
      <c r="AP686" s="235"/>
      <c r="AQ686" s="235"/>
    </row>
    <row r="687" spans="1:43" ht="15.75" customHeight="1" x14ac:dyDescent="0.55000000000000004">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c r="AA687" s="235"/>
      <c r="AB687" s="235"/>
      <c r="AC687" s="235"/>
      <c r="AD687" s="235"/>
      <c r="AE687" s="235"/>
      <c r="AF687" s="235"/>
      <c r="AG687" s="235"/>
      <c r="AH687" s="235"/>
      <c r="AI687" s="235"/>
      <c r="AJ687" s="235"/>
      <c r="AK687" s="235"/>
      <c r="AL687" s="235"/>
      <c r="AM687" s="235"/>
      <c r="AN687" s="235"/>
      <c r="AO687" s="235"/>
      <c r="AP687" s="235"/>
      <c r="AQ687" s="235"/>
    </row>
    <row r="688" spans="1:43" ht="15.75" customHeight="1" x14ac:dyDescent="0.55000000000000004">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c r="AA688" s="235"/>
      <c r="AB688" s="235"/>
      <c r="AC688" s="235"/>
      <c r="AD688" s="235"/>
      <c r="AE688" s="235"/>
      <c r="AF688" s="235"/>
      <c r="AG688" s="235"/>
      <c r="AH688" s="235"/>
      <c r="AI688" s="235"/>
      <c r="AJ688" s="235"/>
      <c r="AK688" s="235"/>
      <c r="AL688" s="235"/>
      <c r="AM688" s="235"/>
      <c r="AN688" s="235"/>
      <c r="AO688" s="235"/>
      <c r="AP688" s="235"/>
      <c r="AQ688" s="235"/>
    </row>
    <row r="689" spans="1:43" ht="15.75" customHeight="1" x14ac:dyDescent="0.55000000000000004">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c r="AA689" s="235"/>
      <c r="AB689" s="235"/>
      <c r="AC689" s="235"/>
      <c r="AD689" s="235"/>
      <c r="AE689" s="235"/>
      <c r="AF689" s="235"/>
      <c r="AG689" s="235"/>
      <c r="AH689" s="235"/>
      <c r="AI689" s="235"/>
      <c r="AJ689" s="235"/>
      <c r="AK689" s="235"/>
      <c r="AL689" s="235"/>
      <c r="AM689" s="235"/>
      <c r="AN689" s="235"/>
      <c r="AO689" s="235"/>
      <c r="AP689" s="235"/>
      <c r="AQ689" s="235"/>
    </row>
    <row r="690" spans="1:43" ht="15.75" customHeight="1" x14ac:dyDescent="0.55000000000000004">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c r="AA690" s="235"/>
      <c r="AB690" s="235"/>
      <c r="AC690" s="235"/>
      <c r="AD690" s="235"/>
      <c r="AE690" s="235"/>
      <c r="AF690" s="235"/>
      <c r="AG690" s="235"/>
      <c r="AH690" s="235"/>
      <c r="AI690" s="235"/>
      <c r="AJ690" s="235"/>
      <c r="AK690" s="235"/>
      <c r="AL690" s="235"/>
      <c r="AM690" s="235"/>
      <c r="AN690" s="235"/>
      <c r="AO690" s="235"/>
      <c r="AP690" s="235"/>
      <c r="AQ690" s="235"/>
    </row>
    <row r="691" spans="1:43" ht="15.75" customHeight="1" x14ac:dyDescent="0.55000000000000004">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c r="AA691" s="235"/>
      <c r="AB691" s="235"/>
      <c r="AC691" s="235"/>
      <c r="AD691" s="235"/>
      <c r="AE691" s="235"/>
      <c r="AF691" s="235"/>
      <c r="AG691" s="235"/>
      <c r="AH691" s="235"/>
      <c r="AI691" s="235"/>
      <c r="AJ691" s="235"/>
      <c r="AK691" s="235"/>
      <c r="AL691" s="235"/>
      <c r="AM691" s="235"/>
      <c r="AN691" s="235"/>
      <c r="AO691" s="235"/>
      <c r="AP691" s="235"/>
      <c r="AQ691" s="235"/>
    </row>
    <row r="692" spans="1:43" ht="15.75" customHeight="1" x14ac:dyDescent="0.55000000000000004">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c r="AA692" s="235"/>
      <c r="AB692" s="235"/>
      <c r="AC692" s="235"/>
      <c r="AD692" s="235"/>
      <c r="AE692" s="235"/>
      <c r="AF692" s="235"/>
      <c r="AG692" s="235"/>
      <c r="AH692" s="235"/>
      <c r="AI692" s="235"/>
      <c r="AJ692" s="235"/>
      <c r="AK692" s="235"/>
      <c r="AL692" s="235"/>
      <c r="AM692" s="235"/>
      <c r="AN692" s="235"/>
      <c r="AO692" s="235"/>
      <c r="AP692" s="235"/>
      <c r="AQ692" s="235"/>
    </row>
    <row r="693" spans="1:43" ht="15.75" customHeight="1" x14ac:dyDescent="0.55000000000000004">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c r="AA693" s="235"/>
      <c r="AB693" s="235"/>
      <c r="AC693" s="235"/>
      <c r="AD693" s="235"/>
      <c r="AE693" s="235"/>
      <c r="AF693" s="235"/>
      <c r="AG693" s="235"/>
      <c r="AH693" s="235"/>
      <c r="AI693" s="235"/>
      <c r="AJ693" s="235"/>
      <c r="AK693" s="235"/>
      <c r="AL693" s="235"/>
      <c r="AM693" s="235"/>
      <c r="AN693" s="235"/>
      <c r="AO693" s="235"/>
      <c r="AP693" s="235"/>
      <c r="AQ693" s="235"/>
    </row>
    <row r="694" spans="1:43" ht="15.75" customHeight="1" x14ac:dyDescent="0.55000000000000004">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c r="AA694" s="235"/>
      <c r="AB694" s="235"/>
      <c r="AC694" s="235"/>
      <c r="AD694" s="235"/>
      <c r="AE694" s="235"/>
      <c r="AF694" s="235"/>
      <c r="AG694" s="235"/>
      <c r="AH694" s="235"/>
      <c r="AI694" s="235"/>
      <c r="AJ694" s="235"/>
      <c r="AK694" s="235"/>
      <c r="AL694" s="235"/>
      <c r="AM694" s="235"/>
      <c r="AN694" s="235"/>
      <c r="AO694" s="235"/>
      <c r="AP694" s="235"/>
      <c r="AQ694" s="235"/>
    </row>
    <row r="695" spans="1:43" ht="15.75" customHeight="1" x14ac:dyDescent="0.55000000000000004">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c r="AA695" s="235"/>
      <c r="AB695" s="235"/>
      <c r="AC695" s="235"/>
      <c r="AD695" s="235"/>
      <c r="AE695" s="235"/>
      <c r="AF695" s="235"/>
      <c r="AG695" s="235"/>
      <c r="AH695" s="235"/>
      <c r="AI695" s="235"/>
      <c r="AJ695" s="235"/>
      <c r="AK695" s="235"/>
      <c r="AL695" s="235"/>
      <c r="AM695" s="235"/>
      <c r="AN695" s="235"/>
      <c r="AO695" s="235"/>
      <c r="AP695" s="235"/>
      <c r="AQ695" s="235"/>
    </row>
    <row r="696" spans="1:43" ht="15.75" customHeight="1" x14ac:dyDescent="0.55000000000000004">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c r="AA696" s="235"/>
      <c r="AB696" s="235"/>
      <c r="AC696" s="235"/>
      <c r="AD696" s="235"/>
      <c r="AE696" s="235"/>
      <c r="AF696" s="235"/>
      <c r="AG696" s="235"/>
      <c r="AH696" s="235"/>
      <c r="AI696" s="235"/>
      <c r="AJ696" s="235"/>
      <c r="AK696" s="235"/>
      <c r="AL696" s="235"/>
      <c r="AM696" s="235"/>
      <c r="AN696" s="235"/>
      <c r="AO696" s="235"/>
      <c r="AP696" s="235"/>
      <c r="AQ696" s="235"/>
    </row>
    <row r="697" spans="1:43" ht="15.75" customHeight="1" x14ac:dyDescent="0.55000000000000004">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c r="AA697" s="235"/>
      <c r="AB697" s="235"/>
      <c r="AC697" s="235"/>
      <c r="AD697" s="235"/>
      <c r="AE697" s="235"/>
      <c r="AF697" s="235"/>
      <c r="AG697" s="235"/>
      <c r="AH697" s="235"/>
      <c r="AI697" s="235"/>
      <c r="AJ697" s="235"/>
      <c r="AK697" s="235"/>
      <c r="AL697" s="235"/>
      <c r="AM697" s="235"/>
      <c r="AN697" s="235"/>
      <c r="AO697" s="235"/>
      <c r="AP697" s="235"/>
      <c r="AQ697" s="235"/>
    </row>
    <row r="698" spans="1:43" ht="15.75" customHeight="1" x14ac:dyDescent="0.55000000000000004">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c r="AA698" s="235"/>
      <c r="AB698" s="235"/>
      <c r="AC698" s="235"/>
      <c r="AD698" s="235"/>
      <c r="AE698" s="235"/>
      <c r="AF698" s="235"/>
      <c r="AG698" s="235"/>
      <c r="AH698" s="235"/>
      <c r="AI698" s="235"/>
      <c r="AJ698" s="235"/>
      <c r="AK698" s="235"/>
      <c r="AL698" s="235"/>
      <c r="AM698" s="235"/>
      <c r="AN698" s="235"/>
      <c r="AO698" s="235"/>
      <c r="AP698" s="235"/>
      <c r="AQ698" s="235"/>
    </row>
    <row r="699" spans="1:43" ht="15.75" customHeight="1" x14ac:dyDescent="0.55000000000000004">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c r="AA699" s="235"/>
      <c r="AB699" s="235"/>
      <c r="AC699" s="235"/>
      <c r="AD699" s="235"/>
      <c r="AE699" s="235"/>
      <c r="AF699" s="235"/>
      <c r="AG699" s="235"/>
      <c r="AH699" s="235"/>
      <c r="AI699" s="235"/>
      <c r="AJ699" s="235"/>
      <c r="AK699" s="235"/>
      <c r="AL699" s="235"/>
      <c r="AM699" s="235"/>
      <c r="AN699" s="235"/>
      <c r="AO699" s="235"/>
      <c r="AP699" s="235"/>
      <c r="AQ699" s="235"/>
    </row>
    <row r="700" spans="1:43" ht="15.75" customHeight="1" x14ac:dyDescent="0.55000000000000004">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c r="AA700" s="235"/>
      <c r="AB700" s="235"/>
      <c r="AC700" s="235"/>
      <c r="AD700" s="235"/>
      <c r="AE700" s="235"/>
      <c r="AF700" s="235"/>
      <c r="AG700" s="235"/>
      <c r="AH700" s="235"/>
      <c r="AI700" s="235"/>
      <c r="AJ700" s="235"/>
      <c r="AK700" s="235"/>
      <c r="AL700" s="235"/>
      <c r="AM700" s="235"/>
      <c r="AN700" s="235"/>
      <c r="AO700" s="235"/>
      <c r="AP700" s="235"/>
      <c r="AQ700" s="235"/>
    </row>
    <row r="701" spans="1:43" ht="15.75" customHeight="1" x14ac:dyDescent="0.55000000000000004">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c r="AA701" s="235"/>
      <c r="AB701" s="235"/>
      <c r="AC701" s="235"/>
      <c r="AD701" s="235"/>
      <c r="AE701" s="235"/>
      <c r="AF701" s="235"/>
      <c r="AG701" s="235"/>
      <c r="AH701" s="235"/>
      <c r="AI701" s="235"/>
      <c r="AJ701" s="235"/>
      <c r="AK701" s="235"/>
      <c r="AL701" s="235"/>
      <c r="AM701" s="235"/>
      <c r="AN701" s="235"/>
      <c r="AO701" s="235"/>
      <c r="AP701" s="235"/>
      <c r="AQ701" s="235"/>
    </row>
    <row r="702" spans="1:43" ht="15.75" customHeight="1" x14ac:dyDescent="0.55000000000000004">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c r="AA702" s="235"/>
      <c r="AB702" s="235"/>
      <c r="AC702" s="235"/>
      <c r="AD702" s="235"/>
      <c r="AE702" s="235"/>
      <c r="AF702" s="235"/>
      <c r="AG702" s="235"/>
      <c r="AH702" s="235"/>
      <c r="AI702" s="235"/>
      <c r="AJ702" s="235"/>
      <c r="AK702" s="235"/>
      <c r="AL702" s="235"/>
      <c r="AM702" s="235"/>
      <c r="AN702" s="235"/>
      <c r="AO702" s="235"/>
      <c r="AP702" s="235"/>
      <c r="AQ702" s="235"/>
    </row>
    <row r="703" spans="1:43" ht="15.75" customHeight="1" x14ac:dyDescent="0.55000000000000004">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c r="AA703" s="235"/>
      <c r="AB703" s="235"/>
      <c r="AC703" s="235"/>
      <c r="AD703" s="235"/>
      <c r="AE703" s="235"/>
      <c r="AF703" s="235"/>
      <c r="AG703" s="235"/>
      <c r="AH703" s="235"/>
      <c r="AI703" s="235"/>
      <c r="AJ703" s="235"/>
      <c r="AK703" s="235"/>
      <c r="AL703" s="235"/>
      <c r="AM703" s="235"/>
      <c r="AN703" s="235"/>
      <c r="AO703" s="235"/>
      <c r="AP703" s="235"/>
      <c r="AQ703" s="235"/>
    </row>
    <row r="704" spans="1:43" ht="15.75" customHeight="1" x14ac:dyDescent="0.55000000000000004">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c r="AA704" s="235"/>
      <c r="AB704" s="235"/>
      <c r="AC704" s="235"/>
      <c r="AD704" s="235"/>
      <c r="AE704" s="235"/>
      <c r="AF704" s="235"/>
      <c r="AG704" s="235"/>
      <c r="AH704" s="235"/>
      <c r="AI704" s="235"/>
      <c r="AJ704" s="235"/>
      <c r="AK704" s="235"/>
      <c r="AL704" s="235"/>
      <c r="AM704" s="235"/>
      <c r="AN704" s="235"/>
      <c r="AO704" s="235"/>
      <c r="AP704" s="235"/>
      <c r="AQ704" s="235"/>
    </row>
    <row r="705" spans="1:43" ht="15.75" customHeight="1" x14ac:dyDescent="0.55000000000000004">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c r="AA705" s="235"/>
      <c r="AB705" s="235"/>
      <c r="AC705" s="235"/>
      <c r="AD705" s="235"/>
      <c r="AE705" s="235"/>
      <c r="AF705" s="235"/>
      <c r="AG705" s="235"/>
      <c r="AH705" s="235"/>
      <c r="AI705" s="235"/>
      <c r="AJ705" s="235"/>
      <c r="AK705" s="235"/>
      <c r="AL705" s="235"/>
      <c r="AM705" s="235"/>
      <c r="AN705" s="235"/>
      <c r="AO705" s="235"/>
      <c r="AP705" s="235"/>
      <c r="AQ705" s="235"/>
    </row>
    <row r="706" spans="1:43" ht="15.75" customHeight="1" x14ac:dyDescent="0.55000000000000004">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c r="AA706" s="235"/>
      <c r="AB706" s="235"/>
      <c r="AC706" s="235"/>
      <c r="AD706" s="235"/>
      <c r="AE706" s="235"/>
      <c r="AF706" s="235"/>
      <c r="AG706" s="235"/>
      <c r="AH706" s="235"/>
      <c r="AI706" s="235"/>
      <c r="AJ706" s="235"/>
      <c r="AK706" s="235"/>
      <c r="AL706" s="235"/>
      <c r="AM706" s="235"/>
      <c r="AN706" s="235"/>
      <c r="AO706" s="235"/>
      <c r="AP706" s="235"/>
      <c r="AQ706" s="235"/>
    </row>
    <row r="707" spans="1:43" ht="15.75" customHeight="1" x14ac:dyDescent="0.55000000000000004">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c r="AA707" s="235"/>
      <c r="AB707" s="235"/>
      <c r="AC707" s="235"/>
      <c r="AD707" s="235"/>
      <c r="AE707" s="235"/>
      <c r="AF707" s="235"/>
      <c r="AG707" s="235"/>
      <c r="AH707" s="235"/>
      <c r="AI707" s="235"/>
      <c r="AJ707" s="235"/>
      <c r="AK707" s="235"/>
      <c r="AL707" s="235"/>
      <c r="AM707" s="235"/>
      <c r="AN707" s="235"/>
      <c r="AO707" s="235"/>
      <c r="AP707" s="235"/>
      <c r="AQ707" s="235"/>
    </row>
    <row r="708" spans="1:43" ht="15.75" customHeight="1" x14ac:dyDescent="0.55000000000000004">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c r="AA708" s="235"/>
      <c r="AB708" s="235"/>
      <c r="AC708" s="235"/>
      <c r="AD708" s="235"/>
      <c r="AE708" s="235"/>
      <c r="AF708" s="235"/>
      <c r="AG708" s="235"/>
      <c r="AH708" s="235"/>
      <c r="AI708" s="235"/>
      <c r="AJ708" s="235"/>
      <c r="AK708" s="235"/>
      <c r="AL708" s="235"/>
      <c r="AM708" s="235"/>
      <c r="AN708" s="235"/>
      <c r="AO708" s="235"/>
      <c r="AP708" s="235"/>
      <c r="AQ708" s="235"/>
    </row>
    <row r="709" spans="1:43" ht="15.75" customHeight="1" x14ac:dyDescent="0.55000000000000004">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c r="AA709" s="235"/>
      <c r="AB709" s="235"/>
      <c r="AC709" s="235"/>
      <c r="AD709" s="235"/>
      <c r="AE709" s="235"/>
      <c r="AF709" s="235"/>
      <c r="AG709" s="235"/>
      <c r="AH709" s="235"/>
      <c r="AI709" s="235"/>
      <c r="AJ709" s="235"/>
      <c r="AK709" s="235"/>
      <c r="AL709" s="235"/>
      <c r="AM709" s="235"/>
      <c r="AN709" s="235"/>
      <c r="AO709" s="235"/>
      <c r="AP709" s="235"/>
      <c r="AQ709" s="235"/>
    </row>
    <row r="710" spans="1:43" ht="15.75" customHeight="1" x14ac:dyDescent="0.55000000000000004">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c r="AA710" s="235"/>
      <c r="AB710" s="235"/>
      <c r="AC710" s="235"/>
      <c r="AD710" s="235"/>
      <c r="AE710" s="235"/>
      <c r="AF710" s="235"/>
      <c r="AG710" s="235"/>
      <c r="AH710" s="235"/>
      <c r="AI710" s="235"/>
      <c r="AJ710" s="235"/>
      <c r="AK710" s="235"/>
      <c r="AL710" s="235"/>
      <c r="AM710" s="235"/>
      <c r="AN710" s="235"/>
      <c r="AO710" s="235"/>
      <c r="AP710" s="235"/>
      <c r="AQ710" s="235"/>
    </row>
    <row r="711" spans="1:43" ht="15.75" customHeight="1" x14ac:dyDescent="0.55000000000000004">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c r="AA711" s="235"/>
      <c r="AB711" s="235"/>
      <c r="AC711" s="235"/>
      <c r="AD711" s="235"/>
      <c r="AE711" s="235"/>
      <c r="AF711" s="235"/>
      <c r="AG711" s="235"/>
      <c r="AH711" s="235"/>
      <c r="AI711" s="235"/>
      <c r="AJ711" s="235"/>
      <c r="AK711" s="235"/>
      <c r="AL711" s="235"/>
      <c r="AM711" s="235"/>
      <c r="AN711" s="235"/>
      <c r="AO711" s="235"/>
      <c r="AP711" s="235"/>
      <c r="AQ711" s="235"/>
    </row>
    <row r="712" spans="1:43" ht="15.75" customHeight="1" x14ac:dyDescent="0.55000000000000004">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c r="AA712" s="235"/>
      <c r="AB712" s="235"/>
      <c r="AC712" s="235"/>
      <c r="AD712" s="235"/>
      <c r="AE712" s="235"/>
      <c r="AF712" s="235"/>
      <c r="AG712" s="235"/>
      <c r="AH712" s="235"/>
      <c r="AI712" s="235"/>
      <c r="AJ712" s="235"/>
      <c r="AK712" s="235"/>
      <c r="AL712" s="235"/>
      <c r="AM712" s="235"/>
      <c r="AN712" s="235"/>
      <c r="AO712" s="235"/>
      <c r="AP712" s="235"/>
      <c r="AQ712" s="235"/>
    </row>
    <row r="713" spans="1:43" ht="15.75" customHeight="1" x14ac:dyDescent="0.55000000000000004">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c r="AA713" s="235"/>
      <c r="AB713" s="235"/>
      <c r="AC713" s="235"/>
      <c r="AD713" s="235"/>
      <c r="AE713" s="235"/>
      <c r="AF713" s="235"/>
      <c r="AG713" s="235"/>
      <c r="AH713" s="235"/>
      <c r="AI713" s="235"/>
      <c r="AJ713" s="235"/>
      <c r="AK713" s="235"/>
      <c r="AL713" s="235"/>
      <c r="AM713" s="235"/>
      <c r="AN713" s="235"/>
      <c r="AO713" s="235"/>
      <c r="AP713" s="235"/>
      <c r="AQ713" s="235"/>
    </row>
    <row r="714" spans="1:43" ht="15.75" customHeight="1" x14ac:dyDescent="0.55000000000000004">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c r="AA714" s="235"/>
      <c r="AB714" s="235"/>
      <c r="AC714" s="235"/>
      <c r="AD714" s="235"/>
      <c r="AE714" s="235"/>
      <c r="AF714" s="235"/>
      <c r="AG714" s="235"/>
      <c r="AH714" s="235"/>
      <c r="AI714" s="235"/>
      <c r="AJ714" s="235"/>
      <c r="AK714" s="235"/>
      <c r="AL714" s="235"/>
      <c r="AM714" s="235"/>
      <c r="AN714" s="235"/>
      <c r="AO714" s="235"/>
      <c r="AP714" s="235"/>
      <c r="AQ714" s="235"/>
    </row>
    <row r="715" spans="1:43" ht="15.75" customHeight="1" x14ac:dyDescent="0.55000000000000004">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c r="AA715" s="235"/>
      <c r="AB715" s="235"/>
      <c r="AC715" s="235"/>
      <c r="AD715" s="235"/>
      <c r="AE715" s="235"/>
      <c r="AF715" s="235"/>
      <c r="AG715" s="235"/>
      <c r="AH715" s="235"/>
      <c r="AI715" s="235"/>
      <c r="AJ715" s="235"/>
      <c r="AK715" s="235"/>
      <c r="AL715" s="235"/>
      <c r="AM715" s="235"/>
      <c r="AN715" s="235"/>
      <c r="AO715" s="235"/>
      <c r="AP715" s="235"/>
      <c r="AQ715" s="235"/>
    </row>
    <row r="716" spans="1:43" ht="15.75" customHeight="1" x14ac:dyDescent="0.55000000000000004">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c r="AA716" s="235"/>
      <c r="AB716" s="235"/>
      <c r="AC716" s="235"/>
      <c r="AD716" s="235"/>
      <c r="AE716" s="235"/>
      <c r="AF716" s="235"/>
      <c r="AG716" s="235"/>
      <c r="AH716" s="235"/>
      <c r="AI716" s="235"/>
      <c r="AJ716" s="235"/>
      <c r="AK716" s="235"/>
      <c r="AL716" s="235"/>
      <c r="AM716" s="235"/>
      <c r="AN716" s="235"/>
      <c r="AO716" s="235"/>
      <c r="AP716" s="235"/>
      <c r="AQ716" s="235"/>
    </row>
    <row r="717" spans="1:43" ht="15.75" customHeight="1" x14ac:dyDescent="0.55000000000000004">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c r="AA717" s="235"/>
      <c r="AB717" s="235"/>
      <c r="AC717" s="235"/>
      <c r="AD717" s="235"/>
      <c r="AE717" s="235"/>
      <c r="AF717" s="235"/>
      <c r="AG717" s="235"/>
      <c r="AH717" s="235"/>
      <c r="AI717" s="235"/>
      <c r="AJ717" s="235"/>
      <c r="AK717" s="235"/>
      <c r="AL717" s="235"/>
      <c r="AM717" s="235"/>
      <c r="AN717" s="235"/>
      <c r="AO717" s="235"/>
      <c r="AP717" s="235"/>
      <c r="AQ717" s="235"/>
    </row>
    <row r="718" spans="1:43" ht="15.75" customHeight="1" x14ac:dyDescent="0.55000000000000004">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c r="AA718" s="235"/>
      <c r="AB718" s="235"/>
      <c r="AC718" s="235"/>
      <c r="AD718" s="235"/>
      <c r="AE718" s="235"/>
      <c r="AF718" s="235"/>
      <c r="AG718" s="235"/>
      <c r="AH718" s="235"/>
      <c r="AI718" s="235"/>
      <c r="AJ718" s="235"/>
      <c r="AK718" s="235"/>
      <c r="AL718" s="235"/>
      <c r="AM718" s="235"/>
      <c r="AN718" s="235"/>
      <c r="AO718" s="235"/>
      <c r="AP718" s="235"/>
      <c r="AQ718" s="235"/>
    </row>
    <row r="719" spans="1:43" ht="15.75" customHeight="1" x14ac:dyDescent="0.55000000000000004">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c r="AA719" s="235"/>
      <c r="AB719" s="235"/>
      <c r="AC719" s="235"/>
      <c r="AD719" s="235"/>
      <c r="AE719" s="235"/>
      <c r="AF719" s="235"/>
      <c r="AG719" s="235"/>
      <c r="AH719" s="235"/>
      <c r="AI719" s="235"/>
      <c r="AJ719" s="235"/>
      <c r="AK719" s="235"/>
      <c r="AL719" s="235"/>
      <c r="AM719" s="235"/>
      <c r="AN719" s="235"/>
      <c r="AO719" s="235"/>
      <c r="AP719" s="235"/>
      <c r="AQ719" s="235"/>
    </row>
    <row r="720" spans="1:43" ht="15.75" customHeight="1" x14ac:dyDescent="0.55000000000000004">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c r="AA720" s="235"/>
      <c r="AB720" s="235"/>
      <c r="AC720" s="235"/>
      <c r="AD720" s="235"/>
      <c r="AE720" s="235"/>
      <c r="AF720" s="235"/>
      <c r="AG720" s="235"/>
      <c r="AH720" s="235"/>
      <c r="AI720" s="235"/>
      <c r="AJ720" s="235"/>
      <c r="AK720" s="235"/>
      <c r="AL720" s="235"/>
      <c r="AM720" s="235"/>
      <c r="AN720" s="235"/>
      <c r="AO720" s="235"/>
      <c r="AP720" s="235"/>
      <c r="AQ720" s="235"/>
    </row>
    <row r="721" spans="1:43" ht="15.75" customHeight="1" x14ac:dyDescent="0.55000000000000004">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c r="AA721" s="235"/>
      <c r="AB721" s="235"/>
      <c r="AC721" s="235"/>
      <c r="AD721" s="235"/>
      <c r="AE721" s="235"/>
      <c r="AF721" s="235"/>
      <c r="AG721" s="235"/>
      <c r="AH721" s="235"/>
      <c r="AI721" s="235"/>
      <c r="AJ721" s="235"/>
      <c r="AK721" s="235"/>
      <c r="AL721" s="235"/>
      <c r="AM721" s="235"/>
      <c r="AN721" s="235"/>
      <c r="AO721" s="235"/>
      <c r="AP721" s="235"/>
      <c r="AQ721" s="235"/>
    </row>
    <row r="722" spans="1:43" ht="15.75" customHeight="1" x14ac:dyDescent="0.55000000000000004">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c r="AA722" s="235"/>
      <c r="AB722" s="235"/>
      <c r="AC722" s="235"/>
      <c r="AD722" s="235"/>
      <c r="AE722" s="235"/>
      <c r="AF722" s="235"/>
      <c r="AG722" s="235"/>
      <c r="AH722" s="235"/>
      <c r="AI722" s="235"/>
      <c r="AJ722" s="235"/>
      <c r="AK722" s="235"/>
      <c r="AL722" s="235"/>
      <c r="AM722" s="235"/>
      <c r="AN722" s="235"/>
      <c r="AO722" s="235"/>
      <c r="AP722" s="235"/>
      <c r="AQ722" s="235"/>
    </row>
    <row r="723" spans="1:43" ht="15.75" customHeight="1" x14ac:dyDescent="0.55000000000000004">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c r="AA723" s="235"/>
      <c r="AB723" s="235"/>
      <c r="AC723" s="235"/>
      <c r="AD723" s="235"/>
      <c r="AE723" s="235"/>
      <c r="AF723" s="235"/>
      <c r="AG723" s="235"/>
      <c r="AH723" s="235"/>
      <c r="AI723" s="235"/>
      <c r="AJ723" s="235"/>
      <c r="AK723" s="235"/>
      <c r="AL723" s="235"/>
      <c r="AM723" s="235"/>
      <c r="AN723" s="235"/>
      <c r="AO723" s="235"/>
      <c r="AP723" s="235"/>
      <c r="AQ723" s="235"/>
    </row>
    <row r="724" spans="1:43" ht="15.75" customHeight="1" x14ac:dyDescent="0.55000000000000004">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c r="AA724" s="235"/>
      <c r="AB724" s="235"/>
      <c r="AC724" s="235"/>
      <c r="AD724" s="235"/>
      <c r="AE724" s="235"/>
      <c r="AF724" s="235"/>
      <c r="AG724" s="235"/>
      <c r="AH724" s="235"/>
      <c r="AI724" s="235"/>
      <c r="AJ724" s="235"/>
      <c r="AK724" s="235"/>
      <c r="AL724" s="235"/>
      <c r="AM724" s="235"/>
      <c r="AN724" s="235"/>
      <c r="AO724" s="235"/>
      <c r="AP724" s="235"/>
      <c r="AQ724" s="235"/>
    </row>
    <row r="725" spans="1:43" ht="15.75" customHeight="1" x14ac:dyDescent="0.55000000000000004">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c r="AA725" s="235"/>
      <c r="AB725" s="235"/>
      <c r="AC725" s="235"/>
      <c r="AD725" s="235"/>
      <c r="AE725" s="235"/>
      <c r="AF725" s="235"/>
      <c r="AG725" s="235"/>
      <c r="AH725" s="235"/>
      <c r="AI725" s="235"/>
      <c r="AJ725" s="235"/>
      <c r="AK725" s="235"/>
      <c r="AL725" s="235"/>
      <c r="AM725" s="235"/>
      <c r="AN725" s="235"/>
      <c r="AO725" s="235"/>
      <c r="AP725" s="235"/>
      <c r="AQ725" s="235"/>
    </row>
    <row r="726" spans="1:43" ht="15.75" customHeight="1" x14ac:dyDescent="0.55000000000000004">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c r="AA726" s="235"/>
      <c r="AB726" s="235"/>
      <c r="AC726" s="235"/>
      <c r="AD726" s="235"/>
      <c r="AE726" s="235"/>
      <c r="AF726" s="235"/>
      <c r="AG726" s="235"/>
      <c r="AH726" s="235"/>
      <c r="AI726" s="235"/>
      <c r="AJ726" s="235"/>
      <c r="AK726" s="235"/>
      <c r="AL726" s="235"/>
      <c r="AM726" s="235"/>
      <c r="AN726" s="235"/>
      <c r="AO726" s="235"/>
      <c r="AP726" s="235"/>
      <c r="AQ726" s="235"/>
    </row>
    <row r="727" spans="1:43" ht="15.75" customHeight="1" x14ac:dyDescent="0.55000000000000004">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c r="AA727" s="235"/>
      <c r="AB727" s="235"/>
      <c r="AC727" s="235"/>
      <c r="AD727" s="235"/>
      <c r="AE727" s="235"/>
      <c r="AF727" s="235"/>
      <c r="AG727" s="235"/>
      <c r="AH727" s="235"/>
      <c r="AI727" s="235"/>
      <c r="AJ727" s="235"/>
      <c r="AK727" s="235"/>
      <c r="AL727" s="235"/>
      <c r="AM727" s="235"/>
      <c r="AN727" s="235"/>
      <c r="AO727" s="235"/>
      <c r="AP727" s="235"/>
      <c r="AQ727" s="235"/>
    </row>
    <row r="728" spans="1:43" ht="15.75" customHeight="1" x14ac:dyDescent="0.55000000000000004">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c r="AA728" s="235"/>
      <c r="AB728" s="235"/>
      <c r="AC728" s="235"/>
      <c r="AD728" s="235"/>
      <c r="AE728" s="235"/>
      <c r="AF728" s="235"/>
      <c r="AG728" s="235"/>
      <c r="AH728" s="235"/>
      <c r="AI728" s="235"/>
      <c r="AJ728" s="235"/>
      <c r="AK728" s="235"/>
      <c r="AL728" s="235"/>
      <c r="AM728" s="235"/>
      <c r="AN728" s="235"/>
      <c r="AO728" s="235"/>
      <c r="AP728" s="235"/>
      <c r="AQ728" s="235"/>
    </row>
    <row r="729" spans="1:43" ht="15.75" customHeight="1" x14ac:dyDescent="0.55000000000000004">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c r="AA729" s="235"/>
      <c r="AB729" s="235"/>
      <c r="AC729" s="235"/>
      <c r="AD729" s="235"/>
      <c r="AE729" s="235"/>
      <c r="AF729" s="235"/>
      <c r="AG729" s="235"/>
      <c r="AH729" s="235"/>
      <c r="AI729" s="235"/>
      <c r="AJ729" s="235"/>
      <c r="AK729" s="235"/>
      <c r="AL729" s="235"/>
      <c r="AM729" s="235"/>
      <c r="AN729" s="235"/>
      <c r="AO729" s="235"/>
      <c r="AP729" s="235"/>
      <c r="AQ729" s="235"/>
    </row>
    <row r="730" spans="1:43" ht="15.75" customHeight="1" x14ac:dyDescent="0.55000000000000004">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c r="AA730" s="235"/>
      <c r="AB730" s="235"/>
      <c r="AC730" s="235"/>
      <c r="AD730" s="235"/>
      <c r="AE730" s="235"/>
      <c r="AF730" s="235"/>
      <c r="AG730" s="235"/>
      <c r="AH730" s="235"/>
      <c r="AI730" s="235"/>
      <c r="AJ730" s="235"/>
      <c r="AK730" s="235"/>
      <c r="AL730" s="235"/>
      <c r="AM730" s="235"/>
      <c r="AN730" s="235"/>
      <c r="AO730" s="235"/>
      <c r="AP730" s="235"/>
      <c r="AQ730" s="235"/>
    </row>
    <row r="731" spans="1:43" ht="15.75" customHeight="1" x14ac:dyDescent="0.55000000000000004">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c r="AA731" s="235"/>
      <c r="AB731" s="235"/>
      <c r="AC731" s="235"/>
      <c r="AD731" s="235"/>
      <c r="AE731" s="235"/>
      <c r="AF731" s="235"/>
      <c r="AG731" s="235"/>
      <c r="AH731" s="235"/>
      <c r="AI731" s="235"/>
      <c r="AJ731" s="235"/>
      <c r="AK731" s="235"/>
      <c r="AL731" s="235"/>
      <c r="AM731" s="235"/>
      <c r="AN731" s="235"/>
      <c r="AO731" s="235"/>
      <c r="AP731" s="235"/>
      <c r="AQ731" s="235"/>
    </row>
    <row r="732" spans="1:43" ht="15.75" customHeight="1" x14ac:dyDescent="0.55000000000000004">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c r="AA732" s="235"/>
      <c r="AB732" s="235"/>
      <c r="AC732" s="235"/>
      <c r="AD732" s="235"/>
      <c r="AE732" s="235"/>
      <c r="AF732" s="235"/>
      <c r="AG732" s="235"/>
      <c r="AH732" s="235"/>
      <c r="AI732" s="235"/>
      <c r="AJ732" s="235"/>
      <c r="AK732" s="235"/>
      <c r="AL732" s="235"/>
      <c r="AM732" s="235"/>
      <c r="AN732" s="235"/>
      <c r="AO732" s="235"/>
      <c r="AP732" s="235"/>
      <c r="AQ732" s="235"/>
    </row>
    <row r="733" spans="1:43" ht="15.75" customHeight="1" x14ac:dyDescent="0.55000000000000004">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c r="AA733" s="235"/>
      <c r="AB733" s="235"/>
      <c r="AC733" s="235"/>
      <c r="AD733" s="235"/>
      <c r="AE733" s="235"/>
      <c r="AF733" s="235"/>
      <c r="AG733" s="235"/>
      <c r="AH733" s="235"/>
      <c r="AI733" s="235"/>
      <c r="AJ733" s="235"/>
      <c r="AK733" s="235"/>
      <c r="AL733" s="235"/>
      <c r="AM733" s="235"/>
      <c r="AN733" s="235"/>
      <c r="AO733" s="235"/>
      <c r="AP733" s="235"/>
      <c r="AQ733" s="235"/>
    </row>
    <row r="734" spans="1:43" ht="15.75" customHeight="1" x14ac:dyDescent="0.55000000000000004">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c r="AA734" s="235"/>
      <c r="AB734" s="235"/>
      <c r="AC734" s="235"/>
      <c r="AD734" s="235"/>
      <c r="AE734" s="235"/>
      <c r="AF734" s="235"/>
      <c r="AG734" s="235"/>
      <c r="AH734" s="235"/>
      <c r="AI734" s="235"/>
      <c r="AJ734" s="235"/>
      <c r="AK734" s="235"/>
      <c r="AL734" s="235"/>
      <c r="AM734" s="235"/>
      <c r="AN734" s="235"/>
      <c r="AO734" s="235"/>
      <c r="AP734" s="235"/>
      <c r="AQ734" s="235"/>
    </row>
    <row r="735" spans="1:43" ht="15.75" customHeight="1" x14ac:dyDescent="0.55000000000000004">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c r="AA735" s="235"/>
      <c r="AB735" s="235"/>
      <c r="AC735" s="235"/>
      <c r="AD735" s="235"/>
      <c r="AE735" s="235"/>
      <c r="AF735" s="235"/>
      <c r="AG735" s="235"/>
      <c r="AH735" s="235"/>
      <c r="AI735" s="235"/>
      <c r="AJ735" s="235"/>
      <c r="AK735" s="235"/>
      <c r="AL735" s="235"/>
      <c r="AM735" s="235"/>
      <c r="AN735" s="235"/>
      <c r="AO735" s="235"/>
      <c r="AP735" s="235"/>
      <c r="AQ735" s="235"/>
    </row>
    <row r="736" spans="1:43" ht="15.75" customHeight="1" x14ac:dyDescent="0.55000000000000004">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c r="AA736" s="235"/>
      <c r="AB736" s="235"/>
      <c r="AC736" s="235"/>
      <c r="AD736" s="235"/>
      <c r="AE736" s="235"/>
      <c r="AF736" s="235"/>
      <c r="AG736" s="235"/>
      <c r="AH736" s="235"/>
      <c r="AI736" s="235"/>
      <c r="AJ736" s="235"/>
      <c r="AK736" s="235"/>
      <c r="AL736" s="235"/>
      <c r="AM736" s="235"/>
      <c r="AN736" s="235"/>
      <c r="AO736" s="235"/>
      <c r="AP736" s="235"/>
      <c r="AQ736" s="235"/>
    </row>
    <row r="737" spans="1:43" ht="15.75" customHeight="1" x14ac:dyDescent="0.55000000000000004">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c r="AA737" s="235"/>
      <c r="AB737" s="235"/>
      <c r="AC737" s="235"/>
      <c r="AD737" s="235"/>
      <c r="AE737" s="235"/>
      <c r="AF737" s="235"/>
      <c r="AG737" s="235"/>
      <c r="AH737" s="235"/>
      <c r="AI737" s="235"/>
      <c r="AJ737" s="235"/>
      <c r="AK737" s="235"/>
      <c r="AL737" s="235"/>
      <c r="AM737" s="235"/>
      <c r="AN737" s="235"/>
      <c r="AO737" s="235"/>
      <c r="AP737" s="235"/>
      <c r="AQ737" s="235"/>
    </row>
    <row r="738" spans="1:43" ht="15.75" customHeight="1" x14ac:dyDescent="0.55000000000000004">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c r="AA738" s="235"/>
      <c r="AB738" s="235"/>
      <c r="AC738" s="235"/>
      <c r="AD738" s="235"/>
      <c r="AE738" s="235"/>
      <c r="AF738" s="235"/>
      <c r="AG738" s="235"/>
      <c r="AH738" s="235"/>
      <c r="AI738" s="235"/>
      <c r="AJ738" s="235"/>
      <c r="AK738" s="235"/>
      <c r="AL738" s="235"/>
      <c r="AM738" s="235"/>
      <c r="AN738" s="235"/>
      <c r="AO738" s="235"/>
      <c r="AP738" s="235"/>
      <c r="AQ738" s="235"/>
    </row>
    <row r="739" spans="1:43" ht="15.75" customHeight="1" x14ac:dyDescent="0.55000000000000004">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c r="AA739" s="235"/>
      <c r="AB739" s="235"/>
      <c r="AC739" s="235"/>
      <c r="AD739" s="235"/>
      <c r="AE739" s="235"/>
      <c r="AF739" s="235"/>
      <c r="AG739" s="235"/>
      <c r="AH739" s="235"/>
      <c r="AI739" s="235"/>
      <c r="AJ739" s="235"/>
      <c r="AK739" s="235"/>
      <c r="AL739" s="235"/>
      <c r="AM739" s="235"/>
      <c r="AN739" s="235"/>
      <c r="AO739" s="235"/>
      <c r="AP739" s="235"/>
      <c r="AQ739" s="235"/>
    </row>
    <row r="740" spans="1:43" ht="15.75" customHeight="1" x14ac:dyDescent="0.55000000000000004">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c r="AA740" s="235"/>
      <c r="AB740" s="235"/>
      <c r="AC740" s="235"/>
      <c r="AD740" s="235"/>
      <c r="AE740" s="235"/>
      <c r="AF740" s="235"/>
      <c r="AG740" s="235"/>
      <c r="AH740" s="235"/>
      <c r="AI740" s="235"/>
      <c r="AJ740" s="235"/>
      <c r="AK740" s="235"/>
      <c r="AL740" s="235"/>
      <c r="AM740" s="235"/>
      <c r="AN740" s="235"/>
      <c r="AO740" s="235"/>
      <c r="AP740" s="235"/>
      <c r="AQ740" s="235"/>
    </row>
    <row r="741" spans="1:43" ht="15.75" customHeight="1" x14ac:dyDescent="0.55000000000000004">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c r="AA741" s="235"/>
      <c r="AB741" s="235"/>
      <c r="AC741" s="235"/>
      <c r="AD741" s="235"/>
      <c r="AE741" s="235"/>
      <c r="AF741" s="235"/>
      <c r="AG741" s="235"/>
      <c r="AH741" s="235"/>
      <c r="AI741" s="235"/>
      <c r="AJ741" s="235"/>
      <c r="AK741" s="235"/>
      <c r="AL741" s="235"/>
      <c r="AM741" s="235"/>
      <c r="AN741" s="235"/>
      <c r="AO741" s="235"/>
      <c r="AP741" s="235"/>
      <c r="AQ741" s="235"/>
    </row>
    <row r="742" spans="1:43" ht="15.75" customHeight="1" x14ac:dyDescent="0.55000000000000004">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c r="AA742" s="235"/>
      <c r="AB742" s="235"/>
      <c r="AC742" s="235"/>
      <c r="AD742" s="235"/>
      <c r="AE742" s="235"/>
      <c r="AF742" s="235"/>
      <c r="AG742" s="235"/>
      <c r="AH742" s="235"/>
      <c r="AI742" s="235"/>
      <c r="AJ742" s="235"/>
      <c r="AK742" s="235"/>
      <c r="AL742" s="235"/>
      <c r="AM742" s="235"/>
      <c r="AN742" s="235"/>
      <c r="AO742" s="235"/>
      <c r="AP742" s="235"/>
      <c r="AQ742" s="235"/>
    </row>
    <row r="743" spans="1:43" ht="15.75" customHeight="1" x14ac:dyDescent="0.55000000000000004">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c r="AA743" s="235"/>
      <c r="AB743" s="235"/>
      <c r="AC743" s="235"/>
      <c r="AD743" s="235"/>
      <c r="AE743" s="235"/>
      <c r="AF743" s="235"/>
      <c r="AG743" s="235"/>
      <c r="AH743" s="235"/>
      <c r="AI743" s="235"/>
      <c r="AJ743" s="235"/>
      <c r="AK743" s="235"/>
      <c r="AL743" s="235"/>
      <c r="AM743" s="235"/>
      <c r="AN743" s="235"/>
      <c r="AO743" s="235"/>
      <c r="AP743" s="235"/>
      <c r="AQ743" s="235"/>
    </row>
    <row r="744" spans="1:43" ht="15.75" customHeight="1" x14ac:dyDescent="0.55000000000000004">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c r="AA744" s="235"/>
      <c r="AB744" s="235"/>
      <c r="AC744" s="235"/>
      <c r="AD744" s="235"/>
      <c r="AE744" s="235"/>
      <c r="AF744" s="235"/>
      <c r="AG744" s="235"/>
      <c r="AH744" s="235"/>
      <c r="AI744" s="235"/>
      <c r="AJ744" s="235"/>
      <c r="AK744" s="235"/>
      <c r="AL744" s="235"/>
      <c r="AM744" s="235"/>
      <c r="AN744" s="235"/>
      <c r="AO744" s="235"/>
      <c r="AP744" s="235"/>
      <c r="AQ744" s="235"/>
    </row>
    <row r="745" spans="1:43" ht="15.75" customHeight="1" x14ac:dyDescent="0.55000000000000004">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c r="AA745" s="235"/>
      <c r="AB745" s="235"/>
      <c r="AC745" s="235"/>
      <c r="AD745" s="235"/>
      <c r="AE745" s="235"/>
      <c r="AF745" s="235"/>
      <c r="AG745" s="235"/>
      <c r="AH745" s="235"/>
      <c r="AI745" s="235"/>
      <c r="AJ745" s="235"/>
      <c r="AK745" s="235"/>
      <c r="AL745" s="235"/>
      <c r="AM745" s="235"/>
      <c r="AN745" s="235"/>
      <c r="AO745" s="235"/>
      <c r="AP745" s="235"/>
      <c r="AQ745" s="235"/>
    </row>
    <row r="746" spans="1:43" ht="15.75" customHeight="1" x14ac:dyDescent="0.55000000000000004">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c r="AA746" s="235"/>
      <c r="AB746" s="235"/>
      <c r="AC746" s="235"/>
      <c r="AD746" s="235"/>
      <c r="AE746" s="235"/>
      <c r="AF746" s="235"/>
      <c r="AG746" s="235"/>
      <c r="AH746" s="235"/>
      <c r="AI746" s="235"/>
      <c r="AJ746" s="235"/>
      <c r="AK746" s="235"/>
      <c r="AL746" s="235"/>
      <c r="AM746" s="235"/>
      <c r="AN746" s="235"/>
      <c r="AO746" s="235"/>
      <c r="AP746" s="235"/>
      <c r="AQ746" s="235"/>
    </row>
    <row r="747" spans="1:43" ht="15.75" customHeight="1" x14ac:dyDescent="0.55000000000000004">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c r="AA747" s="235"/>
      <c r="AB747" s="235"/>
      <c r="AC747" s="235"/>
      <c r="AD747" s="235"/>
      <c r="AE747" s="235"/>
      <c r="AF747" s="235"/>
      <c r="AG747" s="235"/>
      <c r="AH747" s="235"/>
      <c r="AI747" s="235"/>
      <c r="AJ747" s="235"/>
      <c r="AK747" s="235"/>
      <c r="AL747" s="235"/>
      <c r="AM747" s="235"/>
      <c r="AN747" s="235"/>
      <c r="AO747" s="235"/>
      <c r="AP747" s="235"/>
      <c r="AQ747" s="235"/>
    </row>
    <row r="748" spans="1:43" ht="15.75" customHeight="1" x14ac:dyDescent="0.55000000000000004">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c r="AA748" s="235"/>
      <c r="AB748" s="235"/>
      <c r="AC748" s="235"/>
      <c r="AD748" s="235"/>
      <c r="AE748" s="235"/>
      <c r="AF748" s="235"/>
      <c r="AG748" s="235"/>
      <c r="AH748" s="235"/>
      <c r="AI748" s="235"/>
      <c r="AJ748" s="235"/>
      <c r="AK748" s="235"/>
      <c r="AL748" s="235"/>
      <c r="AM748" s="235"/>
      <c r="AN748" s="235"/>
      <c r="AO748" s="235"/>
      <c r="AP748" s="235"/>
      <c r="AQ748" s="235"/>
    </row>
    <row r="749" spans="1:43" ht="15.75" customHeight="1" x14ac:dyDescent="0.55000000000000004">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c r="AA749" s="235"/>
      <c r="AB749" s="235"/>
      <c r="AC749" s="235"/>
      <c r="AD749" s="235"/>
      <c r="AE749" s="235"/>
      <c r="AF749" s="235"/>
      <c r="AG749" s="235"/>
      <c r="AH749" s="235"/>
      <c r="AI749" s="235"/>
      <c r="AJ749" s="235"/>
      <c r="AK749" s="235"/>
      <c r="AL749" s="235"/>
      <c r="AM749" s="235"/>
      <c r="AN749" s="235"/>
      <c r="AO749" s="235"/>
      <c r="AP749" s="235"/>
      <c r="AQ749" s="235"/>
    </row>
    <row r="750" spans="1:43" ht="15.75" customHeight="1" x14ac:dyDescent="0.55000000000000004">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c r="AA750" s="235"/>
      <c r="AB750" s="235"/>
      <c r="AC750" s="235"/>
      <c r="AD750" s="235"/>
      <c r="AE750" s="235"/>
      <c r="AF750" s="235"/>
      <c r="AG750" s="235"/>
      <c r="AH750" s="235"/>
      <c r="AI750" s="235"/>
      <c r="AJ750" s="235"/>
      <c r="AK750" s="235"/>
      <c r="AL750" s="235"/>
      <c r="AM750" s="235"/>
      <c r="AN750" s="235"/>
      <c r="AO750" s="235"/>
      <c r="AP750" s="235"/>
      <c r="AQ750" s="235"/>
    </row>
    <row r="751" spans="1:43" ht="15.75" customHeight="1" x14ac:dyDescent="0.55000000000000004">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c r="AA751" s="235"/>
      <c r="AB751" s="235"/>
      <c r="AC751" s="235"/>
      <c r="AD751" s="235"/>
      <c r="AE751" s="235"/>
      <c r="AF751" s="235"/>
      <c r="AG751" s="235"/>
      <c r="AH751" s="235"/>
      <c r="AI751" s="235"/>
      <c r="AJ751" s="235"/>
      <c r="AK751" s="235"/>
      <c r="AL751" s="235"/>
      <c r="AM751" s="235"/>
      <c r="AN751" s="235"/>
      <c r="AO751" s="235"/>
      <c r="AP751" s="235"/>
      <c r="AQ751" s="235"/>
    </row>
    <row r="752" spans="1:43" ht="15.75" customHeight="1" x14ac:dyDescent="0.55000000000000004">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c r="AA752" s="235"/>
      <c r="AB752" s="235"/>
      <c r="AC752" s="235"/>
      <c r="AD752" s="235"/>
      <c r="AE752" s="235"/>
      <c r="AF752" s="235"/>
      <c r="AG752" s="235"/>
      <c r="AH752" s="235"/>
      <c r="AI752" s="235"/>
      <c r="AJ752" s="235"/>
      <c r="AK752" s="235"/>
      <c r="AL752" s="235"/>
      <c r="AM752" s="235"/>
      <c r="AN752" s="235"/>
      <c r="AO752" s="235"/>
      <c r="AP752" s="235"/>
      <c r="AQ752" s="235"/>
    </row>
    <row r="753" spans="1:43" ht="15.75" customHeight="1" x14ac:dyDescent="0.55000000000000004">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c r="AA753" s="235"/>
      <c r="AB753" s="235"/>
      <c r="AC753" s="235"/>
      <c r="AD753" s="235"/>
      <c r="AE753" s="235"/>
      <c r="AF753" s="235"/>
      <c r="AG753" s="235"/>
      <c r="AH753" s="235"/>
      <c r="AI753" s="235"/>
      <c r="AJ753" s="235"/>
      <c r="AK753" s="235"/>
      <c r="AL753" s="235"/>
      <c r="AM753" s="235"/>
      <c r="AN753" s="235"/>
      <c r="AO753" s="235"/>
      <c r="AP753" s="235"/>
      <c r="AQ753" s="235"/>
    </row>
    <row r="754" spans="1:43" ht="15.75" customHeight="1" x14ac:dyDescent="0.55000000000000004">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c r="AA754" s="235"/>
      <c r="AB754" s="235"/>
      <c r="AC754" s="235"/>
      <c r="AD754" s="235"/>
      <c r="AE754" s="235"/>
      <c r="AF754" s="235"/>
      <c r="AG754" s="235"/>
      <c r="AH754" s="235"/>
      <c r="AI754" s="235"/>
      <c r="AJ754" s="235"/>
      <c r="AK754" s="235"/>
      <c r="AL754" s="235"/>
      <c r="AM754" s="235"/>
      <c r="AN754" s="235"/>
      <c r="AO754" s="235"/>
      <c r="AP754" s="235"/>
      <c r="AQ754" s="235"/>
    </row>
    <row r="755" spans="1:43" ht="15.75" customHeight="1" x14ac:dyDescent="0.55000000000000004">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c r="AJ755" s="235"/>
      <c r="AK755" s="235"/>
      <c r="AL755" s="235"/>
      <c r="AM755" s="235"/>
      <c r="AN755" s="235"/>
      <c r="AO755" s="235"/>
      <c r="AP755" s="235"/>
      <c r="AQ755" s="235"/>
    </row>
    <row r="756" spans="1:43" ht="15.75" customHeight="1" x14ac:dyDescent="0.55000000000000004">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c r="AJ756" s="235"/>
      <c r="AK756" s="235"/>
      <c r="AL756" s="235"/>
      <c r="AM756" s="235"/>
      <c r="AN756" s="235"/>
      <c r="AO756" s="235"/>
      <c r="AP756" s="235"/>
      <c r="AQ756" s="235"/>
    </row>
    <row r="757" spans="1:43" ht="15.75" customHeight="1" x14ac:dyDescent="0.55000000000000004">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c r="AJ757" s="235"/>
      <c r="AK757" s="235"/>
      <c r="AL757" s="235"/>
      <c r="AM757" s="235"/>
      <c r="AN757" s="235"/>
      <c r="AO757" s="235"/>
      <c r="AP757" s="235"/>
      <c r="AQ757" s="235"/>
    </row>
    <row r="758" spans="1:43" ht="15.75" customHeight="1" x14ac:dyDescent="0.55000000000000004">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c r="AJ758" s="235"/>
      <c r="AK758" s="235"/>
      <c r="AL758" s="235"/>
      <c r="AM758" s="235"/>
      <c r="AN758" s="235"/>
      <c r="AO758" s="235"/>
      <c r="AP758" s="235"/>
      <c r="AQ758" s="235"/>
    </row>
    <row r="759" spans="1:43" ht="15.75" customHeight="1" x14ac:dyDescent="0.55000000000000004">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c r="AJ759" s="235"/>
      <c r="AK759" s="235"/>
      <c r="AL759" s="235"/>
      <c r="AM759" s="235"/>
      <c r="AN759" s="235"/>
      <c r="AO759" s="235"/>
      <c r="AP759" s="235"/>
      <c r="AQ759" s="235"/>
    </row>
    <row r="760" spans="1:43" ht="15.75" customHeight="1" x14ac:dyDescent="0.55000000000000004">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c r="AJ760" s="235"/>
      <c r="AK760" s="235"/>
      <c r="AL760" s="235"/>
      <c r="AM760" s="235"/>
      <c r="AN760" s="235"/>
      <c r="AO760" s="235"/>
      <c r="AP760" s="235"/>
      <c r="AQ760" s="235"/>
    </row>
    <row r="761" spans="1:43" ht="15.75" customHeight="1" x14ac:dyDescent="0.55000000000000004">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c r="AJ761" s="235"/>
      <c r="AK761" s="235"/>
      <c r="AL761" s="235"/>
      <c r="AM761" s="235"/>
      <c r="AN761" s="235"/>
      <c r="AO761" s="235"/>
      <c r="AP761" s="235"/>
      <c r="AQ761" s="235"/>
    </row>
    <row r="762" spans="1:43" ht="15.75" customHeight="1" x14ac:dyDescent="0.55000000000000004">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c r="AJ762" s="235"/>
      <c r="AK762" s="235"/>
      <c r="AL762" s="235"/>
      <c r="AM762" s="235"/>
      <c r="AN762" s="235"/>
      <c r="AO762" s="235"/>
      <c r="AP762" s="235"/>
      <c r="AQ762" s="235"/>
    </row>
    <row r="763" spans="1:43" ht="15.75" customHeight="1" x14ac:dyDescent="0.55000000000000004">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c r="AA763" s="235"/>
      <c r="AB763" s="235"/>
      <c r="AC763" s="235"/>
      <c r="AD763" s="235"/>
      <c r="AE763" s="235"/>
      <c r="AF763" s="235"/>
      <c r="AG763" s="235"/>
      <c r="AH763" s="235"/>
      <c r="AI763" s="235"/>
      <c r="AJ763" s="235"/>
      <c r="AK763" s="235"/>
      <c r="AL763" s="235"/>
      <c r="AM763" s="235"/>
      <c r="AN763" s="235"/>
      <c r="AO763" s="235"/>
      <c r="AP763" s="235"/>
      <c r="AQ763" s="235"/>
    </row>
    <row r="764" spans="1:43" ht="15.75" customHeight="1" x14ac:dyDescent="0.55000000000000004">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c r="AA764" s="235"/>
      <c r="AB764" s="235"/>
      <c r="AC764" s="235"/>
      <c r="AD764" s="235"/>
      <c r="AE764" s="235"/>
      <c r="AF764" s="235"/>
      <c r="AG764" s="235"/>
      <c r="AH764" s="235"/>
      <c r="AI764" s="235"/>
      <c r="AJ764" s="235"/>
      <c r="AK764" s="235"/>
      <c r="AL764" s="235"/>
      <c r="AM764" s="235"/>
      <c r="AN764" s="235"/>
      <c r="AO764" s="235"/>
      <c r="AP764" s="235"/>
      <c r="AQ764" s="235"/>
    </row>
    <row r="765" spans="1:43" ht="15.75" customHeight="1" x14ac:dyDescent="0.55000000000000004">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c r="AA765" s="235"/>
      <c r="AB765" s="235"/>
      <c r="AC765" s="235"/>
      <c r="AD765" s="235"/>
      <c r="AE765" s="235"/>
      <c r="AF765" s="235"/>
      <c r="AG765" s="235"/>
      <c r="AH765" s="235"/>
      <c r="AI765" s="235"/>
      <c r="AJ765" s="235"/>
      <c r="AK765" s="235"/>
      <c r="AL765" s="235"/>
      <c r="AM765" s="235"/>
      <c r="AN765" s="235"/>
      <c r="AO765" s="235"/>
      <c r="AP765" s="235"/>
      <c r="AQ765" s="235"/>
    </row>
    <row r="766" spans="1:43" ht="15.75" customHeight="1" x14ac:dyDescent="0.55000000000000004">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c r="AA766" s="235"/>
      <c r="AB766" s="235"/>
      <c r="AC766" s="235"/>
      <c r="AD766" s="235"/>
      <c r="AE766" s="235"/>
      <c r="AF766" s="235"/>
      <c r="AG766" s="235"/>
      <c r="AH766" s="235"/>
      <c r="AI766" s="235"/>
      <c r="AJ766" s="235"/>
      <c r="AK766" s="235"/>
      <c r="AL766" s="235"/>
      <c r="AM766" s="235"/>
      <c r="AN766" s="235"/>
      <c r="AO766" s="235"/>
      <c r="AP766" s="235"/>
      <c r="AQ766" s="235"/>
    </row>
    <row r="767" spans="1:43" ht="15.75" customHeight="1" x14ac:dyDescent="0.55000000000000004">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c r="AA767" s="235"/>
      <c r="AB767" s="235"/>
      <c r="AC767" s="235"/>
      <c r="AD767" s="235"/>
      <c r="AE767" s="235"/>
      <c r="AF767" s="235"/>
      <c r="AG767" s="235"/>
      <c r="AH767" s="235"/>
      <c r="AI767" s="235"/>
      <c r="AJ767" s="235"/>
      <c r="AK767" s="235"/>
      <c r="AL767" s="235"/>
      <c r="AM767" s="235"/>
      <c r="AN767" s="235"/>
      <c r="AO767" s="235"/>
      <c r="AP767" s="235"/>
      <c r="AQ767" s="235"/>
    </row>
    <row r="768" spans="1:43" ht="15.75" customHeight="1" x14ac:dyDescent="0.55000000000000004">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c r="AA768" s="235"/>
      <c r="AB768" s="235"/>
      <c r="AC768" s="235"/>
      <c r="AD768" s="235"/>
      <c r="AE768" s="235"/>
      <c r="AF768" s="235"/>
      <c r="AG768" s="235"/>
      <c r="AH768" s="235"/>
      <c r="AI768" s="235"/>
      <c r="AJ768" s="235"/>
      <c r="AK768" s="235"/>
      <c r="AL768" s="235"/>
      <c r="AM768" s="235"/>
      <c r="AN768" s="235"/>
      <c r="AO768" s="235"/>
      <c r="AP768" s="235"/>
      <c r="AQ768" s="235"/>
    </row>
    <row r="769" spans="1:43" ht="15.75" customHeight="1" x14ac:dyDescent="0.55000000000000004">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c r="AA769" s="235"/>
      <c r="AB769" s="235"/>
      <c r="AC769" s="235"/>
      <c r="AD769" s="235"/>
      <c r="AE769" s="235"/>
      <c r="AF769" s="235"/>
      <c r="AG769" s="235"/>
      <c r="AH769" s="235"/>
      <c r="AI769" s="235"/>
      <c r="AJ769" s="235"/>
      <c r="AK769" s="235"/>
      <c r="AL769" s="235"/>
      <c r="AM769" s="235"/>
      <c r="AN769" s="235"/>
      <c r="AO769" s="235"/>
      <c r="AP769" s="235"/>
      <c r="AQ769" s="235"/>
    </row>
    <row r="770" spans="1:43" ht="15.75" customHeight="1" x14ac:dyDescent="0.55000000000000004">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c r="AA770" s="235"/>
      <c r="AB770" s="235"/>
      <c r="AC770" s="235"/>
      <c r="AD770" s="235"/>
      <c r="AE770" s="235"/>
      <c r="AF770" s="235"/>
      <c r="AG770" s="235"/>
      <c r="AH770" s="235"/>
      <c r="AI770" s="235"/>
      <c r="AJ770" s="235"/>
      <c r="AK770" s="235"/>
      <c r="AL770" s="235"/>
      <c r="AM770" s="235"/>
      <c r="AN770" s="235"/>
      <c r="AO770" s="235"/>
      <c r="AP770" s="235"/>
      <c r="AQ770" s="235"/>
    </row>
    <row r="771" spans="1:43" ht="15.75" customHeight="1" x14ac:dyDescent="0.55000000000000004">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c r="AA771" s="235"/>
      <c r="AB771" s="235"/>
      <c r="AC771" s="235"/>
      <c r="AD771" s="235"/>
      <c r="AE771" s="235"/>
      <c r="AF771" s="235"/>
      <c r="AG771" s="235"/>
      <c r="AH771" s="235"/>
      <c r="AI771" s="235"/>
      <c r="AJ771" s="235"/>
      <c r="AK771" s="235"/>
      <c r="AL771" s="235"/>
      <c r="AM771" s="235"/>
      <c r="AN771" s="235"/>
      <c r="AO771" s="235"/>
      <c r="AP771" s="235"/>
      <c r="AQ771" s="235"/>
    </row>
    <row r="772" spans="1:43" ht="15.75" customHeight="1" x14ac:dyDescent="0.55000000000000004">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c r="AA772" s="235"/>
      <c r="AB772" s="235"/>
      <c r="AC772" s="235"/>
      <c r="AD772" s="235"/>
      <c r="AE772" s="235"/>
      <c r="AF772" s="235"/>
      <c r="AG772" s="235"/>
      <c r="AH772" s="235"/>
      <c r="AI772" s="235"/>
      <c r="AJ772" s="235"/>
      <c r="AK772" s="235"/>
      <c r="AL772" s="235"/>
      <c r="AM772" s="235"/>
      <c r="AN772" s="235"/>
      <c r="AO772" s="235"/>
      <c r="AP772" s="235"/>
      <c r="AQ772" s="235"/>
    </row>
    <row r="773" spans="1:43" ht="15.75" customHeight="1" x14ac:dyDescent="0.55000000000000004">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c r="AA773" s="235"/>
      <c r="AB773" s="235"/>
      <c r="AC773" s="235"/>
      <c r="AD773" s="235"/>
      <c r="AE773" s="235"/>
      <c r="AF773" s="235"/>
      <c r="AG773" s="235"/>
      <c r="AH773" s="235"/>
      <c r="AI773" s="235"/>
      <c r="AJ773" s="235"/>
      <c r="AK773" s="235"/>
      <c r="AL773" s="235"/>
      <c r="AM773" s="235"/>
      <c r="AN773" s="235"/>
      <c r="AO773" s="235"/>
      <c r="AP773" s="235"/>
      <c r="AQ773" s="235"/>
    </row>
    <row r="774" spans="1:43" ht="15.75" customHeight="1" x14ac:dyDescent="0.55000000000000004">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c r="AA774" s="235"/>
      <c r="AB774" s="235"/>
      <c r="AC774" s="235"/>
      <c r="AD774" s="235"/>
      <c r="AE774" s="235"/>
      <c r="AF774" s="235"/>
      <c r="AG774" s="235"/>
      <c r="AH774" s="235"/>
      <c r="AI774" s="235"/>
      <c r="AJ774" s="235"/>
      <c r="AK774" s="235"/>
      <c r="AL774" s="235"/>
      <c r="AM774" s="235"/>
      <c r="AN774" s="235"/>
      <c r="AO774" s="235"/>
      <c r="AP774" s="235"/>
      <c r="AQ774" s="235"/>
    </row>
    <row r="775" spans="1:43" ht="15.75" customHeight="1" x14ac:dyDescent="0.55000000000000004">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c r="AA775" s="235"/>
      <c r="AB775" s="235"/>
      <c r="AC775" s="235"/>
      <c r="AD775" s="235"/>
      <c r="AE775" s="235"/>
      <c r="AF775" s="235"/>
      <c r="AG775" s="235"/>
      <c r="AH775" s="235"/>
      <c r="AI775" s="235"/>
      <c r="AJ775" s="235"/>
      <c r="AK775" s="235"/>
      <c r="AL775" s="235"/>
      <c r="AM775" s="235"/>
      <c r="AN775" s="235"/>
      <c r="AO775" s="235"/>
      <c r="AP775" s="235"/>
      <c r="AQ775" s="235"/>
    </row>
    <row r="776" spans="1:43" ht="15.75" customHeight="1" x14ac:dyDescent="0.55000000000000004">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c r="AA776" s="235"/>
      <c r="AB776" s="235"/>
      <c r="AC776" s="235"/>
      <c r="AD776" s="235"/>
      <c r="AE776" s="235"/>
      <c r="AF776" s="235"/>
      <c r="AG776" s="235"/>
      <c r="AH776" s="235"/>
      <c r="AI776" s="235"/>
      <c r="AJ776" s="235"/>
      <c r="AK776" s="235"/>
      <c r="AL776" s="235"/>
      <c r="AM776" s="235"/>
      <c r="AN776" s="235"/>
      <c r="AO776" s="235"/>
      <c r="AP776" s="235"/>
      <c r="AQ776" s="235"/>
    </row>
    <row r="777" spans="1:43" ht="15.75" customHeight="1" x14ac:dyDescent="0.55000000000000004">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c r="AA777" s="235"/>
      <c r="AB777" s="235"/>
      <c r="AC777" s="235"/>
      <c r="AD777" s="235"/>
      <c r="AE777" s="235"/>
      <c r="AF777" s="235"/>
      <c r="AG777" s="235"/>
      <c r="AH777" s="235"/>
      <c r="AI777" s="235"/>
      <c r="AJ777" s="235"/>
      <c r="AK777" s="235"/>
      <c r="AL777" s="235"/>
      <c r="AM777" s="235"/>
      <c r="AN777" s="235"/>
      <c r="AO777" s="235"/>
      <c r="AP777" s="235"/>
      <c r="AQ777" s="235"/>
    </row>
    <row r="778" spans="1:43" ht="15.75" customHeight="1" x14ac:dyDescent="0.55000000000000004">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c r="AA778" s="235"/>
      <c r="AB778" s="235"/>
      <c r="AC778" s="235"/>
      <c r="AD778" s="235"/>
      <c r="AE778" s="235"/>
      <c r="AF778" s="235"/>
      <c r="AG778" s="235"/>
      <c r="AH778" s="235"/>
      <c r="AI778" s="235"/>
      <c r="AJ778" s="235"/>
      <c r="AK778" s="235"/>
      <c r="AL778" s="235"/>
      <c r="AM778" s="235"/>
      <c r="AN778" s="235"/>
      <c r="AO778" s="235"/>
      <c r="AP778" s="235"/>
      <c r="AQ778" s="235"/>
    </row>
    <row r="779" spans="1:43" ht="15.75" customHeight="1" x14ac:dyDescent="0.55000000000000004">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c r="AA779" s="235"/>
      <c r="AB779" s="235"/>
      <c r="AC779" s="235"/>
      <c r="AD779" s="235"/>
      <c r="AE779" s="235"/>
      <c r="AF779" s="235"/>
      <c r="AG779" s="235"/>
      <c r="AH779" s="235"/>
      <c r="AI779" s="235"/>
      <c r="AJ779" s="235"/>
      <c r="AK779" s="235"/>
      <c r="AL779" s="235"/>
      <c r="AM779" s="235"/>
      <c r="AN779" s="235"/>
      <c r="AO779" s="235"/>
      <c r="AP779" s="235"/>
      <c r="AQ779" s="235"/>
    </row>
    <row r="780" spans="1:43" ht="15.75" customHeight="1" x14ac:dyDescent="0.55000000000000004">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c r="AA780" s="235"/>
      <c r="AB780" s="235"/>
      <c r="AC780" s="235"/>
      <c r="AD780" s="235"/>
      <c r="AE780" s="235"/>
      <c r="AF780" s="235"/>
      <c r="AG780" s="235"/>
      <c r="AH780" s="235"/>
      <c r="AI780" s="235"/>
      <c r="AJ780" s="235"/>
      <c r="AK780" s="235"/>
      <c r="AL780" s="235"/>
      <c r="AM780" s="235"/>
      <c r="AN780" s="235"/>
      <c r="AO780" s="235"/>
      <c r="AP780" s="235"/>
      <c r="AQ780" s="235"/>
    </row>
    <row r="781" spans="1:43" ht="15.75" customHeight="1" x14ac:dyDescent="0.55000000000000004">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c r="AA781" s="235"/>
      <c r="AB781" s="235"/>
      <c r="AC781" s="235"/>
      <c r="AD781" s="235"/>
      <c r="AE781" s="235"/>
      <c r="AF781" s="235"/>
      <c r="AG781" s="235"/>
      <c r="AH781" s="235"/>
      <c r="AI781" s="235"/>
      <c r="AJ781" s="235"/>
      <c r="AK781" s="235"/>
      <c r="AL781" s="235"/>
      <c r="AM781" s="235"/>
      <c r="AN781" s="235"/>
      <c r="AO781" s="235"/>
      <c r="AP781" s="235"/>
      <c r="AQ781" s="235"/>
    </row>
    <row r="782" spans="1:43" ht="15.75" customHeight="1" x14ac:dyDescent="0.55000000000000004">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c r="AA782" s="235"/>
      <c r="AB782" s="235"/>
      <c r="AC782" s="235"/>
      <c r="AD782" s="235"/>
      <c r="AE782" s="235"/>
      <c r="AF782" s="235"/>
      <c r="AG782" s="235"/>
      <c r="AH782" s="235"/>
      <c r="AI782" s="235"/>
      <c r="AJ782" s="235"/>
      <c r="AK782" s="235"/>
      <c r="AL782" s="235"/>
      <c r="AM782" s="235"/>
      <c r="AN782" s="235"/>
      <c r="AO782" s="235"/>
      <c r="AP782" s="235"/>
      <c r="AQ782" s="235"/>
    </row>
    <row r="783" spans="1:43" ht="15.75" customHeight="1" x14ac:dyDescent="0.55000000000000004">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c r="AA783" s="235"/>
      <c r="AB783" s="235"/>
      <c r="AC783" s="235"/>
      <c r="AD783" s="235"/>
      <c r="AE783" s="235"/>
      <c r="AF783" s="235"/>
      <c r="AG783" s="235"/>
      <c r="AH783" s="235"/>
      <c r="AI783" s="235"/>
      <c r="AJ783" s="235"/>
      <c r="AK783" s="235"/>
      <c r="AL783" s="235"/>
      <c r="AM783" s="235"/>
      <c r="AN783" s="235"/>
      <c r="AO783" s="235"/>
      <c r="AP783" s="235"/>
      <c r="AQ783" s="235"/>
    </row>
    <row r="784" spans="1:43" ht="15.75" customHeight="1" x14ac:dyDescent="0.55000000000000004">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c r="AA784" s="235"/>
      <c r="AB784" s="235"/>
      <c r="AC784" s="235"/>
      <c r="AD784" s="235"/>
      <c r="AE784" s="235"/>
      <c r="AF784" s="235"/>
      <c r="AG784" s="235"/>
      <c r="AH784" s="235"/>
      <c r="AI784" s="235"/>
      <c r="AJ784" s="235"/>
      <c r="AK784" s="235"/>
      <c r="AL784" s="235"/>
      <c r="AM784" s="235"/>
      <c r="AN784" s="235"/>
      <c r="AO784" s="235"/>
      <c r="AP784" s="235"/>
      <c r="AQ784" s="235"/>
    </row>
    <row r="785" spans="1:43" ht="15.75" customHeight="1" x14ac:dyDescent="0.55000000000000004">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c r="AA785" s="235"/>
      <c r="AB785" s="235"/>
      <c r="AC785" s="235"/>
      <c r="AD785" s="235"/>
      <c r="AE785" s="235"/>
      <c r="AF785" s="235"/>
      <c r="AG785" s="235"/>
      <c r="AH785" s="235"/>
      <c r="AI785" s="235"/>
      <c r="AJ785" s="235"/>
      <c r="AK785" s="235"/>
      <c r="AL785" s="235"/>
      <c r="AM785" s="235"/>
      <c r="AN785" s="235"/>
      <c r="AO785" s="235"/>
      <c r="AP785" s="235"/>
      <c r="AQ785" s="235"/>
    </row>
    <row r="786" spans="1:43" ht="15.75" customHeight="1" x14ac:dyDescent="0.55000000000000004">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c r="AA786" s="235"/>
      <c r="AB786" s="235"/>
      <c r="AC786" s="235"/>
      <c r="AD786" s="235"/>
      <c r="AE786" s="235"/>
      <c r="AF786" s="235"/>
      <c r="AG786" s="235"/>
      <c r="AH786" s="235"/>
      <c r="AI786" s="235"/>
      <c r="AJ786" s="235"/>
      <c r="AK786" s="235"/>
      <c r="AL786" s="235"/>
      <c r="AM786" s="235"/>
      <c r="AN786" s="235"/>
      <c r="AO786" s="235"/>
      <c r="AP786" s="235"/>
      <c r="AQ786" s="235"/>
    </row>
    <row r="787" spans="1:43" ht="15.75" customHeight="1" x14ac:dyDescent="0.55000000000000004">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c r="AA787" s="235"/>
      <c r="AB787" s="235"/>
      <c r="AC787" s="235"/>
      <c r="AD787" s="235"/>
      <c r="AE787" s="235"/>
      <c r="AF787" s="235"/>
      <c r="AG787" s="235"/>
      <c r="AH787" s="235"/>
      <c r="AI787" s="235"/>
      <c r="AJ787" s="235"/>
      <c r="AK787" s="235"/>
      <c r="AL787" s="235"/>
      <c r="AM787" s="235"/>
      <c r="AN787" s="235"/>
      <c r="AO787" s="235"/>
      <c r="AP787" s="235"/>
      <c r="AQ787" s="235"/>
    </row>
    <row r="788" spans="1:43" ht="15.75" customHeight="1" x14ac:dyDescent="0.55000000000000004">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c r="AA788" s="235"/>
      <c r="AB788" s="235"/>
      <c r="AC788" s="235"/>
      <c r="AD788" s="235"/>
      <c r="AE788" s="235"/>
      <c r="AF788" s="235"/>
      <c r="AG788" s="235"/>
      <c r="AH788" s="235"/>
      <c r="AI788" s="235"/>
      <c r="AJ788" s="235"/>
      <c r="AK788" s="235"/>
      <c r="AL788" s="235"/>
      <c r="AM788" s="235"/>
      <c r="AN788" s="235"/>
      <c r="AO788" s="235"/>
      <c r="AP788" s="235"/>
      <c r="AQ788" s="235"/>
    </row>
    <row r="789" spans="1:43" ht="15.75" customHeight="1" x14ac:dyDescent="0.55000000000000004">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c r="AA789" s="235"/>
      <c r="AB789" s="235"/>
      <c r="AC789" s="235"/>
      <c r="AD789" s="235"/>
      <c r="AE789" s="235"/>
      <c r="AF789" s="235"/>
      <c r="AG789" s="235"/>
      <c r="AH789" s="235"/>
      <c r="AI789" s="235"/>
      <c r="AJ789" s="235"/>
      <c r="AK789" s="235"/>
      <c r="AL789" s="235"/>
      <c r="AM789" s="235"/>
      <c r="AN789" s="235"/>
      <c r="AO789" s="235"/>
      <c r="AP789" s="235"/>
      <c r="AQ789" s="235"/>
    </row>
    <row r="790" spans="1:43" ht="15.75" customHeight="1" x14ac:dyDescent="0.55000000000000004">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c r="AA790" s="235"/>
      <c r="AB790" s="235"/>
      <c r="AC790" s="235"/>
      <c r="AD790" s="235"/>
      <c r="AE790" s="235"/>
      <c r="AF790" s="235"/>
      <c r="AG790" s="235"/>
      <c r="AH790" s="235"/>
      <c r="AI790" s="235"/>
      <c r="AJ790" s="235"/>
      <c r="AK790" s="235"/>
      <c r="AL790" s="235"/>
      <c r="AM790" s="235"/>
      <c r="AN790" s="235"/>
      <c r="AO790" s="235"/>
      <c r="AP790" s="235"/>
      <c r="AQ790" s="235"/>
    </row>
    <row r="791" spans="1:43" ht="15.75" customHeight="1" x14ac:dyDescent="0.55000000000000004">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c r="AA791" s="235"/>
      <c r="AB791" s="235"/>
      <c r="AC791" s="235"/>
      <c r="AD791" s="235"/>
      <c r="AE791" s="235"/>
      <c r="AF791" s="235"/>
      <c r="AG791" s="235"/>
      <c r="AH791" s="235"/>
      <c r="AI791" s="235"/>
      <c r="AJ791" s="235"/>
      <c r="AK791" s="235"/>
      <c r="AL791" s="235"/>
      <c r="AM791" s="235"/>
      <c r="AN791" s="235"/>
      <c r="AO791" s="235"/>
      <c r="AP791" s="235"/>
      <c r="AQ791" s="235"/>
    </row>
    <row r="792" spans="1:43" ht="15.75" customHeight="1" x14ac:dyDescent="0.55000000000000004">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c r="AA792" s="235"/>
      <c r="AB792" s="235"/>
      <c r="AC792" s="235"/>
      <c r="AD792" s="235"/>
      <c r="AE792" s="235"/>
      <c r="AF792" s="235"/>
      <c r="AG792" s="235"/>
      <c r="AH792" s="235"/>
      <c r="AI792" s="235"/>
      <c r="AJ792" s="235"/>
      <c r="AK792" s="235"/>
      <c r="AL792" s="235"/>
      <c r="AM792" s="235"/>
      <c r="AN792" s="235"/>
      <c r="AO792" s="235"/>
      <c r="AP792" s="235"/>
      <c r="AQ792" s="235"/>
    </row>
    <row r="793" spans="1:43" ht="15.75" customHeight="1" x14ac:dyDescent="0.55000000000000004">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c r="AA793" s="235"/>
      <c r="AB793" s="235"/>
      <c r="AC793" s="235"/>
      <c r="AD793" s="235"/>
      <c r="AE793" s="235"/>
      <c r="AF793" s="235"/>
      <c r="AG793" s="235"/>
      <c r="AH793" s="235"/>
      <c r="AI793" s="235"/>
      <c r="AJ793" s="235"/>
      <c r="AK793" s="235"/>
      <c r="AL793" s="235"/>
      <c r="AM793" s="235"/>
      <c r="AN793" s="235"/>
      <c r="AO793" s="235"/>
      <c r="AP793" s="235"/>
      <c r="AQ793" s="235"/>
    </row>
    <row r="794" spans="1:43" ht="15.75" customHeight="1" x14ac:dyDescent="0.55000000000000004">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c r="AA794" s="235"/>
      <c r="AB794" s="235"/>
      <c r="AC794" s="235"/>
      <c r="AD794" s="235"/>
      <c r="AE794" s="235"/>
      <c r="AF794" s="235"/>
      <c r="AG794" s="235"/>
      <c r="AH794" s="235"/>
      <c r="AI794" s="235"/>
      <c r="AJ794" s="235"/>
      <c r="AK794" s="235"/>
      <c r="AL794" s="235"/>
      <c r="AM794" s="235"/>
      <c r="AN794" s="235"/>
      <c r="AO794" s="235"/>
      <c r="AP794" s="235"/>
      <c r="AQ794" s="235"/>
    </row>
    <row r="795" spans="1:43" ht="15.75" customHeight="1" x14ac:dyDescent="0.55000000000000004">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c r="AA795" s="235"/>
      <c r="AB795" s="235"/>
      <c r="AC795" s="235"/>
      <c r="AD795" s="235"/>
      <c r="AE795" s="235"/>
      <c r="AF795" s="235"/>
      <c r="AG795" s="235"/>
      <c r="AH795" s="235"/>
      <c r="AI795" s="235"/>
      <c r="AJ795" s="235"/>
      <c r="AK795" s="235"/>
      <c r="AL795" s="235"/>
      <c r="AM795" s="235"/>
      <c r="AN795" s="235"/>
      <c r="AO795" s="235"/>
      <c r="AP795" s="235"/>
      <c r="AQ795" s="235"/>
    </row>
    <row r="796" spans="1:43" ht="15.75" customHeight="1" x14ac:dyDescent="0.55000000000000004">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c r="AA796" s="235"/>
      <c r="AB796" s="235"/>
      <c r="AC796" s="235"/>
      <c r="AD796" s="235"/>
      <c r="AE796" s="235"/>
      <c r="AF796" s="235"/>
      <c r="AG796" s="235"/>
      <c r="AH796" s="235"/>
      <c r="AI796" s="235"/>
      <c r="AJ796" s="235"/>
      <c r="AK796" s="235"/>
      <c r="AL796" s="235"/>
      <c r="AM796" s="235"/>
      <c r="AN796" s="235"/>
      <c r="AO796" s="235"/>
      <c r="AP796" s="235"/>
      <c r="AQ796" s="235"/>
    </row>
    <row r="797" spans="1:43" ht="15.75" customHeight="1" x14ac:dyDescent="0.55000000000000004">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c r="AA797" s="235"/>
      <c r="AB797" s="235"/>
      <c r="AC797" s="235"/>
      <c r="AD797" s="235"/>
      <c r="AE797" s="235"/>
      <c r="AF797" s="235"/>
      <c r="AG797" s="235"/>
      <c r="AH797" s="235"/>
      <c r="AI797" s="235"/>
      <c r="AJ797" s="235"/>
      <c r="AK797" s="235"/>
      <c r="AL797" s="235"/>
      <c r="AM797" s="235"/>
      <c r="AN797" s="235"/>
      <c r="AO797" s="235"/>
      <c r="AP797" s="235"/>
      <c r="AQ797" s="235"/>
    </row>
    <row r="798" spans="1:43" ht="15.75" customHeight="1" x14ac:dyDescent="0.55000000000000004">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c r="AA798" s="235"/>
      <c r="AB798" s="235"/>
      <c r="AC798" s="235"/>
      <c r="AD798" s="235"/>
      <c r="AE798" s="235"/>
      <c r="AF798" s="235"/>
      <c r="AG798" s="235"/>
      <c r="AH798" s="235"/>
      <c r="AI798" s="235"/>
      <c r="AJ798" s="235"/>
      <c r="AK798" s="235"/>
      <c r="AL798" s="235"/>
      <c r="AM798" s="235"/>
      <c r="AN798" s="235"/>
      <c r="AO798" s="235"/>
      <c r="AP798" s="235"/>
      <c r="AQ798" s="235"/>
    </row>
    <row r="799" spans="1:43" ht="15.75" customHeight="1" x14ac:dyDescent="0.55000000000000004">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c r="AA799" s="235"/>
      <c r="AB799" s="235"/>
      <c r="AC799" s="235"/>
      <c r="AD799" s="235"/>
      <c r="AE799" s="235"/>
      <c r="AF799" s="235"/>
      <c r="AG799" s="235"/>
      <c r="AH799" s="235"/>
      <c r="AI799" s="235"/>
      <c r="AJ799" s="235"/>
      <c r="AK799" s="235"/>
      <c r="AL799" s="235"/>
      <c r="AM799" s="235"/>
      <c r="AN799" s="235"/>
      <c r="AO799" s="235"/>
      <c r="AP799" s="235"/>
      <c r="AQ799" s="235"/>
    </row>
    <row r="800" spans="1:43" ht="15.75" customHeight="1" x14ac:dyDescent="0.55000000000000004">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c r="AA800" s="235"/>
      <c r="AB800" s="235"/>
      <c r="AC800" s="235"/>
      <c r="AD800" s="235"/>
      <c r="AE800" s="235"/>
      <c r="AF800" s="235"/>
      <c r="AG800" s="235"/>
      <c r="AH800" s="235"/>
      <c r="AI800" s="235"/>
      <c r="AJ800" s="235"/>
      <c r="AK800" s="235"/>
      <c r="AL800" s="235"/>
      <c r="AM800" s="235"/>
      <c r="AN800" s="235"/>
      <c r="AO800" s="235"/>
      <c r="AP800" s="235"/>
      <c r="AQ800" s="235"/>
    </row>
    <row r="801" spans="1:43" ht="15.75" customHeight="1" x14ac:dyDescent="0.55000000000000004">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c r="AA801" s="235"/>
      <c r="AB801" s="235"/>
      <c r="AC801" s="235"/>
      <c r="AD801" s="235"/>
      <c r="AE801" s="235"/>
      <c r="AF801" s="235"/>
      <c r="AG801" s="235"/>
      <c r="AH801" s="235"/>
      <c r="AI801" s="235"/>
      <c r="AJ801" s="235"/>
      <c r="AK801" s="235"/>
      <c r="AL801" s="235"/>
      <c r="AM801" s="235"/>
      <c r="AN801" s="235"/>
      <c r="AO801" s="235"/>
      <c r="AP801" s="235"/>
      <c r="AQ801" s="235"/>
    </row>
    <row r="802" spans="1:43" ht="15.75" customHeight="1" x14ac:dyDescent="0.55000000000000004">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c r="AA802" s="235"/>
      <c r="AB802" s="235"/>
      <c r="AC802" s="235"/>
      <c r="AD802" s="235"/>
      <c r="AE802" s="235"/>
      <c r="AF802" s="235"/>
      <c r="AG802" s="235"/>
      <c r="AH802" s="235"/>
      <c r="AI802" s="235"/>
      <c r="AJ802" s="235"/>
      <c r="AK802" s="235"/>
      <c r="AL802" s="235"/>
      <c r="AM802" s="235"/>
      <c r="AN802" s="235"/>
      <c r="AO802" s="235"/>
      <c r="AP802" s="235"/>
      <c r="AQ802" s="235"/>
    </row>
    <row r="803" spans="1:43" ht="15.75" customHeight="1" x14ac:dyDescent="0.55000000000000004">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c r="AA803" s="235"/>
      <c r="AB803" s="235"/>
      <c r="AC803" s="235"/>
      <c r="AD803" s="235"/>
      <c r="AE803" s="235"/>
      <c r="AF803" s="235"/>
      <c r="AG803" s="235"/>
      <c r="AH803" s="235"/>
      <c r="AI803" s="235"/>
      <c r="AJ803" s="235"/>
      <c r="AK803" s="235"/>
      <c r="AL803" s="235"/>
      <c r="AM803" s="235"/>
      <c r="AN803" s="235"/>
      <c r="AO803" s="235"/>
      <c r="AP803" s="235"/>
      <c r="AQ803" s="235"/>
    </row>
    <row r="804" spans="1:43" ht="15.75" customHeight="1" x14ac:dyDescent="0.55000000000000004">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c r="AA804" s="235"/>
      <c r="AB804" s="235"/>
      <c r="AC804" s="235"/>
      <c r="AD804" s="235"/>
      <c r="AE804" s="235"/>
      <c r="AF804" s="235"/>
      <c r="AG804" s="235"/>
      <c r="AH804" s="235"/>
      <c r="AI804" s="235"/>
      <c r="AJ804" s="235"/>
      <c r="AK804" s="235"/>
      <c r="AL804" s="235"/>
      <c r="AM804" s="235"/>
      <c r="AN804" s="235"/>
      <c r="AO804" s="235"/>
      <c r="AP804" s="235"/>
      <c r="AQ804" s="235"/>
    </row>
    <row r="805" spans="1:43" ht="15.75" customHeight="1" x14ac:dyDescent="0.55000000000000004">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c r="AA805" s="235"/>
      <c r="AB805" s="235"/>
      <c r="AC805" s="235"/>
      <c r="AD805" s="235"/>
      <c r="AE805" s="235"/>
      <c r="AF805" s="235"/>
      <c r="AG805" s="235"/>
      <c r="AH805" s="235"/>
      <c r="AI805" s="235"/>
      <c r="AJ805" s="235"/>
      <c r="AK805" s="235"/>
      <c r="AL805" s="235"/>
      <c r="AM805" s="235"/>
      <c r="AN805" s="235"/>
      <c r="AO805" s="235"/>
      <c r="AP805" s="235"/>
      <c r="AQ805" s="235"/>
    </row>
    <row r="806" spans="1:43" ht="15.75" customHeight="1" x14ac:dyDescent="0.55000000000000004">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c r="AA806" s="235"/>
      <c r="AB806" s="235"/>
      <c r="AC806" s="235"/>
      <c r="AD806" s="235"/>
      <c r="AE806" s="235"/>
      <c r="AF806" s="235"/>
      <c r="AG806" s="235"/>
      <c r="AH806" s="235"/>
      <c r="AI806" s="235"/>
      <c r="AJ806" s="235"/>
      <c r="AK806" s="235"/>
      <c r="AL806" s="235"/>
      <c r="AM806" s="235"/>
      <c r="AN806" s="235"/>
      <c r="AO806" s="235"/>
      <c r="AP806" s="235"/>
      <c r="AQ806" s="235"/>
    </row>
    <row r="807" spans="1:43" ht="15.75" customHeight="1" x14ac:dyDescent="0.55000000000000004">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c r="AA807" s="235"/>
      <c r="AB807" s="235"/>
      <c r="AC807" s="235"/>
      <c r="AD807" s="235"/>
      <c r="AE807" s="235"/>
      <c r="AF807" s="235"/>
      <c r="AG807" s="235"/>
      <c r="AH807" s="235"/>
      <c r="AI807" s="235"/>
      <c r="AJ807" s="235"/>
      <c r="AK807" s="235"/>
      <c r="AL807" s="235"/>
      <c r="AM807" s="235"/>
      <c r="AN807" s="235"/>
      <c r="AO807" s="235"/>
      <c r="AP807" s="235"/>
      <c r="AQ807" s="235"/>
    </row>
    <row r="808" spans="1:43" ht="15.75" customHeight="1" x14ac:dyDescent="0.55000000000000004">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c r="AA808" s="235"/>
      <c r="AB808" s="235"/>
      <c r="AC808" s="235"/>
      <c r="AD808" s="235"/>
      <c r="AE808" s="235"/>
      <c r="AF808" s="235"/>
      <c r="AG808" s="235"/>
      <c r="AH808" s="235"/>
      <c r="AI808" s="235"/>
      <c r="AJ808" s="235"/>
      <c r="AK808" s="235"/>
      <c r="AL808" s="235"/>
      <c r="AM808" s="235"/>
      <c r="AN808" s="235"/>
      <c r="AO808" s="235"/>
      <c r="AP808" s="235"/>
      <c r="AQ808" s="235"/>
    </row>
    <row r="809" spans="1:43" ht="15.75" customHeight="1" x14ac:dyDescent="0.55000000000000004">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c r="AA809" s="235"/>
      <c r="AB809" s="235"/>
      <c r="AC809" s="235"/>
      <c r="AD809" s="235"/>
      <c r="AE809" s="235"/>
      <c r="AF809" s="235"/>
      <c r="AG809" s="235"/>
      <c r="AH809" s="235"/>
      <c r="AI809" s="235"/>
      <c r="AJ809" s="235"/>
      <c r="AK809" s="235"/>
      <c r="AL809" s="235"/>
      <c r="AM809" s="235"/>
      <c r="AN809" s="235"/>
      <c r="AO809" s="235"/>
      <c r="AP809" s="235"/>
      <c r="AQ809" s="235"/>
    </row>
    <row r="810" spans="1:43" ht="15.75" customHeight="1" x14ac:dyDescent="0.55000000000000004">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c r="AA810" s="235"/>
      <c r="AB810" s="235"/>
      <c r="AC810" s="235"/>
      <c r="AD810" s="235"/>
      <c r="AE810" s="235"/>
      <c r="AF810" s="235"/>
      <c r="AG810" s="235"/>
      <c r="AH810" s="235"/>
      <c r="AI810" s="235"/>
      <c r="AJ810" s="235"/>
      <c r="AK810" s="235"/>
      <c r="AL810" s="235"/>
      <c r="AM810" s="235"/>
      <c r="AN810" s="235"/>
      <c r="AO810" s="235"/>
      <c r="AP810" s="235"/>
      <c r="AQ810" s="235"/>
    </row>
    <row r="811" spans="1:43" ht="15.75" customHeight="1" x14ac:dyDescent="0.55000000000000004">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c r="AA811" s="235"/>
      <c r="AB811" s="235"/>
      <c r="AC811" s="235"/>
      <c r="AD811" s="235"/>
      <c r="AE811" s="235"/>
      <c r="AF811" s="235"/>
      <c r="AG811" s="235"/>
      <c r="AH811" s="235"/>
      <c r="AI811" s="235"/>
      <c r="AJ811" s="235"/>
      <c r="AK811" s="235"/>
      <c r="AL811" s="235"/>
      <c r="AM811" s="235"/>
      <c r="AN811" s="235"/>
      <c r="AO811" s="235"/>
      <c r="AP811" s="235"/>
      <c r="AQ811" s="235"/>
    </row>
    <row r="812" spans="1:43" ht="15.75" customHeight="1" x14ac:dyDescent="0.55000000000000004">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c r="AA812" s="235"/>
      <c r="AB812" s="235"/>
      <c r="AC812" s="235"/>
      <c r="AD812" s="235"/>
      <c r="AE812" s="235"/>
      <c r="AF812" s="235"/>
      <c r="AG812" s="235"/>
      <c r="AH812" s="235"/>
      <c r="AI812" s="235"/>
      <c r="AJ812" s="235"/>
      <c r="AK812" s="235"/>
      <c r="AL812" s="235"/>
      <c r="AM812" s="235"/>
      <c r="AN812" s="235"/>
      <c r="AO812" s="235"/>
      <c r="AP812" s="235"/>
      <c r="AQ812" s="235"/>
    </row>
    <row r="813" spans="1:43" ht="15.75" customHeight="1" x14ac:dyDescent="0.55000000000000004">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c r="AA813" s="235"/>
      <c r="AB813" s="235"/>
      <c r="AC813" s="235"/>
      <c r="AD813" s="235"/>
      <c r="AE813" s="235"/>
      <c r="AF813" s="235"/>
      <c r="AG813" s="235"/>
      <c r="AH813" s="235"/>
      <c r="AI813" s="235"/>
      <c r="AJ813" s="235"/>
      <c r="AK813" s="235"/>
      <c r="AL813" s="235"/>
      <c r="AM813" s="235"/>
      <c r="AN813" s="235"/>
      <c r="AO813" s="235"/>
      <c r="AP813" s="235"/>
      <c r="AQ813" s="235"/>
    </row>
    <row r="814" spans="1:43" ht="15.75" customHeight="1" x14ac:dyDescent="0.55000000000000004">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c r="AA814" s="235"/>
      <c r="AB814" s="235"/>
      <c r="AC814" s="235"/>
      <c r="AD814" s="235"/>
      <c r="AE814" s="235"/>
      <c r="AF814" s="235"/>
      <c r="AG814" s="235"/>
      <c r="AH814" s="235"/>
      <c r="AI814" s="235"/>
      <c r="AJ814" s="235"/>
      <c r="AK814" s="235"/>
      <c r="AL814" s="235"/>
      <c r="AM814" s="235"/>
      <c r="AN814" s="235"/>
      <c r="AO814" s="235"/>
      <c r="AP814" s="235"/>
      <c r="AQ814" s="235"/>
    </row>
    <row r="815" spans="1:43" ht="15.75" customHeight="1" x14ac:dyDescent="0.55000000000000004">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c r="AA815" s="235"/>
      <c r="AB815" s="235"/>
      <c r="AC815" s="235"/>
      <c r="AD815" s="235"/>
      <c r="AE815" s="235"/>
      <c r="AF815" s="235"/>
      <c r="AG815" s="235"/>
      <c r="AH815" s="235"/>
      <c r="AI815" s="235"/>
      <c r="AJ815" s="235"/>
      <c r="AK815" s="235"/>
      <c r="AL815" s="235"/>
      <c r="AM815" s="235"/>
      <c r="AN815" s="235"/>
      <c r="AO815" s="235"/>
      <c r="AP815" s="235"/>
      <c r="AQ815" s="235"/>
    </row>
    <row r="816" spans="1:43" ht="15.75" customHeight="1" x14ac:dyDescent="0.55000000000000004">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c r="AA816" s="235"/>
      <c r="AB816" s="235"/>
      <c r="AC816" s="235"/>
      <c r="AD816" s="235"/>
      <c r="AE816" s="235"/>
      <c r="AF816" s="235"/>
      <c r="AG816" s="235"/>
      <c r="AH816" s="235"/>
      <c r="AI816" s="235"/>
      <c r="AJ816" s="235"/>
      <c r="AK816" s="235"/>
      <c r="AL816" s="235"/>
      <c r="AM816" s="235"/>
      <c r="AN816" s="235"/>
      <c r="AO816" s="235"/>
      <c r="AP816" s="235"/>
      <c r="AQ816" s="235"/>
    </row>
    <row r="817" spans="1:43" ht="15.75" customHeight="1" x14ac:dyDescent="0.55000000000000004">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c r="AA817" s="235"/>
      <c r="AB817" s="235"/>
      <c r="AC817" s="235"/>
      <c r="AD817" s="235"/>
      <c r="AE817" s="235"/>
      <c r="AF817" s="235"/>
      <c r="AG817" s="235"/>
      <c r="AH817" s="235"/>
      <c r="AI817" s="235"/>
      <c r="AJ817" s="235"/>
      <c r="AK817" s="235"/>
      <c r="AL817" s="235"/>
      <c r="AM817" s="235"/>
      <c r="AN817" s="235"/>
      <c r="AO817" s="235"/>
      <c r="AP817" s="235"/>
      <c r="AQ817" s="235"/>
    </row>
    <row r="818" spans="1:43" ht="15.75" customHeight="1" x14ac:dyDescent="0.55000000000000004">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c r="AA818" s="235"/>
      <c r="AB818" s="235"/>
      <c r="AC818" s="235"/>
      <c r="AD818" s="235"/>
      <c r="AE818" s="235"/>
      <c r="AF818" s="235"/>
      <c r="AG818" s="235"/>
      <c r="AH818" s="235"/>
      <c r="AI818" s="235"/>
      <c r="AJ818" s="235"/>
      <c r="AK818" s="235"/>
      <c r="AL818" s="235"/>
      <c r="AM818" s="235"/>
      <c r="AN818" s="235"/>
      <c r="AO818" s="235"/>
      <c r="AP818" s="235"/>
      <c r="AQ818" s="235"/>
    </row>
    <row r="819" spans="1:43" ht="15.75" customHeight="1" x14ac:dyDescent="0.55000000000000004">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c r="AA819" s="235"/>
      <c r="AB819" s="235"/>
      <c r="AC819" s="235"/>
      <c r="AD819" s="235"/>
      <c r="AE819" s="235"/>
      <c r="AF819" s="235"/>
      <c r="AG819" s="235"/>
      <c r="AH819" s="235"/>
      <c r="AI819" s="235"/>
      <c r="AJ819" s="235"/>
      <c r="AK819" s="235"/>
      <c r="AL819" s="235"/>
      <c r="AM819" s="235"/>
      <c r="AN819" s="235"/>
      <c r="AO819" s="235"/>
      <c r="AP819" s="235"/>
      <c r="AQ819" s="235"/>
    </row>
    <row r="820" spans="1:43" ht="15.75" customHeight="1" x14ac:dyDescent="0.55000000000000004">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c r="AA820" s="235"/>
      <c r="AB820" s="235"/>
      <c r="AC820" s="235"/>
      <c r="AD820" s="235"/>
      <c r="AE820" s="235"/>
      <c r="AF820" s="235"/>
      <c r="AG820" s="235"/>
      <c r="AH820" s="235"/>
      <c r="AI820" s="235"/>
      <c r="AJ820" s="235"/>
      <c r="AK820" s="235"/>
      <c r="AL820" s="235"/>
      <c r="AM820" s="235"/>
      <c r="AN820" s="235"/>
      <c r="AO820" s="235"/>
      <c r="AP820" s="235"/>
      <c r="AQ820" s="235"/>
    </row>
    <row r="821" spans="1:43" ht="15.75" customHeight="1" x14ac:dyDescent="0.55000000000000004">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c r="AA821" s="235"/>
      <c r="AB821" s="235"/>
      <c r="AC821" s="235"/>
      <c r="AD821" s="235"/>
      <c r="AE821" s="235"/>
      <c r="AF821" s="235"/>
      <c r="AG821" s="235"/>
      <c r="AH821" s="235"/>
      <c r="AI821" s="235"/>
      <c r="AJ821" s="235"/>
      <c r="AK821" s="235"/>
      <c r="AL821" s="235"/>
      <c r="AM821" s="235"/>
      <c r="AN821" s="235"/>
      <c r="AO821" s="235"/>
      <c r="AP821" s="235"/>
      <c r="AQ821" s="235"/>
    </row>
    <row r="822" spans="1:43" ht="15.75" customHeight="1" x14ac:dyDescent="0.55000000000000004">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c r="AA822" s="235"/>
      <c r="AB822" s="235"/>
      <c r="AC822" s="235"/>
      <c r="AD822" s="235"/>
      <c r="AE822" s="235"/>
      <c r="AF822" s="235"/>
      <c r="AG822" s="235"/>
      <c r="AH822" s="235"/>
      <c r="AI822" s="235"/>
      <c r="AJ822" s="235"/>
      <c r="AK822" s="235"/>
      <c r="AL822" s="235"/>
      <c r="AM822" s="235"/>
      <c r="AN822" s="235"/>
      <c r="AO822" s="235"/>
      <c r="AP822" s="235"/>
      <c r="AQ822" s="235"/>
    </row>
    <row r="823" spans="1:43" ht="15.75" customHeight="1" x14ac:dyDescent="0.55000000000000004">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c r="AA823" s="235"/>
      <c r="AB823" s="235"/>
      <c r="AC823" s="235"/>
      <c r="AD823" s="235"/>
      <c r="AE823" s="235"/>
      <c r="AF823" s="235"/>
      <c r="AG823" s="235"/>
      <c r="AH823" s="235"/>
      <c r="AI823" s="235"/>
      <c r="AJ823" s="235"/>
      <c r="AK823" s="235"/>
      <c r="AL823" s="235"/>
      <c r="AM823" s="235"/>
      <c r="AN823" s="235"/>
      <c r="AO823" s="235"/>
      <c r="AP823" s="235"/>
      <c r="AQ823" s="235"/>
    </row>
    <row r="824" spans="1:43" ht="15.75" customHeight="1" x14ac:dyDescent="0.55000000000000004">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c r="AA824" s="235"/>
      <c r="AB824" s="235"/>
      <c r="AC824" s="235"/>
      <c r="AD824" s="235"/>
      <c r="AE824" s="235"/>
      <c r="AF824" s="235"/>
      <c r="AG824" s="235"/>
      <c r="AH824" s="235"/>
      <c r="AI824" s="235"/>
      <c r="AJ824" s="235"/>
      <c r="AK824" s="235"/>
      <c r="AL824" s="235"/>
      <c r="AM824" s="235"/>
      <c r="AN824" s="235"/>
      <c r="AO824" s="235"/>
      <c r="AP824" s="235"/>
      <c r="AQ824" s="235"/>
    </row>
    <row r="825" spans="1:43" ht="15.75" customHeight="1" x14ac:dyDescent="0.55000000000000004">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c r="AA825" s="235"/>
      <c r="AB825" s="235"/>
      <c r="AC825" s="235"/>
      <c r="AD825" s="235"/>
      <c r="AE825" s="235"/>
      <c r="AF825" s="235"/>
      <c r="AG825" s="235"/>
      <c r="AH825" s="235"/>
      <c r="AI825" s="235"/>
      <c r="AJ825" s="235"/>
      <c r="AK825" s="235"/>
      <c r="AL825" s="235"/>
      <c r="AM825" s="235"/>
      <c r="AN825" s="235"/>
      <c r="AO825" s="235"/>
      <c r="AP825" s="235"/>
      <c r="AQ825" s="235"/>
    </row>
    <row r="826" spans="1:43" ht="15.75" customHeight="1" x14ac:dyDescent="0.55000000000000004">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c r="AA826" s="235"/>
      <c r="AB826" s="235"/>
      <c r="AC826" s="235"/>
      <c r="AD826" s="235"/>
      <c r="AE826" s="235"/>
      <c r="AF826" s="235"/>
      <c r="AG826" s="235"/>
      <c r="AH826" s="235"/>
      <c r="AI826" s="235"/>
      <c r="AJ826" s="235"/>
      <c r="AK826" s="235"/>
      <c r="AL826" s="235"/>
      <c r="AM826" s="235"/>
      <c r="AN826" s="235"/>
      <c r="AO826" s="235"/>
      <c r="AP826" s="235"/>
      <c r="AQ826" s="235"/>
    </row>
    <row r="827" spans="1:43" ht="15.75" customHeight="1" x14ac:dyDescent="0.55000000000000004">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c r="AA827" s="235"/>
      <c r="AB827" s="235"/>
      <c r="AC827" s="235"/>
      <c r="AD827" s="235"/>
      <c r="AE827" s="235"/>
      <c r="AF827" s="235"/>
      <c r="AG827" s="235"/>
      <c r="AH827" s="235"/>
      <c r="AI827" s="235"/>
      <c r="AJ827" s="235"/>
      <c r="AK827" s="235"/>
      <c r="AL827" s="235"/>
      <c r="AM827" s="235"/>
      <c r="AN827" s="235"/>
      <c r="AO827" s="235"/>
      <c r="AP827" s="235"/>
      <c r="AQ827" s="235"/>
    </row>
    <row r="828" spans="1:43" ht="15.75" customHeight="1" x14ac:dyDescent="0.55000000000000004">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c r="AA828" s="235"/>
      <c r="AB828" s="235"/>
      <c r="AC828" s="235"/>
      <c r="AD828" s="235"/>
      <c r="AE828" s="235"/>
      <c r="AF828" s="235"/>
      <c r="AG828" s="235"/>
      <c r="AH828" s="235"/>
      <c r="AI828" s="235"/>
      <c r="AJ828" s="235"/>
      <c r="AK828" s="235"/>
      <c r="AL828" s="235"/>
      <c r="AM828" s="235"/>
      <c r="AN828" s="235"/>
      <c r="AO828" s="235"/>
      <c r="AP828" s="235"/>
      <c r="AQ828" s="235"/>
    </row>
    <row r="829" spans="1:43" ht="15.75" customHeight="1" x14ac:dyDescent="0.55000000000000004">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c r="AA829" s="235"/>
      <c r="AB829" s="235"/>
      <c r="AC829" s="235"/>
      <c r="AD829" s="235"/>
      <c r="AE829" s="235"/>
      <c r="AF829" s="235"/>
      <c r="AG829" s="235"/>
      <c r="AH829" s="235"/>
      <c r="AI829" s="235"/>
      <c r="AJ829" s="235"/>
      <c r="AK829" s="235"/>
      <c r="AL829" s="235"/>
      <c r="AM829" s="235"/>
      <c r="AN829" s="235"/>
      <c r="AO829" s="235"/>
      <c r="AP829" s="235"/>
      <c r="AQ829" s="235"/>
    </row>
    <row r="830" spans="1:43" ht="15.75" customHeight="1" x14ac:dyDescent="0.55000000000000004">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c r="AA830" s="235"/>
      <c r="AB830" s="235"/>
      <c r="AC830" s="235"/>
      <c r="AD830" s="235"/>
      <c r="AE830" s="235"/>
      <c r="AF830" s="235"/>
      <c r="AG830" s="235"/>
      <c r="AH830" s="235"/>
      <c r="AI830" s="235"/>
      <c r="AJ830" s="235"/>
      <c r="AK830" s="235"/>
      <c r="AL830" s="235"/>
      <c r="AM830" s="235"/>
      <c r="AN830" s="235"/>
      <c r="AO830" s="235"/>
      <c r="AP830" s="235"/>
      <c r="AQ830" s="235"/>
    </row>
    <row r="831" spans="1:43" ht="15.75" customHeight="1" x14ac:dyDescent="0.55000000000000004">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c r="AA831" s="235"/>
      <c r="AB831" s="235"/>
      <c r="AC831" s="235"/>
      <c r="AD831" s="235"/>
      <c r="AE831" s="235"/>
      <c r="AF831" s="235"/>
      <c r="AG831" s="235"/>
      <c r="AH831" s="235"/>
      <c r="AI831" s="235"/>
      <c r="AJ831" s="235"/>
      <c r="AK831" s="235"/>
      <c r="AL831" s="235"/>
      <c r="AM831" s="235"/>
      <c r="AN831" s="235"/>
      <c r="AO831" s="235"/>
      <c r="AP831" s="235"/>
      <c r="AQ831" s="235"/>
    </row>
    <row r="832" spans="1:43" ht="15.75" customHeight="1" x14ac:dyDescent="0.55000000000000004">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c r="AA832" s="235"/>
      <c r="AB832" s="235"/>
      <c r="AC832" s="235"/>
      <c r="AD832" s="235"/>
      <c r="AE832" s="235"/>
      <c r="AF832" s="235"/>
      <c r="AG832" s="235"/>
      <c r="AH832" s="235"/>
      <c r="AI832" s="235"/>
      <c r="AJ832" s="235"/>
      <c r="AK832" s="235"/>
      <c r="AL832" s="235"/>
      <c r="AM832" s="235"/>
      <c r="AN832" s="235"/>
      <c r="AO832" s="235"/>
      <c r="AP832" s="235"/>
      <c r="AQ832" s="235"/>
    </row>
    <row r="833" spans="1:43" ht="15.75" customHeight="1" x14ac:dyDescent="0.55000000000000004">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c r="AA833" s="235"/>
      <c r="AB833" s="235"/>
      <c r="AC833" s="235"/>
      <c r="AD833" s="235"/>
      <c r="AE833" s="235"/>
      <c r="AF833" s="235"/>
      <c r="AG833" s="235"/>
      <c r="AH833" s="235"/>
      <c r="AI833" s="235"/>
      <c r="AJ833" s="235"/>
      <c r="AK833" s="235"/>
      <c r="AL833" s="235"/>
      <c r="AM833" s="235"/>
      <c r="AN833" s="235"/>
      <c r="AO833" s="235"/>
      <c r="AP833" s="235"/>
      <c r="AQ833" s="235"/>
    </row>
    <row r="834" spans="1:43" ht="15.75" customHeight="1" x14ac:dyDescent="0.55000000000000004">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c r="AA834" s="235"/>
      <c r="AB834" s="235"/>
      <c r="AC834" s="235"/>
      <c r="AD834" s="235"/>
      <c r="AE834" s="235"/>
      <c r="AF834" s="235"/>
      <c r="AG834" s="235"/>
      <c r="AH834" s="235"/>
      <c r="AI834" s="235"/>
      <c r="AJ834" s="235"/>
      <c r="AK834" s="235"/>
      <c r="AL834" s="235"/>
      <c r="AM834" s="235"/>
      <c r="AN834" s="235"/>
      <c r="AO834" s="235"/>
      <c r="AP834" s="235"/>
      <c r="AQ834" s="235"/>
    </row>
    <row r="835" spans="1:43" ht="15.75" customHeight="1" x14ac:dyDescent="0.55000000000000004">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c r="AA835" s="235"/>
      <c r="AB835" s="235"/>
      <c r="AC835" s="235"/>
      <c r="AD835" s="235"/>
      <c r="AE835" s="235"/>
      <c r="AF835" s="235"/>
      <c r="AG835" s="235"/>
      <c r="AH835" s="235"/>
      <c r="AI835" s="235"/>
      <c r="AJ835" s="235"/>
      <c r="AK835" s="235"/>
      <c r="AL835" s="235"/>
      <c r="AM835" s="235"/>
      <c r="AN835" s="235"/>
      <c r="AO835" s="235"/>
      <c r="AP835" s="235"/>
      <c r="AQ835" s="235"/>
    </row>
    <row r="836" spans="1:43" ht="15.75" customHeight="1" x14ac:dyDescent="0.55000000000000004">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c r="AA836" s="235"/>
      <c r="AB836" s="235"/>
      <c r="AC836" s="235"/>
      <c r="AD836" s="235"/>
      <c r="AE836" s="235"/>
      <c r="AF836" s="235"/>
      <c r="AG836" s="235"/>
      <c r="AH836" s="235"/>
      <c r="AI836" s="235"/>
      <c r="AJ836" s="235"/>
      <c r="AK836" s="235"/>
      <c r="AL836" s="235"/>
      <c r="AM836" s="235"/>
      <c r="AN836" s="235"/>
      <c r="AO836" s="235"/>
      <c r="AP836" s="235"/>
      <c r="AQ836" s="235"/>
    </row>
    <row r="837" spans="1:43" ht="15.75" customHeight="1" x14ac:dyDescent="0.55000000000000004">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c r="AA837" s="235"/>
      <c r="AB837" s="235"/>
      <c r="AC837" s="235"/>
      <c r="AD837" s="235"/>
      <c r="AE837" s="235"/>
      <c r="AF837" s="235"/>
      <c r="AG837" s="235"/>
      <c r="AH837" s="235"/>
      <c r="AI837" s="235"/>
      <c r="AJ837" s="235"/>
      <c r="AK837" s="235"/>
      <c r="AL837" s="235"/>
      <c r="AM837" s="235"/>
      <c r="AN837" s="235"/>
      <c r="AO837" s="235"/>
      <c r="AP837" s="235"/>
      <c r="AQ837" s="235"/>
    </row>
    <row r="838" spans="1:43" ht="15.75" customHeight="1" x14ac:dyDescent="0.55000000000000004">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c r="AA838" s="235"/>
      <c r="AB838" s="235"/>
      <c r="AC838" s="235"/>
      <c r="AD838" s="235"/>
      <c r="AE838" s="235"/>
      <c r="AF838" s="235"/>
      <c r="AG838" s="235"/>
      <c r="AH838" s="235"/>
      <c r="AI838" s="235"/>
      <c r="AJ838" s="235"/>
      <c r="AK838" s="235"/>
      <c r="AL838" s="235"/>
      <c r="AM838" s="235"/>
      <c r="AN838" s="235"/>
      <c r="AO838" s="235"/>
      <c r="AP838" s="235"/>
      <c r="AQ838" s="235"/>
    </row>
    <row r="839" spans="1:43" ht="15.75" customHeight="1" x14ac:dyDescent="0.55000000000000004">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c r="AA839" s="235"/>
      <c r="AB839" s="235"/>
      <c r="AC839" s="235"/>
      <c r="AD839" s="235"/>
      <c r="AE839" s="235"/>
      <c r="AF839" s="235"/>
      <c r="AG839" s="235"/>
      <c r="AH839" s="235"/>
      <c r="AI839" s="235"/>
      <c r="AJ839" s="235"/>
      <c r="AK839" s="235"/>
      <c r="AL839" s="235"/>
      <c r="AM839" s="235"/>
      <c r="AN839" s="235"/>
      <c r="AO839" s="235"/>
      <c r="AP839" s="235"/>
      <c r="AQ839" s="235"/>
    </row>
    <row r="840" spans="1:43" ht="15.75" customHeight="1" x14ac:dyDescent="0.55000000000000004">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c r="AA840" s="235"/>
      <c r="AB840" s="235"/>
      <c r="AC840" s="235"/>
      <c r="AD840" s="235"/>
      <c r="AE840" s="235"/>
      <c r="AF840" s="235"/>
      <c r="AG840" s="235"/>
      <c r="AH840" s="235"/>
      <c r="AI840" s="235"/>
      <c r="AJ840" s="235"/>
      <c r="AK840" s="235"/>
      <c r="AL840" s="235"/>
      <c r="AM840" s="235"/>
      <c r="AN840" s="235"/>
      <c r="AO840" s="235"/>
      <c r="AP840" s="235"/>
      <c r="AQ840" s="235"/>
    </row>
    <row r="841" spans="1:43" ht="15.75" customHeight="1" x14ac:dyDescent="0.55000000000000004">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c r="AA841" s="235"/>
      <c r="AB841" s="235"/>
      <c r="AC841" s="235"/>
      <c r="AD841" s="235"/>
      <c r="AE841" s="235"/>
      <c r="AF841" s="235"/>
      <c r="AG841" s="235"/>
      <c r="AH841" s="235"/>
      <c r="AI841" s="235"/>
      <c r="AJ841" s="235"/>
      <c r="AK841" s="235"/>
      <c r="AL841" s="235"/>
      <c r="AM841" s="235"/>
      <c r="AN841" s="235"/>
      <c r="AO841" s="235"/>
      <c r="AP841" s="235"/>
      <c r="AQ841" s="235"/>
    </row>
    <row r="842" spans="1:43" ht="15.75" customHeight="1" x14ac:dyDescent="0.55000000000000004">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c r="AA842" s="235"/>
      <c r="AB842" s="235"/>
      <c r="AC842" s="235"/>
      <c r="AD842" s="235"/>
      <c r="AE842" s="235"/>
      <c r="AF842" s="235"/>
      <c r="AG842" s="235"/>
      <c r="AH842" s="235"/>
      <c r="AI842" s="235"/>
      <c r="AJ842" s="235"/>
      <c r="AK842" s="235"/>
      <c r="AL842" s="235"/>
      <c r="AM842" s="235"/>
      <c r="AN842" s="235"/>
      <c r="AO842" s="235"/>
      <c r="AP842" s="235"/>
      <c r="AQ842" s="235"/>
    </row>
    <row r="843" spans="1:43" ht="15.75" customHeight="1" x14ac:dyDescent="0.55000000000000004">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c r="AA843" s="235"/>
      <c r="AB843" s="235"/>
      <c r="AC843" s="235"/>
      <c r="AD843" s="235"/>
      <c r="AE843" s="235"/>
      <c r="AF843" s="235"/>
      <c r="AG843" s="235"/>
      <c r="AH843" s="235"/>
      <c r="AI843" s="235"/>
      <c r="AJ843" s="235"/>
      <c r="AK843" s="235"/>
      <c r="AL843" s="235"/>
      <c r="AM843" s="235"/>
      <c r="AN843" s="235"/>
      <c r="AO843" s="235"/>
      <c r="AP843" s="235"/>
      <c r="AQ843" s="235"/>
    </row>
    <row r="844" spans="1:43" ht="15.75" customHeight="1" x14ac:dyDescent="0.55000000000000004">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c r="AA844" s="235"/>
      <c r="AB844" s="235"/>
      <c r="AC844" s="235"/>
      <c r="AD844" s="235"/>
      <c r="AE844" s="235"/>
      <c r="AF844" s="235"/>
      <c r="AG844" s="235"/>
      <c r="AH844" s="235"/>
      <c r="AI844" s="235"/>
      <c r="AJ844" s="235"/>
      <c r="AK844" s="235"/>
      <c r="AL844" s="235"/>
      <c r="AM844" s="235"/>
      <c r="AN844" s="235"/>
      <c r="AO844" s="235"/>
      <c r="AP844" s="235"/>
      <c r="AQ844" s="235"/>
    </row>
    <row r="845" spans="1:43" ht="15.75" customHeight="1" x14ac:dyDescent="0.55000000000000004">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c r="AA845" s="235"/>
      <c r="AB845" s="235"/>
      <c r="AC845" s="235"/>
      <c r="AD845" s="235"/>
      <c r="AE845" s="235"/>
      <c r="AF845" s="235"/>
      <c r="AG845" s="235"/>
      <c r="AH845" s="235"/>
      <c r="AI845" s="235"/>
      <c r="AJ845" s="235"/>
      <c r="AK845" s="235"/>
      <c r="AL845" s="235"/>
      <c r="AM845" s="235"/>
      <c r="AN845" s="235"/>
      <c r="AO845" s="235"/>
      <c r="AP845" s="235"/>
      <c r="AQ845" s="235"/>
    </row>
    <row r="846" spans="1:43" ht="15.75" customHeight="1" x14ac:dyDescent="0.55000000000000004">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c r="AA846" s="235"/>
      <c r="AB846" s="235"/>
      <c r="AC846" s="235"/>
      <c r="AD846" s="235"/>
      <c r="AE846" s="235"/>
      <c r="AF846" s="235"/>
      <c r="AG846" s="235"/>
      <c r="AH846" s="235"/>
      <c r="AI846" s="235"/>
      <c r="AJ846" s="235"/>
      <c r="AK846" s="235"/>
      <c r="AL846" s="235"/>
      <c r="AM846" s="235"/>
      <c r="AN846" s="235"/>
      <c r="AO846" s="235"/>
      <c r="AP846" s="235"/>
      <c r="AQ846" s="235"/>
    </row>
    <row r="847" spans="1:43" ht="15.75" customHeight="1" x14ac:dyDescent="0.55000000000000004">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c r="AA847" s="235"/>
      <c r="AB847" s="235"/>
      <c r="AC847" s="235"/>
      <c r="AD847" s="235"/>
      <c r="AE847" s="235"/>
      <c r="AF847" s="235"/>
      <c r="AG847" s="235"/>
      <c r="AH847" s="235"/>
      <c r="AI847" s="235"/>
      <c r="AJ847" s="235"/>
      <c r="AK847" s="235"/>
      <c r="AL847" s="235"/>
      <c r="AM847" s="235"/>
      <c r="AN847" s="235"/>
      <c r="AO847" s="235"/>
      <c r="AP847" s="235"/>
      <c r="AQ847" s="235"/>
    </row>
    <row r="848" spans="1:43" ht="15.75" customHeight="1" x14ac:dyDescent="0.55000000000000004">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c r="AA848" s="235"/>
      <c r="AB848" s="235"/>
      <c r="AC848" s="235"/>
      <c r="AD848" s="235"/>
      <c r="AE848" s="235"/>
      <c r="AF848" s="235"/>
      <c r="AG848" s="235"/>
      <c r="AH848" s="235"/>
      <c r="AI848" s="235"/>
      <c r="AJ848" s="235"/>
      <c r="AK848" s="235"/>
      <c r="AL848" s="235"/>
      <c r="AM848" s="235"/>
      <c r="AN848" s="235"/>
      <c r="AO848" s="235"/>
      <c r="AP848" s="235"/>
      <c r="AQ848" s="235"/>
    </row>
    <row r="849" spans="1:43" ht="15.75" customHeight="1" x14ac:dyDescent="0.55000000000000004">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c r="AA849" s="235"/>
      <c r="AB849" s="235"/>
      <c r="AC849" s="235"/>
      <c r="AD849" s="235"/>
      <c r="AE849" s="235"/>
      <c r="AF849" s="235"/>
      <c r="AG849" s="235"/>
      <c r="AH849" s="235"/>
      <c r="AI849" s="235"/>
      <c r="AJ849" s="235"/>
      <c r="AK849" s="235"/>
      <c r="AL849" s="235"/>
      <c r="AM849" s="235"/>
      <c r="AN849" s="235"/>
      <c r="AO849" s="235"/>
      <c r="AP849" s="235"/>
      <c r="AQ849" s="235"/>
    </row>
    <row r="850" spans="1:43" ht="15.75" customHeight="1" x14ac:dyDescent="0.55000000000000004">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c r="AA850" s="235"/>
      <c r="AB850" s="235"/>
      <c r="AC850" s="235"/>
      <c r="AD850" s="235"/>
      <c r="AE850" s="235"/>
      <c r="AF850" s="235"/>
      <c r="AG850" s="235"/>
      <c r="AH850" s="235"/>
      <c r="AI850" s="235"/>
      <c r="AJ850" s="235"/>
      <c r="AK850" s="235"/>
      <c r="AL850" s="235"/>
      <c r="AM850" s="235"/>
      <c r="AN850" s="235"/>
      <c r="AO850" s="235"/>
      <c r="AP850" s="235"/>
      <c r="AQ850" s="235"/>
    </row>
    <row r="851" spans="1:43" ht="15.75" customHeight="1" x14ac:dyDescent="0.55000000000000004">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c r="AA851" s="235"/>
      <c r="AB851" s="235"/>
      <c r="AC851" s="235"/>
      <c r="AD851" s="235"/>
      <c r="AE851" s="235"/>
      <c r="AF851" s="235"/>
      <c r="AG851" s="235"/>
      <c r="AH851" s="235"/>
      <c r="AI851" s="235"/>
      <c r="AJ851" s="235"/>
      <c r="AK851" s="235"/>
      <c r="AL851" s="235"/>
      <c r="AM851" s="235"/>
      <c r="AN851" s="235"/>
      <c r="AO851" s="235"/>
      <c r="AP851" s="235"/>
      <c r="AQ851" s="235"/>
    </row>
    <row r="852" spans="1:43" ht="15.75" customHeight="1" x14ac:dyDescent="0.55000000000000004">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c r="AA852" s="235"/>
      <c r="AB852" s="235"/>
      <c r="AC852" s="235"/>
      <c r="AD852" s="235"/>
      <c r="AE852" s="235"/>
      <c r="AF852" s="235"/>
      <c r="AG852" s="235"/>
      <c r="AH852" s="235"/>
      <c r="AI852" s="235"/>
      <c r="AJ852" s="235"/>
      <c r="AK852" s="235"/>
      <c r="AL852" s="235"/>
      <c r="AM852" s="235"/>
      <c r="AN852" s="235"/>
      <c r="AO852" s="235"/>
      <c r="AP852" s="235"/>
      <c r="AQ852" s="235"/>
    </row>
    <row r="853" spans="1:43" ht="15.75" customHeight="1" x14ac:dyDescent="0.55000000000000004">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c r="AA853" s="235"/>
      <c r="AB853" s="235"/>
      <c r="AC853" s="235"/>
      <c r="AD853" s="235"/>
      <c r="AE853" s="235"/>
      <c r="AF853" s="235"/>
      <c r="AG853" s="235"/>
      <c r="AH853" s="235"/>
      <c r="AI853" s="235"/>
      <c r="AJ853" s="235"/>
      <c r="AK853" s="235"/>
      <c r="AL853" s="235"/>
      <c r="AM853" s="235"/>
      <c r="AN853" s="235"/>
      <c r="AO853" s="235"/>
      <c r="AP853" s="235"/>
      <c r="AQ853" s="235"/>
    </row>
    <row r="854" spans="1:43" ht="15.75" customHeight="1" x14ac:dyDescent="0.55000000000000004">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c r="AA854" s="235"/>
      <c r="AB854" s="235"/>
      <c r="AC854" s="235"/>
      <c r="AD854" s="235"/>
      <c r="AE854" s="235"/>
      <c r="AF854" s="235"/>
      <c r="AG854" s="235"/>
      <c r="AH854" s="235"/>
      <c r="AI854" s="235"/>
      <c r="AJ854" s="235"/>
      <c r="AK854" s="235"/>
      <c r="AL854" s="235"/>
      <c r="AM854" s="235"/>
      <c r="AN854" s="235"/>
      <c r="AO854" s="235"/>
      <c r="AP854" s="235"/>
      <c r="AQ854" s="235"/>
    </row>
    <row r="855" spans="1:43" ht="15.75" customHeight="1" x14ac:dyDescent="0.55000000000000004">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c r="AA855" s="235"/>
      <c r="AB855" s="235"/>
      <c r="AC855" s="235"/>
      <c r="AD855" s="235"/>
      <c r="AE855" s="235"/>
      <c r="AF855" s="235"/>
      <c r="AG855" s="235"/>
      <c r="AH855" s="235"/>
      <c r="AI855" s="235"/>
      <c r="AJ855" s="235"/>
      <c r="AK855" s="235"/>
      <c r="AL855" s="235"/>
      <c r="AM855" s="235"/>
      <c r="AN855" s="235"/>
      <c r="AO855" s="235"/>
      <c r="AP855" s="235"/>
      <c r="AQ855" s="235"/>
    </row>
    <row r="856" spans="1:43" ht="15.75" customHeight="1" x14ac:dyDescent="0.55000000000000004">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c r="AA856" s="235"/>
      <c r="AB856" s="235"/>
      <c r="AC856" s="235"/>
      <c r="AD856" s="235"/>
      <c r="AE856" s="235"/>
      <c r="AF856" s="235"/>
      <c r="AG856" s="235"/>
      <c r="AH856" s="235"/>
      <c r="AI856" s="235"/>
      <c r="AJ856" s="235"/>
      <c r="AK856" s="235"/>
      <c r="AL856" s="235"/>
      <c r="AM856" s="235"/>
      <c r="AN856" s="235"/>
      <c r="AO856" s="235"/>
      <c r="AP856" s="235"/>
      <c r="AQ856" s="235"/>
    </row>
    <row r="857" spans="1:43" ht="15.75" customHeight="1" x14ac:dyDescent="0.55000000000000004">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c r="AA857" s="235"/>
      <c r="AB857" s="235"/>
      <c r="AC857" s="235"/>
      <c r="AD857" s="235"/>
      <c r="AE857" s="235"/>
      <c r="AF857" s="235"/>
      <c r="AG857" s="235"/>
      <c r="AH857" s="235"/>
      <c r="AI857" s="235"/>
      <c r="AJ857" s="235"/>
      <c r="AK857" s="235"/>
      <c r="AL857" s="235"/>
      <c r="AM857" s="235"/>
      <c r="AN857" s="235"/>
      <c r="AO857" s="235"/>
      <c r="AP857" s="235"/>
      <c r="AQ857" s="235"/>
    </row>
    <row r="858" spans="1:43" ht="15.75" customHeight="1" x14ac:dyDescent="0.55000000000000004">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c r="AA858" s="235"/>
      <c r="AB858" s="235"/>
      <c r="AC858" s="235"/>
      <c r="AD858" s="235"/>
      <c r="AE858" s="235"/>
      <c r="AF858" s="235"/>
      <c r="AG858" s="235"/>
      <c r="AH858" s="235"/>
      <c r="AI858" s="235"/>
      <c r="AJ858" s="235"/>
      <c r="AK858" s="235"/>
      <c r="AL858" s="235"/>
      <c r="AM858" s="235"/>
      <c r="AN858" s="235"/>
      <c r="AO858" s="235"/>
      <c r="AP858" s="235"/>
      <c r="AQ858" s="235"/>
    </row>
    <row r="859" spans="1:43" ht="15.75" customHeight="1" x14ac:dyDescent="0.55000000000000004">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c r="AA859" s="235"/>
      <c r="AB859" s="235"/>
      <c r="AC859" s="235"/>
      <c r="AD859" s="235"/>
      <c r="AE859" s="235"/>
      <c r="AF859" s="235"/>
      <c r="AG859" s="235"/>
      <c r="AH859" s="235"/>
      <c r="AI859" s="235"/>
      <c r="AJ859" s="235"/>
      <c r="AK859" s="235"/>
      <c r="AL859" s="235"/>
      <c r="AM859" s="235"/>
      <c r="AN859" s="235"/>
      <c r="AO859" s="235"/>
      <c r="AP859" s="235"/>
      <c r="AQ859" s="235"/>
    </row>
    <row r="860" spans="1:43" ht="15.75" customHeight="1" x14ac:dyDescent="0.55000000000000004">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c r="AA860" s="235"/>
      <c r="AB860" s="235"/>
      <c r="AC860" s="235"/>
      <c r="AD860" s="235"/>
      <c r="AE860" s="235"/>
      <c r="AF860" s="235"/>
      <c r="AG860" s="235"/>
      <c r="AH860" s="235"/>
      <c r="AI860" s="235"/>
      <c r="AJ860" s="235"/>
      <c r="AK860" s="235"/>
      <c r="AL860" s="235"/>
      <c r="AM860" s="235"/>
      <c r="AN860" s="235"/>
      <c r="AO860" s="235"/>
      <c r="AP860" s="235"/>
      <c r="AQ860" s="235"/>
    </row>
    <row r="861" spans="1:43" ht="15.75" customHeight="1" x14ac:dyDescent="0.55000000000000004">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c r="AA861" s="235"/>
      <c r="AB861" s="235"/>
      <c r="AC861" s="235"/>
      <c r="AD861" s="235"/>
      <c r="AE861" s="235"/>
      <c r="AF861" s="235"/>
      <c r="AG861" s="235"/>
      <c r="AH861" s="235"/>
      <c r="AI861" s="235"/>
      <c r="AJ861" s="235"/>
      <c r="AK861" s="235"/>
      <c r="AL861" s="235"/>
      <c r="AM861" s="235"/>
      <c r="AN861" s="235"/>
      <c r="AO861" s="235"/>
      <c r="AP861" s="235"/>
      <c r="AQ861" s="235"/>
    </row>
    <row r="862" spans="1:43" ht="15.75" customHeight="1" x14ac:dyDescent="0.55000000000000004">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c r="AA862" s="235"/>
      <c r="AB862" s="235"/>
      <c r="AC862" s="235"/>
      <c r="AD862" s="235"/>
      <c r="AE862" s="235"/>
      <c r="AF862" s="235"/>
      <c r="AG862" s="235"/>
      <c r="AH862" s="235"/>
      <c r="AI862" s="235"/>
      <c r="AJ862" s="235"/>
      <c r="AK862" s="235"/>
      <c r="AL862" s="235"/>
      <c r="AM862" s="235"/>
      <c r="AN862" s="235"/>
      <c r="AO862" s="235"/>
      <c r="AP862" s="235"/>
      <c r="AQ862" s="235"/>
    </row>
    <row r="863" spans="1:43" ht="15.75" customHeight="1" x14ac:dyDescent="0.55000000000000004">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c r="AA863" s="235"/>
      <c r="AB863" s="235"/>
      <c r="AC863" s="235"/>
      <c r="AD863" s="235"/>
      <c r="AE863" s="235"/>
      <c r="AF863" s="235"/>
      <c r="AG863" s="235"/>
      <c r="AH863" s="235"/>
      <c r="AI863" s="235"/>
      <c r="AJ863" s="235"/>
      <c r="AK863" s="235"/>
      <c r="AL863" s="235"/>
      <c r="AM863" s="235"/>
      <c r="AN863" s="235"/>
      <c r="AO863" s="235"/>
      <c r="AP863" s="235"/>
      <c r="AQ863" s="235"/>
    </row>
    <row r="864" spans="1:43" ht="15.75" customHeight="1" x14ac:dyDescent="0.55000000000000004">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c r="AA864" s="235"/>
      <c r="AB864" s="235"/>
      <c r="AC864" s="235"/>
      <c r="AD864" s="235"/>
      <c r="AE864" s="235"/>
      <c r="AF864" s="235"/>
      <c r="AG864" s="235"/>
      <c r="AH864" s="235"/>
      <c r="AI864" s="235"/>
      <c r="AJ864" s="235"/>
      <c r="AK864" s="235"/>
      <c r="AL864" s="235"/>
      <c r="AM864" s="235"/>
      <c r="AN864" s="235"/>
      <c r="AO864" s="235"/>
      <c r="AP864" s="235"/>
      <c r="AQ864" s="235"/>
    </row>
    <row r="865" spans="1:43" ht="15.75" customHeight="1" x14ac:dyDescent="0.55000000000000004">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c r="AA865" s="235"/>
      <c r="AB865" s="235"/>
      <c r="AC865" s="235"/>
      <c r="AD865" s="235"/>
      <c r="AE865" s="235"/>
      <c r="AF865" s="235"/>
      <c r="AG865" s="235"/>
      <c r="AH865" s="235"/>
      <c r="AI865" s="235"/>
      <c r="AJ865" s="235"/>
      <c r="AK865" s="235"/>
      <c r="AL865" s="235"/>
      <c r="AM865" s="235"/>
      <c r="AN865" s="235"/>
      <c r="AO865" s="235"/>
      <c r="AP865" s="235"/>
      <c r="AQ865" s="235"/>
    </row>
    <row r="866" spans="1:43" ht="15.75" customHeight="1" x14ac:dyDescent="0.55000000000000004">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c r="AA866" s="235"/>
      <c r="AB866" s="235"/>
      <c r="AC866" s="235"/>
      <c r="AD866" s="235"/>
      <c r="AE866" s="235"/>
      <c r="AF866" s="235"/>
      <c r="AG866" s="235"/>
      <c r="AH866" s="235"/>
      <c r="AI866" s="235"/>
      <c r="AJ866" s="235"/>
      <c r="AK866" s="235"/>
      <c r="AL866" s="235"/>
      <c r="AM866" s="235"/>
      <c r="AN866" s="235"/>
      <c r="AO866" s="235"/>
      <c r="AP866" s="235"/>
      <c r="AQ866" s="235"/>
    </row>
    <row r="867" spans="1:43" ht="15.75" customHeight="1" x14ac:dyDescent="0.55000000000000004">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c r="AA867" s="235"/>
      <c r="AB867" s="235"/>
      <c r="AC867" s="235"/>
      <c r="AD867" s="235"/>
      <c r="AE867" s="235"/>
      <c r="AF867" s="235"/>
      <c r="AG867" s="235"/>
      <c r="AH867" s="235"/>
      <c r="AI867" s="235"/>
      <c r="AJ867" s="235"/>
      <c r="AK867" s="235"/>
      <c r="AL867" s="235"/>
      <c r="AM867" s="235"/>
      <c r="AN867" s="235"/>
      <c r="AO867" s="235"/>
      <c r="AP867" s="235"/>
      <c r="AQ867" s="235"/>
    </row>
    <row r="868" spans="1:43" ht="15.75" customHeight="1" x14ac:dyDescent="0.55000000000000004">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c r="AA868" s="235"/>
      <c r="AB868" s="235"/>
      <c r="AC868" s="235"/>
      <c r="AD868" s="235"/>
      <c r="AE868" s="235"/>
      <c r="AF868" s="235"/>
      <c r="AG868" s="235"/>
      <c r="AH868" s="235"/>
      <c r="AI868" s="235"/>
      <c r="AJ868" s="235"/>
      <c r="AK868" s="235"/>
      <c r="AL868" s="235"/>
      <c r="AM868" s="235"/>
      <c r="AN868" s="235"/>
      <c r="AO868" s="235"/>
      <c r="AP868" s="235"/>
      <c r="AQ868" s="235"/>
    </row>
    <row r="869" spans="1:43" ht="15.75" customHeight="1" x14ac:dyDescent="0.55000000000000004">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c r="AA869" s="235"/>
      <c r="AB869" s="235"/>
      <c r="AC869" s="235"/>
      <c r="AD869" s="235"/>
      <c r="AE869" s="235"/>
      <c r="AF869" s="235"/>
      <c r="AG869" s="235"/>
      <c r="AH869" s="235"/>
      <c r="AI869" s="235"/>
      <c r="AJ869" s="235"/>
      <c r="AK869" s="235"/>
      <c r="AL869" s="235"/>
      <c r="AM869" s="235"/>
      <c r="AN869" s="235"/>
      <c r="AO869" s="235"/>
      <c r="AP869" s="235"/>
      <c r="AQ869" s="235"/>
    </row>
    <row r="870" spans="1:43" ht="15.75" customHeight="1" x14ac:dyDescent="0.55000000000000004">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c r="AA870" s="235"/>
      <c r="AB870" s="235"/>
      <c r="AC870" s="235"/>
      <c r="AD870" s="235"/>
      <c r="AE870" s="235"/>
      <c r="AF870" s="235"/>
      <c r="AG870" s="235"/>
      <c r="AH870" s="235"/>
      <c r="AI870" s="235"/>
      <c r="AJ870" s="235"/>
      <c r="AK870" s="235"/>
      <c r="AL870" s="235"/>
      <c r="AM870" s="235"/>
      <c r="AN870" s="235"/>
      <c r="AO870" s="235"/>
      <c r="AP870" s="235"/>
      <c r="AQ870" s="235"/>
    </row>
    <row r="871" spans="1:43" ht="15.75" customHeight="1" x14ac:dyDescent="0.55000000000000004">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c r="AA871" s="235"/>
      <c r="AB871" s="235"/>
      <c r="AC871" s="235"/>
      <c r="AD871" s="235"/>
      <c r="AE871" s="235"/>
      <c r="AF871" s="235"/>
      <c r="AG871" s="235"/>
      <c r="AH871" s="235"/>
      <c r="AI871" s="235"/>
      <c r="AJ871" s="235"/>
      <c r="AK871" s="235"/>
      <c r="AL871" s="235"/>
      <c r="AM871" s="235"/>
      <c r="AN871" s="235"/>
      <c r="AO871" s="235"/>
      <c r="AP871" s="235"/>
      <c r="AQ871" s="235"/>
    </row>
    <row r="872" spans="1:43" ht="15.75" customHeight="1" x14ac:dyDescent="0.55000000000000004">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c r="AA872" s="235"/>
      <c r="AB872" s="235"/>
      <c r="AC872" s="235"/>
      <c r="AD872" s="235"/>
      <c r="AE872" s="235"/>
      <c r="AF872" s="235"/>
      <c r="AG872" s="235"/>
      <c r="AH872" s="235"/>
      <c r="AI872" s="235"/>
      <c r="AJ872" s="235"/>
      <c r="AK872" s="235"/>
      <c r="AL872" s="235"/>
      <c r="AM872" s="235"/>
      <c r="AN872" s="235"/>
      <c r="AO872" s="235"/>
      <c r="AP872" s="235"/>
      <c r="AQ872" s="235"/>
    </row>
    <row r="873" spans="1:43" ht="15.75" customHeight="1" x14ac:dyDescent="0.55000000000000004">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c r="AA873" s="235"/>
      <c r="AB873" s="235"/>
      <c r="AC873" s="235"/>
      <c r="AD873" s="235"/>
      <c r="AE873" s="235"/>
      <c r="AF873" s="235"/>
      <c r="AG873" s="235"/>
      <c r="AH873" s="235"/>
      <c r="AI873" s="235"/>
      <c r="AJ873" s="235"/>
      <c r="AK873" s="235"/>
      <c r="AL873" s="235"/>
      <c r="AM873" s="235"/>
      <c r="AN873" s="235"/>
      <c r="AO873" s="235"/>
      <c r="AP873" s="235"/>
      <c r="AQ873" s="235"/>
    </row>
    <row r="874" spans="1:43" ht="15.75" customHeight="1" x14ac:dyDescent="0.55000000000000004">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c r="AA874" s="235"/>
      <c r="AB874" s="235"/>
      <c r="AC874" s="235"/>
      <c r="AD874" s="235"/>
      <c r="AE874" s="235"/>
      <c r="AF874" s="235"/>
      <c r="AG874" s="235"/>
      <c r="AH874" s="235"/>
      <c r="AI874" s="235"/>
      <c r="AJ874" s="235"/>
      <c r="AK874" s="235"/>
      <c r="AL874" s="235"/>
      <c r="AM874" s="235"/>
      <c r="AN874" s="235"/>
      <c r="AO874" s="235"/>
      <c r="AP874" s="235"/>
      <c r="AQ874" s="235"/>
    </row>
    <row r="875" spans="1:43" ht="15.75" customHeight="1" x14ac:dyDescent="0.55000000000000004">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c r="AA875" s="235"/>
      <c r="AB875" s="235"/>
      <c r="AC875" s="235"/>
      <c r="AD875" s="235"/>
      <c r="AE875" s="235"/>
      <c r="AF875" s="235"/>
      <c r="AG875" s="235"/>
      <c r="AH875" s="235"/>
      <c r="AI875" s="235"/>
      <c r="AJ875" s="235"/>
      <c r="AK875" s="235"/>
      <c r="AL875" s="235"/>
      <c r="AM875" s="235"/>
      <c r="AN875" s="235"/>
      <c r="AO875" s="235"/>
      <c r="AP875" s="235"/>
      <c r="AQ875" s="235"/>
    </row>
    <row r="876" spans="1:43" ht="15.75" customHeight="1" x14ac:dyDescent="0.55000000000000004">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c r="AA876" s="235"/>
      <c r="AB876" s="235"/>
      <c r="AC876" s="235"/>
      <c r="AD876" s="235"/>
      <c r="AE876" s="235"/>
      <c r="AF876" s="235"/>
      <c r="AG876" s="235"/>
      <c r="AH876" s="235"/>
      <c r="AI876" s="235"/>
      <c r="AJ876" s="235"/>
      <c r="AK876" s="235"/>
      <c r="AL876" s="235"/>
      <c r="AM876" s="235"/>
      <c r="AN876" s="235"/>
      <c r="AO876" s="235"/>
      <c r="AP876" s="235"/>
      <c r="AQ876" s="235"/>
    </row>
    <row r="877" spans="1:43" ht="15.75" customHeight="1" x14ac:dyDescent="0.55000000000000004">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c r="AA877" s="235"/>
      <c r="AB877" s="235"/>
      <c r="AC877" s="235"/>
      <c r="AD877" s="235"/>
      <c r="AE877" s="235"/>
      <c r="AF877" s="235"/>
      <c r="AG877" s="235"/>
      <c r="AH877" s="235"/>
      <c r="AI877" s="235"/>
      <c r="AJ877" s="235"/>
      <c r="AK877" s="235"/>
      <c r="AL877" s="235"/>
      <c r="AM877" s="235"/>
      <c r="AN877" s="235"/>
      <c r="AO877" s="235"/>
      <c r="AP877" s="235"/>
      <c r="AQ877" s="235"/>
    </row>
    <row r="878" spans="1:43" ht="15.75" customHeight="1" x14ac:dyDescent="0.55000000000000004">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c r="AA878" s="235"/>
      <c r="AB878" s="235"/>
      <c r="AC878" s="235"/>
      <c r="AD878" s="235"/>
      <c r="AE878" s="235"/>
      <c r="AF878" s="235"/>
      <c r="AG878" s="235"/>
      <c r="AH878" s="235"/>
      <c r="AI878" s="235"/>
      <c r="AJ878" s="235"/>
      <c r="AK878" s="235"/>
      <c r="AL878" s="235"/>
      <c r="AM878" s="235"/>
      <c r="AN878" s="235"/>
      <c r="AO878" s="235"/>
      <c r="AP878" s="235"/>
      <c r="AQ878" s="235"/>
    </row>
    <row r="879" spans="1:43" ht="15.75" customHeight="1" x14ac:dyDescent="0.55000000000000004">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c r="AA879" s="235"/>
      <c r="AB879" s="235"/>
      <c r="AC879" s="235"/>
      <c r="AD879" s="235"/>
      <c r="AE879" s="235"/>
      <c r="AF879" s="235"/>
      <c r="AG879" s="235"/>
      <c r="AH879" s="235"/>
      <c r="AI879" s="235"/>
      <c r="AJ879" s="235"/>
      <c r="AK879" s="235"/>
      <c r="AL879" s="235"/>
      <c r="AM879" s="235"/>
      <c r="AN879" s="235"/>
      <c r="AO879" s="235"/>
      <c r="AP879" s="235"/>
      <c r="AQ879" s="235"/>
    </row>
    <row r="880" spans="1:43" ht="15.75" customHeight="1" x14ac:dyDescent="0.55000000000000004">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c r="AA880" s="235"/>
      <c r="AB880" s="235"/>
      <c r="AC880" s="235"/>
      <c r="AD880" s="235"/>
      <c r="AE880" s="235"/>
      <c r="AF880" s="235"/>
      <c r="AG880" s="235"/>
      <c r="AH880" s="235"/>
      <c r="AI880" s="235"/>
      <c r="AJ880" s="235"/>
      <c r="AK880" s="235"/>
      <c r="AL880" s="235"/>
      <c r="AM880" s="235"/>
      <c r="AN880" s="235"/>
      <c r="AO880" s="235"/>
      <c r="AP880" s="235"/>
      <c r="AQ880" s="235"/>
    </row>
    <row r="881" spans="1:43" ht="15.75" customHeight="1" x14ac:dyDescent="0.55000000000000004">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c r="AA881" s="235"/>
      <c r="AB881" s="235"/>
      <c r="AC881" s="235"/>
      <c r="AD881" s="235"/>
      <c r="AE881" s="235"/>
      <c r="AF881" s="235"/>
      <c r="AG881" s="235"/>
      <c r="AH881" s="235"/>
      <c r="AI881" s="235"/>
      <c r="AJ881" s="235"/>
      <c r="AK881" s="235"/>
      <c r="AL881" s="235"/>
      <c r="AM881" s="235"/>
      <c r="AN881" s="235"/>
      <c r="AO881" s="235"/>
      <c r="AP881" s="235"/>
      <c r="AQ881" s="235"/>
    </row>
    <row r="882" spans="1:43" ht="15.75" customHeight="1" x14ac:dyDescent="0.55000000000000004">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c r="AA882" s="235"/>
      <c r="AB882" s="235"/>
      <c r="AC882" s="235"/>
      <c r="AD882" s="235"/>
      <c r="AE882" s="235"/>
      <c r="AF882" s="235"/>
      <c r="AG882" s="235"/>
      <c r="AH882" s="235"/>
      <c r="AI882" s="235"/>
      <c r="AJ882" s="235"/>
      <c r="AK882" s="235"/>
      <c r="AL882" s="235"/>
      <c r="AM882" s="235"/>
      <c r="AN882" s="235"/>
      <c r="AO882" s="235"/>
      <c r="AP882" s="235"/>
      <c r="AQ882" s="235"/>
    </row>
    <row r="883" spans="1:43" ht="15.75" customHeight="1" x14ac:dyDescent="0.55000000000000004">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c r="AA883" s="235"/>
      <c r="AB883" s="235"/>
      <c r="AC883" s="235"/>
      <c r="AD883" s="235"/>
      <c r="AE883" s="235"/>
      <c r="AF883" s="235"/>
      <c r="AG883" s="235"/>
      <c r="AH883" s="235"/>
      <c r="AI883" s="235"/>
      <c r="AJ883" s="235"/>
      <c r="AK883" s="235"/>
      <c r="AL883" s="235"/>
      <c r="AM883" s="235"/>
      <c r="AN883" s="235"/>
      <c r="AO883" s="235"/>
      <c r="AP883" s="235"/>
      <c r="AQ883" s="235"/>
    </row>
    <row r="884" spans="1:43" ht="15.75" customHeight="1" x14ac:dyDescent="0.55000000000000004">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c r="AA884" s="235"/>
      <c r="AB884" s="235"/>
      <c r="AC884" s="235"/>
      <c r="AD884" s="235"/>
      <c r="AE884" s="235"/>
      <c r="AF884" s="235"/>
      <c r="AG884" s="235"/>
      <c r="AH884" s="235"/>
      <c r="AI884" s="235"/>
      <c r="AJ884" s="235"/>
      <c r="AK884" s="235"/>
      <c r="AL884" s="235"/>
      <c r="AM884" s="235"/>
      <c r="AN884" s="235"/>
      <c r="AO884" s="235"/>
      <c r="AP884" s="235"/>
      <c r="AQ884" s="235"/>
    </row>
    <row r="885" spans="1:43" ht="15.75" customHeight="1" x14ac:dyDescent="0.55000000000000004">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c r="AA885" s="235"/>
      <c r="AB885" s="235"/>
      <c r="AC885" s="235"/>
      <c r="AD885" s="235"/>
      <c r="AE885" s="235"/>
      <c r="AF885" s="235"/>
      <c r="AG885" s="235"/>
      <c r="AH885" s="235"/>
      <c r="AI885" s="235"/>
      <c r="AJ885" s="235"/>
      <c r="AK885" s="235"/>
      <c r="AL885" s="235"/>
      <c r="AM885" s="235"/>
      <c r="AN885" s="235"/>
      <c r="AO885" s="235"/>
      <c r="AP885" s="235"/>
      <c r="AQ885" s="235"/>
    </row>
    <row r="886" spans="1:43" ht="15.75" customHeight="1" x14ac:dyDescent="0.55000000000000004">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c r="AA886" s="235"/>
      <c r="AB886" s="235"/>
      <c r="AC886" s="235"/>
      <c r="AD886" s="235"/>
      <c r="AE886" s="235"/>
      <c r="AF886" s="235"/>
      <c r="AG886" s="235"/>
      <c r="AH886" s="235"/>
      <c r="AI886" s="235"/>
      <c r="AJ886" s="235"/>
      <c r="AK886" s="235"/>
      <c r="AL886" s="235"/>
      <c r="AM886" s="235"/>
      <c r="AN886" s="235"/>
      <c r="AO886" s="235"/>
      <c r="AP886" s="235"/>
      <c r="AQ886" s="235"/>
    </row>
    <row r="887" spans="1:43" ht="15.75" customHeight="1" x14ac:dyDescent="0.55000000000000004">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c r="AA887" s="235"/>
      <c r="AB887" s="235"/>
      <c r="AC887" s="235"/>
      <c r="AD887" s="235"/>
      <c r="AE887" s="235"/>
      <c r="AF887" s="235"/>
      <c r="AG887" s="235"/>
      <c r="AH887" s="235"/>
      <c r="AI887" s="235"/>
      <c r="AJ887" s="235"/>
      <c r="AK887" s="235"/>
      <c r="AL887" s="235"/>
      <c r="AM887" s="235"/>
      <c r="AN887" s="235"/>
      <c r="AO887" s="235"/>
      <c r="AP887" s="235"/>
      <c r="AQ887" s="235"/>
    </row>
    <row r="888" spans="1:43" ht="15.75" customHeight="1" x14ac:dyDescent="0.55000000000000004">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c r="AA888" s="235"/>
      <c r="AB888" s="235"/>
      <c r="AC888" s="235"/>
      <c r="AD888" s="235"/>
      <c r="AE888" s="235"/>
      <c r="AF888" s="235"/>
      <c r="AG888" s="235"/>
      <c r="AH888" s="235"/>
      <c r="AI888" s="235"/>
      <c r="AJ888" s="235"/>
      <c r="AK888" s="235"/>
      <c r="AL888" s="235"/>
      <c r="AM888" s="235"/>
      <c r="AN888" s="235"/>
      <c r="AO888" s="235"/>
      <c r="AP888" s="235"/>
      <c r="AQ888" s="235"/>
    </row>
    <row r="889" spans="1:43" ht="15.75" customHeight="1" x14ac:dyDescent="0.55000000000000004">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c r="AA889" s="235"/>
      <c r="AB889" s="235"/>
      <c r="AC889" s="235"/>
      <c r="AD889" s="235"/>
      <c r="AE889" s="235"/>
      <c r="AF889" s="235"/>
      <c r="AG889" s="235"/>
      <c r="AH889" s="235"/>
      <c r="AI889" s="235"/>
      <c r="AJ889" s="235"/>
      <c r="AK889" s="235"/>
      <c r="AL889" s="235"/>
      <c r="AM889" s="235"/>
      <c r="AN889" s="235"/>
      <c r="AO889" s="235"/>
      <c r="AP889" s="235"/>
      <c r="AQ889" s="235"/>
    </row>
    <row r="890" spans="1:43" ht="15.75" customHeight="1" x14ac:dyDescent="0.55000000000000004">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c r="AA890" s="235"/>
      <c r="AB890" s="235"/>
      <c r="AC890" s="235"/>
      <c r="AD890" s="235"/>
      <c r="AE890" s="235"/>
      <c r="AF890" s="235"/>
      <c r="AG890" s="235"/>
      <c r="AH890" s="235"/>
      <c r="AI890" s="235"/>
      <c r="AJ890" s="235"/>
      <c r="AK890" s="235"/>
      <c r="AL890" s="235"/>
      <c r="AM890" s="235"/>
      <c r="AN890" s="235"/>
      <c r="AO890" s="235"/>
      <c r="AP890" s="235"/>
      <c r="AQ890" s="235"/>
    </row>
    <row r="891" spans="1:43" ht="15.75" customHeight="1" x14ac:dyDescent="0.55000000000000004">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c r="AA891" s="235"/>
      <c r="AB891" s="235"/>
      <c r="AC891" s="235"/>
      <c r="AD891" s="235"/>
      <c r="AE891" s="235"/>
      <c r="AF891" s="235"/>
      <c r="AG891" s="235"/>
      <c r="AH891" s="235"/>
      <c r="AI891" s="235"/>
      <c r="AJ891" s="235"/>
      <c r="AK891" s="235"/>
      <c r="AL891" s="235"/>
      <c r="AM891" s="235"/>
      <c r="AN891" s="235"/>
      <c r="AO891" s="235"/>
      <c r="AP891" s="235"/>
      <c r="AQ891" s="235"/>
    </row>
    <row r="892" spans="1:43" ht="15.75" customHeight="1" x14ac:dyDescent="0.55000000000000004">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c r="AA892" s="235"/>
      <c r="AB892" s="235"/>
      <c r="AC892" s="235"/>
      <c r="AD892" s="235"/>
      <c r="AE892" s="235"/>
      <c r="AF892" s="235"/>
      <c r="AG892" s="235"/>
      <c r="AH892" s="235"/>
      <c r="AI892" s="235"/>
      <c r="AJ892" s="235"/>
      <c r="AK892" s="235"/>
      <c r="AL892" s="235"/>
      <c r="AM892" s="235"/>
      <c r="AN892" s="235"/>
      <c r="AO892" s="235"/>
      <c r="AP892" s="235"/>
      <c r="AQ892" s="235"/>
    </row>
    <row r="893" spans="1:43" ht="15.75" customHeight="1" x14ac:dyDescent="0.55000000000000004">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c r="AA893" s="235"/>
      <c r="AB893" s="235"/>
      <c r="AC893" s="235"/>
      <c r="AD893" s="235"/>
      <c r="AE893" s="235"/>
      <c r="AF893" s="235"/>
      <c r="AG893" s="235"/>
      <c r="AH893" s="235"/>
      <c r="AI893" s="235"/>
      <c r="AJ893" s="235"/>
      <c r="AK893" s="235"/>
      <c r="AL893" s="235"/>
      <c r="AM893" s="235"/>
      <c r="AN893" s="235"/>
      <c r="AO893" s="235"/>
      <c r="AP893" s="235"/>
      <c r="AQ893" s="235"/>
    </row>
    <row r="894" spans="1:43" ht="15.75" customHeight="1" x14ac:dyDescent="0.55000000000000004">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c r="AA894" s="235"/>
      <c r="AB894" s="235"/>
      <c r="AC894" s="235"/>
      <c r="AD894" s="235"/>
      <c r="AE894" s="235"/>
      <c r="AF894" s="235"/>
      <c r="AG894" s="235"/>
      <c r="AH894" s="235"/>
      <c r="AI894" s="235"/>
      <c r="AJ894" s="235"/>
      <c r="AK894" s="235"/>
      <c r="AL894" s="235"/>
      <c r="AM894" s="235"/>
      <c r="AN894" s="235"/>
      <c r="AO894" s="235"/>
      <c r="AP894" s="235"/>
      <c r="AQ894" s="235"/>
    </row>
    <row r="895" spans="1:43" ht="15.75" customHeight="1" x14ac:dyDescent="0.55000000000000004">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c r="AA895" s="235"/>
      <c r="AB895" s="235"/>
      <c r="AC895" s="235"/>
      <c r="AD895" s="235"/>
      <c r="AE895" s="235"/>
      <c r="AF895" s="235"/>
      <c r="AG895" s="235"/>
      <c r="AH895" s="235"/>
      <c r="AI895" s="235"/>
      <c r="AJ895" s="235"/>
      <c r="AK895" s="235"/>
      <c r="AL895" s="235"/>
      <c r="AM895" s="235"/>
      <c r="AN895" s="235"/>
      <c r="AO895" s="235"/>
      <c r="AP895" s="235"/>
      <c r="AQ895" s="235"/>
    </row>
    <row r="896" spans="1:43" ht="15.75" customHeight="1" x14ac:dyDescent="0.55000000000000004">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c r="AA896" s="235"/>
      <c r="AB896" s="235"/>
      <c r="AC896" s="235"/>
      <c r="AD896" s="235"/>
      <c r="AE896" s="235"/>
      <c r="AF896" s="235"/>
      <c r="AG896" s="235"/>
      <c r="AH896" s="235"/>
      <c r="AI896" s="235"/>
      <c r="AJ896" s="235"/>
      <c r="AK896" s="235"/>
      <c r="AL896" s="235"/>
      <c r="AM896" s="235"/>
      <c r="AN896" s="235"/>
      <c r="AO896" s="235"/>
      <c r="AP896" s="235"/>
      <c r="AQ896" s="235"/>
    </row>
    <row r="897" spans="1:43" ht="15.75" customHeight="1" x14ac:dyDescent="0.55000000000000004">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c r="AA897" s="235"/>
      <c r="AB897" s="235"/>
      <c r="AC897" s="235"/>
      <c r="AD897" s="235"/>
      <c r="AE897" s="235"/>
      <c r="AF897" s="235"/>
      <c r="AG897" s="235"/>
      <c r="AH897" s="235"/>
      <c r="AI897" s="235"/>
      <c r="AJ897" s="235"/>
      <c r="AK897" s="235"/>
      <c r="AL897" s="235"/>
      <c r="AM897" s="235"/>
      <c r="AN897" s="235"/>
      <c r="AO897" s="235"/>
      <c r="AP897" s="235"/>
      <c r="AQ897" s="235"/>
    </row>
    <row r="898" spans="1:43" ht="15.75" customHeight="1" x14ac:dyDescent="0.55000000000000004">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c r="AA898" s="235"/>
      <c r="AB898" s="235"/>
      <c r="AC898" s="235"/>
      <c r="AD898" s="235"/>
      <c r="AE898" s="235"/>
      <c r="AF898" s="235"/>
      <c r="AG898" s="235"/>
      <c r="AH898" s="235"/>
      <c r="AI898" s="235"/>
      <c r="AJ898" s="235"/>
      <c r="AK898" s="235"/>
      <c r="AL898" s="235"/>
      <c r="AM898" s="235"/>
      <c r="AN898" s="235"/>
      <c r="AO898" s="235"/>
      <c r="AP898" s="235"/>
      <c r="AQ898" s="235"/>
    </row>
    <row r="899" spans="1:43" ht="15.75" customHeight="1" x14ac:dyDescent="0.55000000000000004">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c r="AA899" s="235"/>
      <c r="AB899" s="235"/>
      <c r="AC899" s="235"/>
      <c r="AD899" s="235"/>
      <c r="AE899" s="235"/>
      <c r="AF899" s="235"/>
      <c r="AG899" s="235"/>
      <c r="AH899" s="235"/>
      <c r="AI899" s="235"/>
      <c r="AJ899" s="235"/>
      <c r="AK899" s="235"/>
      <c r="AL899" s="235"/>
      <c r="AM899" s="235"/>
      <c r="AN899" s="235"/>
      <c r="AO899" s="235"/>
      <c r="AP899" s="235"/>
      <c r="AQ899" s="235"/>
    </row>
    <row r="900" spans="1:43" ht="15.75" customHeight="1" x14ac:dyDescent="0.55000000000000004">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c r="AA900" s="235"/>
      <c r="AB900" s="235"/>
      <c r="AC900" s="235"/>
      <c r="AD900" s="235"/>
      <c r="AE900" s="235"/>
      <c r="AF900" s="235"/>
      <c r="AG900" s="235"/>
      <c r="AH900" s="235"/>
      <c r="AI900" s="235"/>
      <c r="AJ900" s="235"/>
      <c r="AK900" s="235"/>
      <c r="AL900" s="235"/>
      <c r="AM900" s="235"/>
      <c r="AN900" s="235"/>
      <c r="AO900" s="235"/>
      <c r="AP900" s="235"/>
      <c r="AQ900" s="235"/>
    </row>
    <row r="901" spans="1:43" ht="15.75" customHeight="1" x14ac:dyDescent="0.55000000000000004">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c r="AA901" s="235"/>
      <c r="AB901" s="235"/>
      <c r="AC901" s="235"/>
      <c r="AD901" s="235"/>
      <c r="AE901" s="235"/>
      <c r="AF901" s="235"/>
      <c r="AG901" s="235"/>
      <c r="AH901" s="235"/>
      <c r="AI901" s="235"/>
      <c r="AJ901" s="235"/>
      <c r="AK901" s="235"/>
      <c r="AL901" s="235"/>
      <c r="AM901" s="235"/>
      <c r="AN901" s="235"/>
      <c r="AO901" s="235"/>
      <c r="AP901" s="235"/>
      <c r="AQ901" s="235"/>
    </row>
    <row r="902" spans="1:43" ht="15.75" customHeight="1" x14ac:dyDescent="0.55000000000000004">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c r="AA902" s="235"/>
      <c r="AB902" s="235"/>
      <c r="AC902" s="235"/>
      <c r="AD902" s="235"/>
      <c r="AE902" s="235"/>
      <c r="AF902" s="235"/>
      <c r="AG902" s="235"/>
      <c r="AH902" s="235"/>
      <c r="AI902" s="235"/>
      <c r="AJ902" s="235"/>
      <c r="AK902" s="235"/>
      <c r="AL902" s="235"/>
      <c r="AM902" s="235"/>
      <c r="AN902" s="235"/>
      <c r="AO902" s="235"/>
      <c r="AP902" s="235"/>
      <c r="AQ902" s="235"/>
    </row>
    <row r="903" spans="1:43" ht="15.75" customHeight="1" x14ac:dyDescent="0.55000000000000004">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c r="AA903" s="235"/>
      <c r="AB903" s="235"/>
      <c r="AC903" s="235"/>
      <c r="AD903" s="235"/>
      <c r="AE903" s="235"/>
      <c r="AF903" s="235"/>
      <c r="AG903" s="235"/>
      <c r="AH903" s="235"/>
      <c r="AI903" s="235"/>
      <c r="AJ903" s="235"/>
      <c r="AK903" s="235"/>
      <c r="AL903" s="235"/>
      <c r="AM903" s="235"/>
      <c r="AN903" s="235"/>
      <c r="AO903" s="235"/>
      <c r="AP903" s="235"/>
      <c r="AQ903" s="235"/>
    </row>
    <row r="904" spans="1:43" ht="15.75" customHeight="1" x14ac:dyDescent="0.55000000000000004">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c r="AA904" s="235"/>
      <c r="AB904" s="235"/>
      <c r="AC904" s="235"/>
      <c r="AD904" s="235"/>
      <c r="AE904" s="235"/>
      <c r="AF904" s="235"/>
      <c r="AG904" s="235"/>
      <c r="AH904" s="235"/>
      <c r="AI904" s="235"/>
      <c r="AJ904" s="235"/>
      <c r="AK904" s="235"/>
      <c r="AL904" s="235"/>
      <c r="AM904" s="235"/>
      <c r="AN904" s="235"/>
      <c r="AO904" s="235"/>
      <c r="AP904" s="235"/>
      <c r="AQ904" s="235"/>
    </row>
    <row r="905" spans="1:43" ht="15.75" customHeight="1" x14ac:dyDescent="0.55000000000000004">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c r="AA905" s="235"/>
      <c r="AB905" s="235"/>
      <c r="AC905" s="235"/>
      <c r="AD905" s="235"/>
      <c r="AE905" s="235"/>
      <c r="AF905" s="235"/>
      <c r="AG905" s="235"/>
      <c r="AH905" s="235"/>
      <c r="AI905" s="235"/>
      <c r="AJ905" s="235"/>
      <c r="AK905" s="235"/>
      <c r="AL905" s="235"/>
      <c r="AM905" s="235"/>
      <c r="AN905" s="235"/>
      <c r="AO905" s="235"/>
      <c r="AP905" s="235"/>
      <c r="AQ905" s="235"/>
    </row>
    <row r="906" spans="1:43" ht="15.75" customHeight="1" x14ac:dyDescent="0.55000000000000004">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c r="AA906" s="235"/>
      <c r="AB906" s="235"/>
      <c r="AC906" s="235"/>
      <c r="AD906" s="235"/>
      <c r="AE906" s="235"/>
      <c r="AF906" s="235"/>
      <c r="AG906" s="235"/>
      <c r="AH906" s="235"/>
      <c r="AI906" s="235"/>
      <c r="AJ906" s="235"/>
      <c r="AK906" s="235"/>
      <c r="AL906" s="235"/>
      <c r="AM906" s="235"/>
      <c r="AN906" s="235"/>
      <c r="AO906" s="235"/>
      <c r="AP906" s="235"/>
      <c r="AQ906" s="235"/>
    </row>
    <row r="907" spans="1:43" ht="15.75" customHeight="1" x14ac:dyDescent="0.55000000000000004">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c r="AA907" s="235"/>
      <c r="AB907" s="235"/>
      <c r="AC907" s="235"/>
      <c r="AD907" s="235"/>
      <c r="AE907" s="235"/>
      <c r="AF907" s="235"/>
      <c r="AG907" s="235"/>
      <c r="AH907" s="235"/>
      <c r="AI907" s="235"/>
      <c r="AJ907" s="235"/>
      <c r="AK907" s="235"/>
      <c r="AL907" s="235"/>
      <c r="AM907" s="235"/>
      <c r="AN907" s="235"/>
      <c r="AO907" s="235"/>
      <c r="AP907" s="235"/>
      <c r="AQ907" s="235"/>
    </row>
    <row r="908" spans="1:43" ht="15.75" customHeight="1" x14ac:dyDescent="0.55000000000000004">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c r="AA908" s="235"/>
      <c r="AB908" s="235"/>
      <c r="AC908" s="235"/>
      <c r="AD908" s="235"/>
      <c r="AE908" s="235"/>
      <c r="AF908" s="235"/>
      <c r="AG908" s="235"/>
      <c r="AH908" s="235"/>
      <c r="AI908" s="235"/>
      <c r="AJ908" s="235"/>
      <c r="AK908" s="235"/>
      <c r="AL908" s="235"/>
      <c r="AM908" s="235"/>
      <c r="AN908" s="235"/>
      <c r="AO908" s="235"/>
      <c r="AP908" s="235"/>
      <c r="AQ908" s="235"/>
    </row>
    <row r="909" spans="1:43" ht="15.75" customHeight="1" x14ac:dyDescent="0.55000000000000004">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c r="AA909" s="235"/>
      <c r="AB909" s="235"/>
      <c r="AC909" s="235"/>
      <c r="AD909" s="235"/>
      <c r="AE909" s="235"/>
      <c r="AF909" s="235"/>
      <c r="AG909" s="235"/>
      <c r="AH909" s="235"/>
      <c r="AI909" s="235"/>
      <c r="AJ909" s="235"/>
      <c r="AK909" s="235"/>
      <c r="AL909" s="235"/>
      <c r="AM909" s="235"/>
      <c r="AN909" s="235"/>
      <c r="AO909" s="235"/>
      <c r="AP909" s="235"/>
      <c r="AQ909" s="235"/>
    </row>
    <row r="910" spans="1:43" ht="15.75" customHeight="1" x14ac:dyDescent="0.55000000000000004">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c r="AA910" s="235"/>
      <c r="AB910" s="235"/>
      <c r="AC910" s="235"/>
      <c r="AD910" s="235"/>
      <c r="AE910" s="235"/>
      <c r="AF910" s="235"/>
      <c r="AG910" s="235"/>
      <c r="AH910" s="235"/>
      <c r="AI910" s="235"/>
      <c r="AJ910" s="235"/>
      <c r="AK910" s="235"/>
      <c r="AL910" s="235"/>
      <c r="AM910" s="235"/>
      <c r="AN910" s="235"/>
      <c r="AO910" s="235"/>
      <c r="AP910" s="235"/>
      <c r="AQ910" s="235"/>
    </row>
    <row r="911" spans="1:43" ht="15.75" customHeight="1" x14ac:dyDescent="0.55000000000000004">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c r="AA911" s="235"/>
      <c r="AB911" s="235"/>
      <c r="AC911" s="235"/>
      <c r="AD911" s="235"/>
      <c r="AE911" s="235"/>
      <c r="AF911" s="235"/>
      <c r="AG911" s="235"/>
      <c r="AH911" s="235"/>
      <c r="AI911" s="235"/>
      <c r="AJ911" s="235"/>
      <c r="AK911" s="235"/>
      <c r="AL911" s="235"/>
      <c r="AM911" s="235"/>
      <c r="AN911" s="235"/>
      <c r="AO911" s="235"/>
      <c r="AP911" s="235"/>
      <c r="AQ911" s="235"/>
    </row>
    <row r="912" spans="1:43" ht="15.75" customHeight="1" x14ac:dyDescent="0.55000000000000004">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c r="AA912" s="235"/>
      <c r="AB912" s="235"/>
      <c r="AC912" s="235"/>
      <c r="AD912" s="235"/>
      <c r="AE912" s="235"/>
      <c r="AF912" s="235"/>
      <c r="AG912" s="235"/>
      <c r="AH912" s="235"/>
      <c r="AI912" s="235"/>
      <c r="AJ912" s="235"/>
      <c r="AK912" s="235"/>
      <c r="AL912" s="235"/>
      <c r="AM912" s="235"/>
      <c r="AN912" s="235"/>
      <c r="AO912" s="235"/>
      <c r="AP912" s="235"/>
      <c r="AQ912" s="235"/>
    </row>
    <row r="913" spans="1:43" ht="15.75" customHeight="1" x14ac:dyDescent="0.55000000000000004">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c r="AA913" s="235"/>
      <c r="AB913" s="235"/>
      <c r="AC913" s="235"/>
      <c r="AD913" s="235"/>
      <c r="AE913" s="235"/>
      <c r="AF913" s="235"/>
      <c r="AG913" s="235"/>
      <c r="AH913" s="235"/>
      <c r="AI913" s="235"/>
      <c r="AJ913" s="235"/>
      <c r="AK913" s="235"/>
      <c r="AL913" s="235"/>
      <c r="AM913" s="235"/>
      <c r="AN913" s="235"/>
      <c r="AO913" s="235"/>
      <c r="AP913" s="235"/>
      <c r="AQ913" s="235"/>
    </row>
    <row r="914" spans="1:43" ht="15.75" customHeight="1" x14ac:dyDescent="0.55000000000000004">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c r="AA914" s="235"/>
      <c r="AB914" s="235"/>
      <c r="AC914" s="235"/>
      <c r="AD914" s="235"/>
      <c r="AE914" s="235"/>
      <c r="AF914" s="235"/>
      <c r="AG914" s="235"/>
      <c r="AH914" s="235"/>
      <c r="AI914" s="235"/>
      <c r="AJ914" s="235"/>
      <c r="AK914" s="235"/>
      <c r="AL914" s="235"/>
      <c r="AM914" s="235"/>
      <c r="AN914" s="235"/>
      <c r="AO914" s="235"/>
      <c r="AP914" s="235"/>
      <c r="AQ914" s="235"/>
    </row>
    <row r="915" spans="1:43" ht="15.75" customHeight="1" x14ac:dyDescent="0.55000000000000004">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c r="AA915" s="235"/>
      <c r="AB915" s="235"/>
      <c r="AC915" s="235"/>
      <c r="AD915" s="235"/>
      <c r="AE915" s="235"/>
      <c r="AF915" s="235"/>
      <c r="AG915" s="235"/>
      <c r="AH915" s="235"/>
      <c r="AI915" s="235"/>
      <c r="AJ915" s="235"/>
      <c r="AK915" s="235"/>
      <c r="AL915" s="235"/>
      <c r="AM915" s="235"/>
      <c r="AN915" s="235"/>
      <c r="AO915" s="235"/>
      <c r="AP915" s="235"/>
      <c r="AQ915" s="235"/>
    </row>
    <row r="916" spans="1:43" ht="15.75" customHeight="1" x14ac:dyDescent="0.55000000000000004">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c r="AA916" s="235"/>
      <c r="AB916" s="235"/>
      <c r="AC916" s="235"/>
      <c r="AD916" s="235"/>
      <c r="AE916" s="235"/>
      <c r="AF916" s="235"/>
      <c r="AG916" s="235"/>
      <c r="AH916" s="235"/>
      <c r="AI916" s="235"/>
      <c r="AJ916" s="235"/>
      <c r="AK916" s="235"/>
      <c r="AL916" s="235"/>
      <c r="AM916" s="235"/>
      <c r="AN916" s="235"/>
      <c r="AO916" s="235"/>
      <c r="AP916" s="235"/>
      <c r="AQ916" s="235"/>
    </row>
    <row r="917" spans="1:43" ht="15.75" customHeight="1" x14ac:dyDescent="0.55000000000000004">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c r="AA917" s="235"/>
      <c r="AB917" s="235"/>
      <c r="AC917" s="235"/>
      <c r="AD917" s="235"/>
      <c r="AE917" s="235"/>
      <c r="AF917" s="235"/>
      <c r="AG917" s="235"/>
      <c r="AH917" s="235"/>
      <c r="AI917" s="235"/>
      <c r="AJ917" s="235"/>
      <c r="AK917" s="235"/>
      <c r="AL917" s="235"/>
      <c r="AM917" s="235"/>
      <c r="AN917" s="235"/>
      <c r="AO917" s="235"/>
      <c r="AP917" s="235"/>
      <c r="AQ917" s="235"/>
    </row>
    <row r="918" spans="1:43" ht="15.75" customHeight="1" x14ac:dyDescent="0.55000000000000004">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c r="AA918" s="235"/>
      <c r="AB918" s="235"/>
      <c r="AC918" s="235"/>
      <c r="AD918" s="235"/>
      <c r="AE918" s="235"/>
      <c r="AF918" s="235"/>
      <c r="AG918" s="235"/>
      <c r="AH918" s="235"/>
      <c r="AI918" s="235"/>
      <c r="AJ918" s="235"/>
      <c r="AK918" s="235"/>
      <c r="AL918" s="235"/>
      <c r="AM918" s="235"/>
      <c r="AN918" s="235"/>
      <c r="AO918" s="235"/>
      <c r="AP918" s="235"/>
      <c r="AQ918" s="235"/>
    </row>
    <row r="919" spans="1:43" ht="15.75" customHeight="1" x14ac:dyDescent="0.55000000000000004">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c r="AA919" s="235"/>
      <c r="AB919" s="235"/>
      <c r="AC919" s="235"/>
      <c r="AD919" s="235"/>
      <c r="AE919" s="235"/>
      <c r="AF919" s="235"/>
      <c r="AG919" s="235"/>
      <c r="AH919" s="235"/>
      <c r="AI919" s="235"/>
      <c r="AJ919" s="235"/>
      <c r="AK919" s="235"/>
      <c r="AL919" s="235"/>
      <c r="AM919" s="235"/>
      <c r="AN919" s="235"/>
      <c r="AO919" s="235"/>
      <c r="AP919" s="235"/>
      <c r="AQ919" s="235"/>
    </row>
    <row r="920" spans="1:43" ht="15.75" customHeight="1" x14ac:dyDescent="0.55000000000000004">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c r="AA920" s="235"/>
      <c r="AB920" s="235"/>
      <c r="AC920" s="235"/>
      <c r="AD920" s="235"/>
      <c r="AE920" s="235"/>
      <c r="AF920" s="235"/>
      <c r="AG920" s="235"/>
      <c r="AH920" s="235"/>
      <c r="AI920" s="235"/>
      <c r="AJ920" s="235"/>
      <c r="AK920" s="235"/>
      <c r="AL920" s="235"/>
      <c r="AM920" s="235"/>
      <c r="AN920" s="235"/>
      <c r="AO920" s="235"/>
      <c r="AP920" s="235"/>
      <c r="AQ920" s="235"/>
    </row>
    <row r="921" spans="1:43" ht="15.75" customHeight="1" x14ac:dyDescent="0.55000000000000004">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c r="AA921" s="235"/>
      <c r="AB921" s="235"/>
      <c r="AC921" s="235"/>
      <c r="AD921" s="235"/>
      <c r="AE921" s="235"/>
      <c r="AF921" s="235"/>
      <c r="AG921" s="235"/>
      <c r="AH921" s="235"/>
      <c r="AI921" s="235"/>
      <c r="AJ921" s="235"/>
      <c r="AK921" s="235"/>
      <c r="AL921" s="235"/>
      <c r="AM921" s="235"/>
      <c r="AN921" s="235"/>
      <c r="AO921" s="235"/>
      <c r="AP921" s="235"/>
      <c r="AQ921" s="235"/>
    </row>
    <row r="922" spans="1:43" ht="15.75" customHeight="1" x14ac:dyDescent="0.55000000000000004">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c r="AA922" s="235"/>
      <c r="AB922" s="235"/>
      <c r="AC922" s="235"/>
      <c r="AD922" s="235"/>
      <c r="AE922" s="235"/>
      <c r="AF922" s="235"/>
      <c r="AG922" s="235"/>
      <c r="AH922" s="235"/>
      <c r="AI922" s="235"/>
      <c r="AJ922" s="235"/>
      <c r="AK922" s="235"/>
      <c r="AL922" s="235"/>
      <c r="AM922" s="235"/>
      <c r="AN922" s="235"/>
      <c r="AO922" s="235"/>
      <c r="AP922" s="235"/>
      <c r="AQ922" s="235"/>
    </row>
    <row r="923" spans="1:43" ht="15.75" customHeight="1" x14ac:dyDescent="0.55000000000000004">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c r="AA923" s="235"/>
      <c r="AB923" s="235"/>
      <c r="AC923" s="235"/>
      <c r="AD923" s="235"/>
      <c r="AE923" s="235"/>
      <c r="AF923" s="235"/>
      <c r="AG923" s="235"/>
      <c r="AH923" s="235"/>
      <c r="AI923" s="235"/>
      <c r="AJ923" s="235"/>
      <c r="AK923" s="235"/>
      <c r="AL923" s="235"/>
      <c r="AM923" s="235"/>
      <c r="AN923" s="235"/>
      <c r="AO923" s="235"/>
      <c r="AP923" s="235"/>
      <c r="AQ923" s="235"/>
    </row>
    <row r="924" spans="1:43" ht="15.75" customHeight="1" x14ac:dyDescent="0.55000000000000004">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c r="AA924" s="235"/>
      <c r="AB924" s="235"/>
      <c r="AC924" s="235"/>
      <c r="AD924" s="235"/>
      <c r="AE924" s="235"/>
      <c r="AF924" s="235"/>
      <c r="AG924" s="235"/>
      <c r="AH924" s="235"/>
      <c r="AI924" s="235"/>
      <c r="AJ924" s="235"/>
      <c r="AK924" s="235"/>
      <c r="AL924" s="235"/>
      <c r="AM924" s="235"/>
      <c r="AN924" s="235"/>
      <c r="AO924" s="235"/>
      <c r="AP924" s="235"/>
      <c r="AQ924" s="235"/>
    </row>
    <row r="925" spans="1:43" ht="15.75" customHeight="1" x14ac:dyDescent="0.55000000000000004">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c r="AA925" s="235"/>
      <c r="AB925" s="235"/>
      <c r="AC925" s="235"/>
      <c r="AD925" s="235"/>
      <c r="AE925" s="235"/>
      <c r="AF925" s="235"/>
      <c r="AG925" s="235"/>
      <c r="AH925" s="235"/>
      <c r="AI925" s="235"/>
      <c r="AJ925" s="235"/>
      <c r="AK925" s="235"/>
      <c r="AL925" s="235"/>
      <c r="AM925" s="235"/>
      <c r="AN925" s="235"/>
      <c r="AO925" s="235"/>
      <c r="AP925" s="235"/>
      <c r="AQ925" s="235"/>
    </row>
    <row r="926" spans="1:43" ht="15.75" customHeight="1" x14ac:dyDescent="0.55000000000000004">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c r="AA926" s="235"/>
      <c r="AB926" s="235"/>
      <c r="AC926" s="235"/>
      <c r="AD926" s="235"/>
      <c r="AE926" s="235"/>
      <c r="AF926" s="235"/>
      <c r="AG926" s="235"/>
      <c r="AH926" s="235"/>
      <c r="AI926" s="235"/>
      <c r="AJ926" s="235"/>
      <c r="AK926" s="235"/>
      <c r="AL926" s="235"/>
      <c r="AM926" s="235"/>
      <c r="AN926" s="235"/>
      <c r="AO926" s="235"/>
      <c r="AP926" s="235"/>
      <c r="AQ926" s="235"/>
    </row>
    <row r="927" spans="1:43" ht="15.75" customHeight="1" x14ac:dyDescent="0.55000000000000004">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c r="AA927" s="235"/>
      <c r="AB927" s="235"/>
      <c r="AC927" s="235"/>
      <c r="AD927" s="235"/>
      <c r="AE927" s="235"/>
      <c r="AF927" s="235"/>
      <c r="AG927" s="235"/>
      <c r="AH927" s="235"/>
      <c r="AI927" s="235"/>
      <c r="AJ927" s="235"/>
      <c r="AK927" s="235"/>
      <c r="AL927" s="235"/>
      <c r="AM927" s="235"/>
      <c r="AN927" s="235"/>
      <c r="AO927" s="235"/>
      <c r="AP927" s="235"/>
      <c r="AQ927" s="235"/>
    </row>
    <row r="928" spans="1:43" ht="15.75" customHeight="1" x14ac:dyDescent="0.55000000000000004">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c r="AA928" s="235"/>
      <c r="AB928" s="235"/>
      <c r="AC928" s="235"/>
      <c r="AD928" s="235"/>
      <c r="AE928" s="235"/>
      <c r="AF928" s="235"/>
      <c r="AG928" s="235"/>
      <c r="AH928" s="235"/>
      <c r="AI928" s="235"/>
      <c r="AJ928" s="235"/>
      <c r="AK928" s="235"/>
      <c r="AL928" s="235"/>
      <c r="AM928" s="235"/>
      <c r="AN928" s="235"/>
      <c r="AO928" s="235"/>
      <c r="AP928" s="235"/>
      <c r="AQ928" s="235"/>
    </row>
    <row r="929" spans="1:43" ht="15.75" customHeight="1" x14ac:dyDescent="0.55000000000000004">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c r="AA929" s="235"/>
      <c r="AB929" s="235"/>
      <c r="AC929" s="235"/>
      <c r="AD929" s="235"/>
      <c r="AE929" s="235"/>
      <c r="AF929" s="235"/>
      <c r="AG929" s="235"/>
      <c r="AH929" s="235"/>
      <c r="AI929" s="235"/>
      <c r="AJ929" s="235"/>
      <c r="AK929" s="235"/>
      <c r="AL929" s="235"/>
      <c r="AM929" s="235"/>
      <c r="AN929" s="235"/>
      <c r="AO929" s="235"/>
      <c r="AP929" s="235"/>
      <c r="AQ929" s="235"/>
    </row>
    <row r="930" spans="1:43" ht="15.75" customHeight="1" x14ac:dyDescent="0.55000000000000004">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c r="AA930" s="235"/>
      <c r="AB930" s="235"/>
      <c r="AC930" s="235"/>
      <c r="AD930" s="235"/>
      <c r="AE930" s="235"/>
      <c r="AF930" s="235"/>
      <c r="AG930" s="235"/>
      <c r="AH930" s="235"/>
      <c r="AI930" s="235"/>
      <c r="AJ930" s="235"/>
      <c r="AK930" s="235"/>
      <c r="AL930" s="235"/>
      <c r="AM930" s="235"/>
      <c r="AN930" s="235"/>
      <c r="AO930" s="235"/>
      <c r="AP930" s="235"/>
      <c r="AQ930" s="235"/>
    </row>
    <row r="931" spans="1:43" ht="15.75" customHeight="1" x14ac:dyDescent="0.55000000000000004">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c r="AA931" s="235"/>
      <c r="AB931" s="235"/>
      <c r="AC931" s="235"/>
      <c r="AD931" s="235"/>
      <c r="AE931" s="235"/>
      <c r="AF931" s="235"/>
      <c r="AG931" s="235"/>
      <c r="AH931" s="235"/>
      <c r="AI931" s="235"/>
      <c r="AJ931" s="235"/>
      <c r="AK931" s="235"/>
      <c r="AL931" s="235"/>
      <c r="AM931" s="235"/>
      <c r="AN931" s="235"/>
      <c r="AO931" s="235"/>
      <c r="AP931" s="235"/>
      <c r="AQ931" s="235"/>
    </row>
    <row r="932" spans="1:43" ht="15.75" customHeight="1" x14ac:dyDescent="0.55000000000000004">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c r="AA932" s="235"/>
      <c r="AB932" s="235"/>
      <c r="AC932" s="235"/>
      <c r="AD932" s="235"/>
      <c r="AE932" s="235"/>
      <c r="AF932" s="235"/>
      <c r="AG932" s="235"/>
      <c r="AH932" s="235"/>
      <c r="AI932" s="235"/>
      <c r="AJ932" s="235"/>
      <c r="AK932" s="235"/>
      <c r="AL932" s="235"/>
      <c r="AM932" s="235"/>
      <c r="AN932" s="235"/>
      <c r="AO932" s="235"/>
      <c r="AP932" s="235"/>
      <c r="AQ932" s="235"/>
    </row>
    <row r="933" spans="1:43" ht="15.75" customHeight="1" x14ac:dyDescent="0.55000000000000004">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c r="AA933" s="235"/>
      <c r="AB933" s="235"/>
      <c r="AC933" s="235"/>
      <c r="AD933" s="235"/>
      <c r="AE933" s="235"/>
      <c r="AF933" s="235"/>
      <c r="AG933" s="235"/>
      <c r="AH933" s="235"/>
      <c r="AI933" s="235"/>
      <c r="AJ933" s="235"/>
      <c r="AK933" s="235"/>
      <c r="AL933" s="235"/>
      <c r="AM933" s="235"/>
      <c r="AN933" s="235"/>
      <c r="AO933" s="235"/>
      <c r="AP933" s="235"/>
      <c r="AQ933" s="235"/>
    </row>
    <row r="934" spans="1:43" ht="15.75" customHeight="1" x14ac:dyDescent="0.55000000000000004">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c r="AA934" s="235"/>
      <c r="AB934" s="235"/>
      <c r="AC934" s="235"/>
      <c r="AD934" s="235"/>
      <c r="AE934" s="235"/>
      <c r="AF934" s="235"/>
      <c r="AG934" s="235"/>
      <c r="AH934" s="235"/>
      <c r="AI934" s="235"/>
      <c r="AJ934" s="235"/>
      <c r="AK934" s="235"/>
      <c r="AL934" s="235"/>
      <c r="AM934" s="235"/>
      <c r="AN934" s="235"/>
      <c r="AO934" s="235"/>
      <c r="AP934" s="235"/>
      <c r="AQ934" s="235"/>
    </row>
    <row r="935" spans="1:43" ht="15.75" customHeight="1" x14ac:dyDescent="0.55000000000000004">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c r="AA935" s="235"/>
      <c r="AB935" s="235"/>
      <c r="AC935" s="235"/>
      <c r="AD935" s="235"/>
      <c r="AE935" s="235"/>
      <c r="AF935" s="235"/>
      <c r="AG935" s="235"/>
      <c r="AH935" s="235"/>
      <c r="AI935" s="235"/>
      <c r="AJ935" s="235"/>
      <c r="AK935" s="235"/>
      <c r="AL935" s="235"/>
      <c r="AM935" s="235"/>
      <c r="AN935" s="235"/>
      <c r="AO935" s="235"/>
      <c r="AP935" s="235"/>
      <c r="AQ935" s="235"/>
    </row>
    <row r="936" spans="1:43" ht="15.75" customHeight="1" x14ac:dyDescent="0.55000000000000004">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c r="AA936" s="235"/>
      <c r="AB936" s="235"/>
      <c r="AC936" s="235"/>
      <c r="AD936" s="235"/>
      <c r="AE936" s="235"/>
      <c r="AF936" s="235"/>
      <c r="AG936" s="235"/>
      <c r="AH936" s="235"/>
      <c r="AI936" s="235"/>
      <c r="AJ936" s="235"/>
      <c r="AK936" s="235"/>
      <c r="AL936" s="235"/>
      <c r="AM936" s="235"/>
      <c r="AN936" s="235"/>
      <c r="AO936" s="235"/>
      <c r="AP936" s="235"/>
      <c r="AQ936" s="235"/>
    </row>
    <row r="937" spans="1:43" ht="15.75" customHeight="1" x14ac:dyDescent="0.55000000000000004">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c r="AA937" s="235"/>
      <c r="AB937" s="235"/>
      <c r="AC937" s="235"/>
      <c r="AD937" s="235"/>
      <c r="AE937" s="235"/>
      <c r="AF937" s="235"/>
      <c r="AG937" s="235"/>
      <c r="AH937" s="235"/>
      <c r="AI937" s="235"/>
      <c r="AJ937" s="235"/>
      <c r="AK937" s="235"/>
      <c r="AL937" s="235"/>
      <c r="AM937" s="235"/>
      <c r="AN937" s="235"/>
      <c r="AO937" s="235"/>
      <c r="AP937" s="235"/>
      <c r="AQ937" s="235"/>
    </row>
    <row r="938" spans="1:43" ht="15.75" customHeight="1" x14ac:dyDescent="0.55000000000000004">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c r="AA938" s="235"/>
      <c r="AB938" s="235"/>
      <c r="AC938" s="235"/>
      <c r="AD938" s="235"/>
      <c r="AE938" s="235"/>
      <c r="AF938" s="235"/>
      <c r="AG938" s="235"/>
      <c r="AH938" s="235"/>
      <c r="AI938" s="235"/>
      <c r="AJ938" s="235"/>
      <c r="AK938" s="235"/>
      <c r="AL938" s="235"/>
      <c r="AM938" s="235"/>
      <c r="AN938" s="235"/>
      <c r="AO938" s="235"/>
      <c r="AP938" s="235"/>
      <c r="AQ938" s="235"/>
    </row>
    <row r="939" spans="1:43" ht="15.75" customHeight="1" x14ac:dyDescent="0.55000000000000004">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c r="AA939" s="235"/>
      <c r="AB939" s="235"/>
      <c r="AC939" s="235"/>
      <c r="AD939" s="235"/>
      <c r="AE939" s="235"/>
      <c r="AF939" s="235"/>
      <c r="AG939" s="235"/>
      <c r="AH939" s="235"/>
      <c r="AI939" s="235"/>
      <c r="AJ939" s="235"/>
      <c r="AK939" s="235"/>
      <c r="AL939" s="235"/>
      <c r="AM939" s="235"/>
      <c r="AN939" s="235"/>
      <c r="AO939" s="235"/>
      <c r="AP939" s="235"/>
      <c r="AQ939" s="235"/>
    </row>
    <row r="940" spans="1:43" ht="15.75" customHeight="1" x14ac:dyDescent="0.55000000000000004">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c r="AA940" s="235"/>
      <c r="AB940" s="235"/>
      <c r="AC940" s="235"/>
      <c r="AD940" s="235"/>
      <c r="AE940" s="235"/>
      <c r="AF940" s="235"/>
      <c r="AG940" s="235"/>
      <c r="AH940" s="235"/>
      <c r="AI940" s="235"/>
      <c r="AJ940" s="235"/>
      <c r="AK940" s="235"/>
      <c r="AL940" s="235"/>
      <c r="AM940" s="235"/>
      <c r="AN940" s="235"/>
      <c r="AO940" s="235"/>
      <c r="AP940" s="235"/>
      <c r="AQ940" s="235"/>
    </row>
    <row r="941" spans="1:43" ht="15.75" customHeight="1" x14ac:dyDescent="0.55000000000000004">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c r="AA941" s="235"/>
      <c r="AB941" s="235"/>
      <c r="AC941" s="235"/>
      <c r="AD941" s="235"/>
      <c r="AE941" s="235"/>
      <c r="AF941" s="235"/>
      <c r="AG941" s="235"/>
      <c r="AH941" s="235"/>
      <c r="AI941" s="235"/>
      <c r="AJ941" s="235"/>
      <c r="AK941" s="235"/>
      <c r="AL941" s="235"/>
      <c r="AM941" s="235"/>
      <c r="AN941" s="235"/>
      <c r="AO941" s="235"/>
      <c r="AP941" s="235"/>
      <c r="AQ941" s="235"/>
    </row>
    <row r="942" spans="1:43" ht="15.75" customHeight="1" x14ac:dyDescent="0.55000000000000004">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c r="AA942" s="235"/>
      <c r="AB942" s="235"/>
      <c r="AC942" s="235"/>
      <c r="AD942" s="235"/>
      <c r="AE942" s="235"/>
      <c r="AF942" s="235"/>
      <c r="AG942" s="235"/>
      <c r="AH942" s="235"/>
      <c r="AI942" s="235"/>
      <c r="AJ942" s="235"/>
      <c r="AK942" s="235"/>
      <c r="AL942" s="235"/>
      <c r="AM942" s="235"/>
      <c r="AN942" s="235"/>
      <c r="AO942" s="235"/>
      <c r="AP942" s="235"/>
      <c r="AQ942" s="235"/>
    </row>
    <row r="943" spans="1:43" ht="15.75" customHeight="1" x14ac:dyDescent="0.55000000000000004">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c r="AA943" s="235"/>
      <c r="AB943" s="235"/>
      <c r="AC943" s="235"/>
      <c r="AD943" s="235"/>
      <c r="AE943" s="235"/>
      <c r="AF943" s="235"/>
      <c r="AG943" s="235"/>
      <c r="AH943" s="235"/>
      <c r="AI943" s="235"/>
      <c r="AJ943" s="235"/>
      <c r="AK943" s="235"/>
      <c r="AL943" s="235"/>
      <c r="AM943" s="235"/>
      <c r="AN943" s="235"/>
      <c r="AO943" s="235"/>
      <c r="AP943" s="235"/>
      <c r="AQ943" s="235"/>
    </row>
    <row r="944" spans="1:43" ht="15.75" customHeight="1" x14ac:dyDescent="0.55000000000000004">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c r="AA944" s="235"/>
      <c r="AB944" s="235"/>
      <c r="AC944" s="235"/>
      <c r="AD944" s="235"/>
      <c r="AE944" s="235"/>
      <c r="AF944" s="235"/>
      <c r="AG944" s="235"/>
      <c r="AH944" s="235"/>
      <c r="AI944" s="235"/>
      <c r="AJ944" s="235"/>
      <c r="AK944" s="235"/>
      <c r="AL944" s="235"/>
      <c r="AM944" s="235"/>
      <c r="AN944" s="235"/>
      <c r="AO944" s="235"/>
      <c r="AP944" s="235"/>
      <c r="AQ944" s="235"/>
    </row>
    <row r="945" spans="1:43" ht="15.75" customHeight="1" x14ac:dyDescent="0.55000000000000004">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c r="AA945" s="235"/>
      <c r="AB945" s="235"/>
      <c r="AC945" s="235"/>
      <c r="AD945" s="235"/>
      <c r="AE945" s="235"/>
      <c r="AF945" s="235"/>
      <c r="AG945" s="235"/>
      <c r="AH945" s="235"/>
      <c r="AI945" s="235"/>
      <c r="AJ945" s="235"/>
      <c r="AK945" s="235"/>
      <c r="AL945" s="235"/>
      <c r="AM945" s="235"/>
      <c r="AN945" s="235"/>
      <c r="AO945" s="235"/>
      <c r="AP945" s="235"/>
      <c r="AQ945" s="235"/>
    </row>
    <row r="946" spans="1:43" ht="15.75" customHeight="1" x14ac:dyDescent="0.55000000000000004">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c r="AA946" s="235"/>
      <c r="AB946" s="235"/>
      <c r="AC946" s="235"/>
      <c r="AD946" s="235"/>
      <c r="AE946" s="235"/>
      <c r="AF946" s="235"/>
      <c r="AG946" s="235"/>
      <c r="AH946" s="235"/>
      <c r="AI946" s="235"/>
      <c r="AJ946" s="235"/>
      <c r="AK946" s="235"/>
      <c r="AL946" s="235"/>
      <c r="AM946" s="235"/>
      <c r="AN946" s="235"/>
      <c r="AO946" s="235"/>
      <c r="AP946" s="235"/>
      <c r="AQ946" s="235"/>
    </row>
    <row r="947" spans="1:43" ht="15.75" customHeight="1" x14ac:dyDescent="0.55000000000000004">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c r="AA947" s="235"/>
      <c r="AB947" s="235"/>
      <c r="AC947" s="235"/>
      <c r="AD947" s="235"/>
      <c r="AE947" s="235"/>
      <c r="AF947" s="235"/>
      <c r="AG947" s="235"/>
      <c r="AH947" s="235"/>
      <c r="AI947" s="235"/>
      <c r="AJ947" s="235"/>
      <c r="AK947" s="235"/>
      <c r="AL947" s="235"/>
      <c r="AM947" s="235"/>
      <c r="AN947" s="235"/>
      <c r="AO947" s="235"/>
      <c r="AP947" s="235"/>
      <c r="AQ947" s="235"/>
    </row>
    <row r="948" spans="1:43" ht="15.75" customHeight="1" x14ac:dyDescent="0.55000000000000004">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c r="AA948" s="235"/>
      <c r="AB948" s="235"/>
      <c r="AC948" s="235"/>
      <c r="AD948" s="235"/>
      <c r="AE948" s="235"/>
      <c r="AF948" s="235"/>
      <c r="AG948" s="235"/>
      <c r="AH948" s="235"/>
      <c r="AI948" s="235"/>
      <c r="AJ948" s="235"/>
      <c r="AK948" s="235"/>
      <c r="AL948" s="235"/>
      <c r="AM948" s="235"/>
      <c r="AN948" s="235"/>
      <c r="AO948" s="235"/>
      <c r="AP948" s="235"/>
      <c r="AQ948" s="235"/>
    </row>
    <row r="949" spans="1:43" ht="15.75" customHeight="1" x14ac:dyDescent="0.55000000000000004">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c r="AA949" s="235"/>
      <c r="AB949" s="235"/>
      <c r="AC949" s="235"/>
      <c r="AD949" s="235"/>
      <c r="AE949" s="235"/>
      <c r="AF949" s="235"/>
      <c r="AG949" s="235"/>
      <c r="AH949" s="235"/>
      <c r="AI949" s="235"/>
      <c r="AJ949" s="235"/>
      <c r="AK949" s="235"/>
      <c r="AL949" s="235"/>
      <c r="AM949" s="235"/>
      <c r="AN949" s="235"/>
      <c r="AO949" s="235"/>
      <c r="AP949" s="235"/>
      <c r="AQ949" s="235"/>
    </row>
    <row r="950" spans="1:43" ht="15.75" customHeight="1" x14ac:dyDescent="0.55000000000000004">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c r="AA950" s="235"/>
      <c r="AB950" s="235"/>
      <c r="AC950" s="235"/>
      <c r="AD950" s="235"/>
      <c r="AE950" s="235"/>
      <c r="AF950" s="235"/>
      <c r="AG950" s="235"/>
      <c r="AH950" s="235"/>
      <c r="AI950" s="235"/>
      <c r="AJ950" s="235"/>
      <c r="AK950" s="235"/>
      <c r="AL950" s="235"/>
      <c r="AM950" s="235"/>
      <c r="AN950" s="235"/>
      <c r="AO950" s="235"/>
      <c r="AP950" s="235"/>
      <c r="AQ950" s="235"/>
    </row>
    <row r="951" spans="1:43" ht="15.75" customHeight="1" x14ac:dyDescent="0.55000000000000004">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c r="AA951" s="235"/>
      <c r="AB951" s="235"/>
      <c r="AC951" s="235"/>
      <c r="AD951" s="235"/>
      <c r="AE951" s="235"/>
      <c r="AF951" s="235"/>
      <c r="AG951" s="235"/>
      <c r="AH951" s="235"/>
      <c r="AI951" s="235"/>
      <c r="AJ951" s="235"/>
      <c r="AK951" s="235"/>
      <c r="AL951" s="235"/>
      <c r="AM951" s="235"/>
      <c r="AN951" s="235"/>
      <c r="AO951" s="235"/>
      <c r="AP951" s="235"/>
      <c r="AQ951" s="235"/>
    </row>
    <row r="952" spans="1:43" ht="15.75" customHeight="1" x14ac:dyDescent="0.55000000000000004">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c r="AA952" s="235"/>
      <c r="AB952" s="235"/>
      <c r="AC952" s="235"/>
      <c r="AD952" s="235"/>
      <c r="AE952" s="235"/>
      <c r="AF952" s="235"/>
      <c r="AG952" s="235"/>
      <c r="AH952" s="235"/>
      <c r="AI952" s="235"/>
      <c r="AJ952" s="235"/>
      <c r="AK952" s="235"/>
      <c r="AL952" s="235"/>
      <c r="AM952" s="235"/>
      <c r="AN952" s="235"/>
      <c r="AO952" s="235"/>
      <c r="AP952" s="235"/>
      <c r="AQ952" s="235"/>
    </row>
    <row r="953" spans="1:43" ht="15.75" customHeight="1" x14ac:dyDescent="0.55000000000000004">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c r="AA953" s="235"/>
      <c r="AB953" s="235"/>
      <c r="AC953" s="235"/>
      <c r="AD953" s="235"/>
      <c r="AE953" s="235"/>
      <c r="AF953" s="235"/>
      <c r="AG953" s="235"/>
      <c r="AH953" s="235"/>
      <c r="AI953" s="235"/>
      <c r="AJ953" s="235"/>
      <c r="AK953" s="235"/>
      <c r="AL953" s="235"/>
      <c r="AM953" s="235"/>
      <c r="AN953" s="235"/>
      <c r="AO953" s="235"/>
      <c r="AP953" s="235"/>
      <c r="AQ953" s="235"/>
    </row>
    <row r="954" spans="1:43" ht="15.75" customHeight="1" x14ac:dyDescent="0.55000000000000004">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c r="AA954" s="235"/>
      <c r="AB954" s="235"/>
      <c r="AC954" s="235"/>
      <c r="AD954" s="235"/>
      <c r="AE954" s="235"/>
      <c r="AF954" s="235"/>
      <c r="AG954" s="235"/>
      <c r="AH954" s="235"/>
      <c r="AI954" s="235"/>
      <c r="AJ954" s="235"/>
      <c r="AK954" s="235"/>
      <c r="AL954" s="235"/>
      <c r="AM954" s="235"/>
      <c r="AN954" s="235"/>
      <c r="AO954" s="235"/>
      <c r="AP954" s="235"/>
      <c r="AQ954" s="235"/>
    </row>
    <row r="955" spans="1:43" ht="15.75" customHeight="1" x14ac:dyDescent="0.55000000000000004">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c r="AA955" s="235"/>
      <c r="AB955" s="235"/>
      <c r="AC955" s="235"/>
      <c r="AD955" s="235"/>
      <c r="AE955" s="235"/>
      <c r="AF955" s="235"/>
      <c r="AG955" s="235"/>
      <c r="AH955" s="235"/>
      <c r="AI955" s="235"/>
      <c r="AJ955" s="235"/>
      <c r="AK955" s="235"/>
      <c r="AL955" s="235"/>
      <c r="AM955" s="235"/>
      <c r="AN955" s="235"/>
      <c r="AO955" s="235"/>
      <c r="AP955" s="235"/>
      <c r="AQ955" s="235"/>
    </row>
    <row r="956" spans="1:43" ht="15.75" customHeight="1" x14ac:dyDescent="0.55000000000000004">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c r="AA956" s="235"/>
      <c r="AB956" s="235"/>
      <c r="AC956" s="235"/>
      <c r="AD956" s="235"/>
      <c r="AE956" s="235"/>
      <c r="AF956" s="235"/>
      <c r="AG956" s="235"/>
      <c r="AH956" s="235"/>
      <c r="AI956" s="235"/>
      <c r="AJ956" s="235"/>
      <c r="AK956" s="235"/>
      <c r="AL956" s="235"/>
      <c r="AM956" s="235"/>
      <c r="AN956" s="235"/>
      <c r="AO956" s="235"/>
      <c r="AP956" s="235"/>
      <c r="AQ956" s="235"/>
    </row>
    <row r="957" spans="1:43" ht="15.75" customHeight="1" x14ac:dyDescent="0.55000000000000004">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c r="AA957" s="235"/>
      <c r="AB957" s="235"/>
      <c r="AC957" s="235"/>
      <c r="AD957" s="235"/>
      <c r="AE957" s="235"/>
      <c r="AF957" s="235"/>
      <c r="AG957" s="235"/>
      <c r="AH957" s="235"/>
      <c r="AI957" s="235"/>
      <c r="AJ957" s="235"/>
      <c r="AK957" s="235"/>
      <c r="AL957" s="235"/>
      <c r="AM957" s="235"/>
      <c r="AN957" s="235"/>
      <c r="AO957" s="235"/>
      <c r="AP957" s="235"/>
      <c r="AQ957" s="235"/>
    </row>
    <row r="958" spans="1:43" ht="15.75" customHeight="1" x14ac:dyDescent="0.55000000000000004">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c r="AA958" s="235"/>
      <c r="AB958" s="235"/>
      <c r="AC958" s="235"/>
      <c r="AD958" s="235"/>
      <c r="AE958" s="235"/>
      <c r="AF958" s="235"/>
      <c r="AG958" s="235"/>
      <c r="AH958" s="235"/>
      <c r="AI958" s="235"/>
      <c r="AJ958" s="235"/>
      <c r="AK958" s="235"/>
      <c r="AL958" s="235"/>
      <c r="AM958" s="235"/>
      <c r="AN958" s="235"/>
      <c r="AO958" s="235"/>
      <c r="AP958" s="235"/>
      <c r="AQ958" s="235"/>
    </row>
    <row r="959" spans="1:43" ht="15.75" customHeight="1" x14ac:dyDescent="0.55000000000000004">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c r="AA959" s="235"/>
      <c r="AB959" s="235"/>
      <c r="AC959" s="235"/>
      <c r="AD959" s="235"/>
      <c r="AE959" s="235"/>
      <c r="AF959" s="235"/>
      <c r="AG959" s="235"/>
      <c r="AH959" s="235"/>
      <c r="AI959" s="235"/>
      <c r="AJ959" s="235"/>
      <c r="AK959" s="235"/>
      <c r="AL959" s="235"/>
      <c r="AM959" s="235"/>
      <c r="AN959" s="235"/>
      <c r="AO959" s="235"/>
      <c r="AP959" s="235"/>
      <c r="AQ959" s="235"/>
    </row>
    <row r="960" spans="1:43" ht="15.75" customHeight="1" x14ac:dyDescent="0.55000000000000004">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c r="AA960" s="235"/>
      <c r="AB960" s="235"/>
      <c r="AC960" s="235"/>
      <c r="AD960" s="235"/>
      <c r="AE960" s="235"/>
      <c r="AF960" s="235"/>
      <c r="AG960" s="235"/>
      <c r="AH960" s="235"/>
      <c r="AI960" s="235"/>
      <c r="AJ960" s="235"/>
      <c r="AK960" s="235"/>
      <c r="AL960" s="235"/>
      <c r="AM960" s="235"/>
      <c r="AN960" s="235"/>
      <c r="AO960" s="235"/>
      <c r="AP960" s="235"/>
      <c r="AQ960" s="235"/>
    </row>
    <row r="961" spans="1:43" ht="15.75" customHeight="1" x14ac:dyDescent="0.55000000000000004">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c r="AA961" s="235"/>
      <c r="AB961" s="235"/>
      <c r="AC961" s="235"/>
      <c r="AD961" s="235"/>
      <c r="AE961" s="235"/>
      <c r="AF961" s="235"/>
      <c r="AG961" s="235"/>
      <c r="AH961" s="235"/>
      <c r="AI961" s="235"/>
      <c r="AJ961" s="235"/>
      <c r="AK961" s="235"/>
      <c r="AL961" s="235"/>
      <c r="AM961" s="235"/>
      <c r="AN961" s="235"/>
      <c r="AO961" s="235"/>
      <c r="AP961" s="235"/>
      <c r="AQ961" s="235"/>
    </row>
    <row r="962" spans="1:43" ht="15.75" customHeight="1" x14ac:dyDescent="0.55000000000000004">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c r="AA962" s="235"/>
      <c r="AB962" s="235"/>
      <c r="AC962" s="235"/>
      <c r="AD962" s="235"/>
      <c r="AE962" s="235"/>
      <c r="AF962" s="235"/>
      <c r="AG962" s="235"/>
      <c r="AH962" s="235"/>
      <c r="AI962" s="235"/>
      <c r="AJ962" s="235"/>
      <c r="AK962" s="235"/>
      <c r="AL962" s="235"/>
      <c r="AM962" s="235"/>
      <c r="AN962" s="235"/>
      <c r="AO962" s="235"/>
      <c r="AP962" s="235"/>
      <c r="AQ962" s="235"/>
    </row>
    <row r="963" spans="1:43" ht="15.75" customHeight="1" x14ac:dyDescent="0.55000000000000004">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c r="AA963" s="235"/>
      <c r="AB963" s="235"/>
      <c r="AC963" s="235"/>
      <c r="AD963" s="235"/>
      <c r="AE963" s="235"/>
      <c r="AF963" s="235"/>
      <c r="AG963" s="235"/>
      <c r="AH963" s="235"/>
      <c r="AI963" s="235"/>
      <c r="AJ963" s="235"/>
      <c r="AK963" s="235"/>
      <c r="AL963" s="235"/>
      <c r="AM963" s="235"/>
      <c r="AN963" s="235"/>
      <c r="AO963" s="235"/>
      <c r="AP963" s="235"/>
      <c r="AQ963" s="235"/>
    </row>
    <row r="964" spans="1:43" ht="15.75" customHeight="1" x14ac:dyDescent="0.55000000000000004">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c r="AA964" s="235"/>
      <c r="AB964" s="235"/>
      <c r="AC964" s="235"/>
      <c r="AD964" s="235"/>
      <c r="AE964" s="235"/>
      <c r="AF964" s="235"/>
      <c r="AG964" s="235"/>
      <c r="AH964" s="235"/>
      <c r="AI964" s="235"/>
      <c r="AJ964" s="235"/>
      <c r="AK964" s="235"/>
      <c r="AL964" s="235"/>
      <c r="AM964" s="235"/>
      <c r="AN964" s="235"/>
      <c r="AO964" s="235"/>
      <c r="AP964" s="235"/>
      <c r="AQ964" s="235"/>
    </row>
    <row r="965" spans="1:43" ht="15.75" customHeight="1" x14ac:dyDescent="0.55000000000000004">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c r="AA965" s="235"/>
      <c r="AB965" s="235"/>
      <c r="AC965" s="235"/>
      <c r="AD965" s="235"/>
      <c r="AE965" s="235"/>
      <c r="AF965" s="235"/>
      <c r="AG965" s="235"/>
      <c r="AH965" s="235"/>
      <c r="AI965" s="235"/>
      <c r="AJ965" s="235"/>
      <c r="AK965" s="235"/>
      <c r="AL965" s="235"/>
      <c r="AM965" s="235"/>
      <c r="AN965" s="235"/>
      <c r="AO965" s="235"/>
      <c r="AP965" s="235"/>
      <c r="AQ965" s="235"/>
    </row>
    <row r="966" spans="1:43" ht="15.75" customHeight="1" x14ac:dyDescent="0.55000000000000004">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c r="AA966" s="235"/>
      <c r="AB966" s="235"/>
      <c r="AC966" s="235"/>
      <c r="AD966" s="235"/>
      <c r="AE966" s="235"/>
      <c r="AF966" s="235"/>
      <c r="AG966" s="235"/>
      <c r="AH966" s="235"/>
      <c r="AI966" s="235"/>
      <c r="AJ966" s="235"/>
      <c r="AK966" s="235"/>
      <c r="AL966" s="235"/>
      <c r="AM966" s="235"/>
      <c r="AN966" s="235"/>
      <c r="AO966" s="235"/>
      <c r="AP966" s="235"/>
      <c r="AQ966" s="235"/>
    </row>
    <row r="967" spans="1:43" ht="15.75" customHeight="1" x14ac:dyDescent="0.55000000000000004">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c r="AA967" s="235"/>
      <c r="AB967" s="235"/>
      <c r="AC967" s="235"/>
      <c r="AD967" s="235"/>
      <c r="AE967" s="235"/>
      <c r="AF967" s="235"/>
      <c r="AG967" s="235"/>
      <c r="AH967" s="235"/>
      <c r="AI967" s="235"/>
      <c r="AJ967" s="235"/>
      <c r="AK967" s="235"/>
      <c r="AL967" s="235"/>
      <c r="AM967" s="235"/>
      <c r="AN967" s="235"/>
      <c r="AO967" s="235"/>
      <c r="AP967" s="235"/>
      <c r="AQ967" s="235"/>
    </row>
    <row r="968" spans="1:43" ht="15.75" customHeight="1" x14ac:dyDescent="0.55000000000000004">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c r="AA968" s="235"/>
      <c r="AB968" s="235"/>
      <c r="AC968" s="235"/>
      <c r="AD968" s="235"/>
      <c r="AE968" s="235"/>
      <c r="AF968" s="235"/>
      <c r="AG968" s="235"/>
      <c r="AH968" s="235"/>
      <c r="AI968" s="235"/>
      <c r="AJ968" s="235"/>
      <c r="AK968" s="235"/>
      <c r="AL968" s="235"/>
      <c r="AM968" s="235"/>
      <c r="AN968" s="235"/>
      <c r="AO968" s="235"/>
      <c r="AP968" s="235"/>
      <c r="AQ968" s="235"/>
    </row>
    <row r="969" spans="1:43" ht="15.75" customHeight="1" x14ac:dyDescent="0.55000000000000004">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c r="AA969" s="235"/>
      <c r="AB969" s="235"/>
      <c r="AC969" s="235"/>
      <c r="AD969" s="235"/>
      <c r="AE969" s="235"/>
      <c r="AF969" s="235"/>
      <c r="AG969" s="235"/>
      <c r="AH969" s="235"/>
      <c r="AI969" s="235"/>
      <c r="AJ969" s="235"/>
      <c r="AK969" s="235"/>
      <c r="AL969" s="235"/>
      <c r="AM969" s="235"/>
      <c r="AN969" s="235"/>
      <c r="AO969" s="235"/>
      <c r="AP969" s="235"/>
      <c r="AQ969" s="235"/>
    </row>
    <row r="970" spans="1:43" ht="15.75" customHeight="1" x14ac:dyDescent="0.55000000000000004">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c r="AA970" s="235"/>
      <c r="AB970" s="235"/>
      <c r="AC970" s="235"/>
      <c r="AD970" s="235"/>
      <c r="AE970" s="235"/>
      <c r="AF970" s="235"/>
      <c r="AG970" s="235"/>
      <c r="AH970" s="235"/>
      <c r="AI970" s="235"/>
      <c r="AJ970" s="235"/>
      <c r="AK970" s="235"/>
      <c r="AL970" s="235"/>
      <c r="AM970" s="235"/>
      <c r="AN970" s="235"/>
      <c r="AO970" s="235"/>
      <c r="AP970" s="235"/>
      <c r="AQ970" s="235"/>
    </row>
    <row r="971" spans="1:43" ht="15.75" customHeight="1" x14ac:dyDescent="0.55000000000000004">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c r="AA971" s="235"/>
      <c r="AB971" s="235"/>
      <c r="AC971" s="235"/>
      <c r="AD971" s="235"/>
      <c r="AE971" s="235"/>
      <c r="AF971" s="235"/>
      <c r="AG971" s="235"/>
      <c r="AH971" s="235"/>
      <c r="AI971" s="235"/>
      <c r="AJ971" s="235"/>
      <c r="AK971" s="235"/>
      <c r="AL971" s="235"/>
      <c r="AM971" s="235"/>
      <c r="AN971" s="235"/>
      <c r="AO971" s="235"/>
      <c r="AP971" s="235"/>
      <c r="AQ971" s="235"/>
    </row>
    <row r="972" spans="1:43" ht="15.75" customHeight="1" x14ac:dyDescent="0.55000000000000004">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c r="AA972" s="235"/>
      <c r="AB972" s="235"/>
      <c r="AC972" s="235"/>
      <c r="AD972" s="235"/>
      <c r="AE972" s="235"/>
      <c r="AF972" s="235"/>
      <c r="AG972" s="235"/>
      <c r="AH972" s="235"/>
      <c r="AI972" s="235"/>
      <c r="AJ972" s="235"/>
      <c r="AK972" s="235"/>
      <c r="AL972" s="235"/>
      <c r="AM972" s="235"/>
      <c r="AN972" s="235"/>
      <c r="AO972" s="235"/>
      <c r="AP972" s="235"/>
      <c r="AQ972" s="235"/>
    </row>
    <row r="973" spans="1:43" ht="15.75" customHeight="1" x14ac:dyDescent="0.55000000000000004">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c r="AA973" s="235"/>
      <c r="AB973" s="235"/>
      <c r="AC973" s="235"/>
      <c r="AD973" s="235"/>
      <c r="AE973" s="235"/>
      <c r="AF973" s="235"/>
      <c r="AG973" s="235"/>
      <c r="AH973" s="235"/>
      <c r="AI973" s="235"/>
      <c r="AJ973" s="235"/>
      <c r="AK973" s="235"/>
      <c r="AL973" s="235"/>
      <c r="AM973" s="235"/>
      <c r="AN973" s="235"/>
      <c r="AO973" s="235"/>
      <c r="AP973" s="235"/>
      <c r="AQ973" s="235"/>
    </row>
    <row r="974" spans="1:43" ht="15.75" customHeight="1" x14ac:dyDescent="0.55000000000000004">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c r="AA974" s="235"/>
      <c r="AB974" s="235"/>
      <c r="AC974" s="235"/>
      <c r="AD974" s="235"/>
      <c r="AE974" s="235"/>
      <c r="AF974" s="235"/>
      <c r="AG974" s="235"/>
      <c r="AH974" s="235"/>
      <c r="AI974" s="235"/>
      <c r="AJ974" s="235"/>
      <c r="AK974" s="235"/>
      <c r="AL974" s="235"/>
      <c r="AM974" s="235"/>
      <c r="AN974" s="235"/>
      <c r="AO974" s="235"/>
      <c r="AP974" s="235"/>
      <c r="AQ974" s="235"/>
    </row>
    <row r="975" spans="1:43" ht="15.75" customHeight="1" x14ac:dyDescent="0.55000000000000004">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c r="AA975" s="235"/>
      <c r="AB975" s="235"/>
      <c r="AC975" s="235"/>
      <c r="AD975" s="235"/>
      <c r="AE975" s="235"/>
      <c r="AF975" s="235"/>
      <c r="AG975" s="235"/>
      <c r="AH975" s="235"/>
      <c r="AI975" s="235"/>
      <c r="AJ975" s="235"/>
      <c r="AK975" s="235"/>
      <c r="AL975" s="235"/>
      <c r="AM975" s="235"/>
      <c r="AN975" s="235"/>
      <c r="AO975" s="235"/>
      <c r="AP975" s="235"/>
      <c r="AQ975" s="235"/>
    </row>
    <row r="976" spans="1:43" ht="15.75" customHeight="1" x14ac:dyDescent="0.55000000000000004">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c r="AA976" s="235"/>
      <c r="AB976" s="235"/>
      <c r="AC976" s="235"/>
      <c r="AD976" s="235"/>
      <c r="AE976" s="235"/>
      <c r="AF976" s="235"/>
      <c r="AG976" s="235"/>
      <c r="AH976" s="235"/>
      <c r="AI976" s="235"/>
      <c r="AJ976" s="235"/>
      <c r="AK976" s="235"/>
      <c r="AL976" s="235"/>
      <c r="AM976" s="235"/>
      <c r="AN976" s="235"/>
      <c r="AO976" s="235"/>
      <c r="AP976" s="235"/>
      <c r="AQ976" s="235"/>
    </row>
    <row r="977" spans="1:43" ht="15.75" customHeight="1" x14ac:dyDescent="0.55000000000000004">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c r="AA977" s="235"/>
      <c r="AB977" s="235"/>
      <c r="AC977" s="235"/>
      <c r="AD977" s="235"/>
      <c r="AE977" s="235"/>
      <c r="AF977" s="235"/>
      <c r="AG977" s="235"/>
      <c r="AH977" s="235"/>
      <c r="AI977" s="235"/>
      <c r="AJ977" s="235"/>
      <c r="AK977" s="235"/>
      <c r="AL977" s="235"/>
      <c r="AM977" s="235"/>
      <c r="AN977" s="235"/>
      <c r="AO977" s="235"/>
      <c r="AP977" s="235"/>
      <c r="AQ977" s="235"/>
    </row>
    <row r="978" spans="1:43" ht="15.75" customHeight="1" x14ac:dyDescent="0.55000000000000004">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c r="AA978" s="235"/>
      <c r="AB978" s="235"/>
      <c r="AC978" s="235"/>
      <c r="AD978" s="235"/>
      <c r="AE978" s="235"/>
      <c r="AF978" s="235"/>
      <c r="AG978" s="235"/>
      <c r="AH978" s="235"/>
      <c r="AI978" s="235"/>
      <c r="AJ978" s="235"/>
      <c r="AK978" s="235"/>
      <c r="AL978" s="235"/>
      <c r="AM978" s="235"/>
      <c r="AN978" s="235"/>
      <c r="AO978" s="235"/>
      <c r="AP978" s="235"/>
      <c r="AQ978" s="235"/>
    </row>
    <row r="979" spans="1:43" ht="15.75" customHeight="1" x14ac:dyDescent="0.55000000000000004">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c r="AA979" s="235"/>
      <c r="AB979" s="235"/>
      <c r="AC979" s="235"/>
      <c r="AD979" s="235"/>
      <c r="AE979" s="235"/>
      <c r="AF979" s="235"/>
      <c r="AG979" s="235"/>
      <c r="AH979" s="235"/>
      <c r="AI979" s="235"/>
      <c r="AJ979" s="235"/>
      <c r="AK979" s="235"/>
      <c r="AL979" s="235"/>
      <c r="AM979" s="235"/>
      <c r="AN979" s="235"/>
      <c r="AO979" s="235"/>
      <c r="AP979" s="235"/>
      <c r="AQ979" s="235"/>
    </row>
    <row r="980" spans="1:43" ht="15.75" customHeight="1" x14ac:dyDescent="0.55000000000000004">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c r="AA980" s="235"/>
      <c r="AB980" s="235"/>
      <c r="AC980" s="235"/>
      <c r="AD980" s="235"/>
      <c r="AE980" s="235"/>
      <c r="AF980" s="235"/>
      <c r="AG980" s="235"/>
      <c r="AH980" s="235"/>
      <c r="AI980" s="235"/>
      <c r="AJ980" s="235"/>
      <c r="AK980" s="235"/>
      <c r="AL980" s="235"/>
      <c r="AM980" s="235"/>
      <c r="AN980" s="235"/>
      <c r="AO980" s="235"/>
      <c r="AP980" s="235"/>
      <c r="AQ980" s="235"/>
    </row>
    <row r="981" spans="1:43" ht="15.75" customHeight="1" x14ac:dyDescent="0.55000000000000004">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c r="AA981" s="235"/>
      <c r="AB981" s="235"/>
      <c r="AC981" s="235"/>
      <c r="AD981" s="235"/>
      <c r="AE981" s="235"/>
      <c r="AF981" s="235"/>
      <c r="AG981" s="235"/>
      <c r="AH981" s="235"/>
      <c r="AI981" s="235"/>
      <c r="AJ981" s="235"/>
      <c r="AK981" s="235"/>
      <c r="AL981" s="235"/>
      <c r="AM981" s="235"/>
      <c r="AN981" s="235"/>
      <c r="AO981" s="235"/>
      <c r="AP981" s="235"/>
      <c r="AQ981" s="235"/>
    </row>
    <row r="982" spans="1:43" ht="15.75" customHeight="1" x14ac:dyDescent="0.55000000000000004">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c r="AA982" s="235"/>
      <c r="AB982" s="235"/>
      <c r="AC982" s="235"/>
      <c r="AD982" s="235"/>
      <c r="AE982" s="235"/>
      <c r="AF982" s="235"/>
      <c r="AG982" s="235"/>
      <c r="AH982" s="235"/>
      <c r="AI982" s="235"/>
      <c r="AJ982" s="235"/>
      <c r="AK982" s="235"/>
      <c r="AL982" s="235"/>
      <c r="AM982" s="235"/>
      <c r="AN982" s="235"/>
      <c r="AO982" s="235"/>
      <c r="AP982" s="235"/>
      <c r="AQ982" s="235"/>
    </row>
    <row r="983" spans="1:43" ht="15.75" customHeight="1" x14ac:dyDescent="0.55000000000000004">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c r="AA983" s="235"/>
      <c r="AB983" s="235"/>
      <c r="AC983" s="235"/>
      <c r="AD983" s="235"/>
      <c r="AE983" s="235"/>
      <c r="AF983" s="235"/>
      <c r="AG983" s="235"/>
      <c r="AH983" s="235"/>
      <c r="AI983" s="235"/>
      <c r="AJ983" s="235"/>
      <c r="AK983" s="235"/>
      <c r="AL983" s="235"/>
      <c r="AM983" s="235"/>
      <c r="AN983" s="235"/>
      <c r="AO983" s="235"/>
      <c r="AP983" s="235"/>
      <c r="AQ983" s="235"/>
    </row>
    <row r="984" spans="1:43" ht="15.75" customHeight="1" x14ac:dyDescent="0.55000000000000004">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c r="AA984" s="235"/>
      <c r="AB984" s="235"/>
      <c r="AC984" s="235"/>
      <c r="AD984" s="235"/>
      <c r="AE984" s="235"/>
      <c r="AF984" s="235"/>
      <c r="AG984" s="235"/>
      <c r="AH984" s="235"/>
      <c r="AI984" s="235"/>
      <c r="AJ984" s="235"/>
      <c r="AK984" s="235"/>
      <c r="AL984" s="235"/>
      <c r="AM984" s="235"/>
      <c r="AN984" s="235"/>
      <c r="AO984" s="235"/>
      <c r="AP984" s="235"/>
      <c r="AQ984" s="235"/>
    </row>
    <row r="985" spans="1:43" ht="15.75" customHeight="1" x14ac:dyDescent="0.55000000000000004">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c r="AA985" s="235"/>
      <c r="AB985" s="235"/>
      <c r="AC985" s="235"/>
      <c r="AD985" s="235"/>
      <c r="AE985" s="235"/>
      <c r="AF985" s="235"/>
      <c r="AG985" s="235"/>
      <c r="AH985" s="235"/>
      <c r="AI985" s="235"/>
      <c r="AJ985" s="235"/>
      <c r="AK985" s="235"/>
      <c r="AL985" s="235"/>
      <c r="AM985" s="235"/>
      <c r="AN985" s="235"/>
      <c r="AO985" s="235"/>
      <c r="AP985" s="235"/>
      <c r="AQ985" s="235"/>
    </row>
    <row r="986" spans="1:43" ht="15.75" customHeight="1" x14ac:dyDescent="0.55000000000000004">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c r="AA986" s="235"/>
      <c r="AB986" s="235"/>
      <c r="AC986" s="235"/>
      <c r="AD986" s="235"/>
      <c r="AE986" s="235"/>
      <c r="AF986" s="235"/>
      <c r="AG986" s="235"/>
      <c r="AH986" s="235"/>
      <c r="AI986" s="235"/>
      <c r="AJ986" s="235"/>
      <c r="AK986" s="235"/>
      <c r="AL986" s="235"/>
      <c r="AM986" s="235"/>
      <c r="AN986" s="235"/>
      <c r="AO986" s="235"/>
      <c r="AP986" s="235"/>
      <c r="AQ986" s="235"/>
    </row>
    <row r="987" spans="1:43" ht="15.75" customHeight="1" x14ac:dyDescent="0.55000000000000004">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c r="AA987" s="235"/>
      <c r="AB987" s="235"/>
      <c r="AC987" s="235"/>
      <c r="AD987" s="235"/>
      <c r="AE987" s="235"/>
      <c r="AF987" s="235"/>
      <c r="AG987" s="235"/>
      <c r="AH987" s="235"/>
      <c r="AI987" s="235"/>
      <c r="AJ987" s="235"/>
      <c r="AK987" s="235"/>
      <c r="AL987" s="235"/>
      <c r="AM987" s="235"/>
      <c r="AN987" s="235"/>
      <c r="AO987" s="235"/>
      <c r="AP987" s="235"/>
      <c r="AQ987" s="235"/>
    </row>
    <row r="988" spans="1:43" ht="15.75" customHeight="1" x14ac:dyDescent="0.55000000000000004">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c r="AA988" s="235"/>
      <c r="AB988" s="235"/>
      <c r="AC988" s="235"/>
      <c r="AD988" s="235"/>
      <c r="AE988" s="235"/>
      <c r="AF988" s="235"/>
      <c r="AG988" s="235"/>
      <c r="AH988" s="235"/>
      <c r="AI988" s="235"/>
      <c r="AJ988" s="235"/>
      <c r="AK988" s="235"/>
      <c r="AL988" s="235"/>
      <c r="AM988" s="235"/>
      <c r="AN988" s="235"/>
      <c r="AO988" s="235"/>
      <c r="AP988" s="235"/>
      <c r="AQ988" s="235"/>
    </row>
    <row r="989" spans="1:43" ht="15.75" customHeight="1" x14ac:dyDescent="0.55000000000000004">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c r="AA989" s="235"/>
      <c r="AB989" s="235"/>
      <c r="AC989" s="235"/>
      <c r="AD989" s="235"/>
      <c r="AE989" s="235"/>
      <c r="AF989" s="235"/>
      <c r="AG989" s="235"/>
      <c r="AH989" s="235"/>
      <c r="AI989" s="235"/>
      <c r="AJ989" s="235"/>
      <c r="AK989" s="235"/>
      <c r="AL989" s="235"/>
      <c r="AM989" s="235"/>
      <c r="AN989" s="235"/>
      <c r="AO989" s="235"/>
      <c r="AP989" s="235"/>
      <c r="AQ989" s="235"/>
    </row>
    <row r="990" spans="1:43" ht="15.75" customHeight="1" x14ac:dyDescent="0.55000000000000004">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c r="AA990" s="235"/>
      <c r="AB990" s="235"/>
      <c r="AC990" s="235"/>
      <c r="AD990" s="235"/>
      <c r="AE990" s="235"/>
      <c r="AF990" s="235"/>
      <c r="AG990" s="235"/>
      <c r="AH990" s="235"/>
      <c r="AI990" s="235"/>
      <c r="AJ990" s="235"/>
      <c r="AK990" s="235"/>
      <c r="AL990" s="235"/>
      <c r="AM990" s="235"/>
      <c r="AN990" s="235"/>
      <c r="AO990" s="235"/>
      <c r="AP990" s="235"/>
      <c r="AQ990" s="235"/>
    </row>
    <row r="991" spans="1:43" ht="15.75" customHeight="1" x14ac:dyDescent="0.55000000000000004">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c r="AA991" s="235"/>
      <c r="AB991" s="235"/>
      <c r="AC991" s="235"/>
      <c r="AD991" s="235"/>
      <c r="AE991" s="235"/>
      <c r="AF991" s="235"/>
      <c r="AG991" s="235"/>
      <c r="AH991" s="235"/>
      <c r="AI991" s="235"/>
      <c r="AJ991" s="235"/>
      <c r="AK991" s="235"/>
      <c r="AL991" s="235"/>
      <c r="AM991" s="235"/>
      <c r="AN991" s="235"/>
      <c r="AO991" s="235"/>
      <c r="AP991" s="235"/>
      <c r="AQ991" s="235"/>
    </row>
    <row r="992" spans="1:43" ht="15.75" customHeight="1" x14ac:dyDescent="0.55000000000000004">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c r="AA992" s="235"/>
      <c r="AB992" s="235"/>
      <c r="AC992" s="235"/>
      <c r="AD992" s="235"/>
      <c r="AE992" s="235"/>
      <c r="AF992" s="235"/>
      <c r="AG992" s="235"/>
      <c r="AH992" s="235"/>
      <c r="AI992" s="235"/>
      <c r="AJ992" s="235"/>
      <c r="AK992" s="235"/>
      <c r="AL992" s="235"/>
      <c r="AM992" s="235"/>
      <c r="AN992" s="235"/>
      <c r="AO992" s="235"/>
      <c r="AP992" s="235"/>
      <c r="AQ992" s="235"/>
    </row>
    <row r="993" spans="1:43" ht="15.75" customHeight="1" x14ac:dyDescent="0.55000000000000004">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c r="AA993" s="235"/>
      <c r="AB993" s="235"/>
      <c r="AC993" s="235"/>
      <c r="AD993" s="235"/>
      <c r="AE993" s="235"/>
      <c r="AF993" s="235"/>
      <c r="AG993" s="235"/>
      <c r="AH993" s="235"/>
      <c r="AI993" s="235"/>
      <c r="AJ993" s="235"/>
      <c r="AK993" s="235"/>
      <c r="AL993" s="235"/>
      <c r="AM993" s="235"/>
      <c r="AN993" s="235"/>
      <c r="AO993" s="235"/>
      <c r="AP993" s="235"/>
      <c r="AQ993" s="235"/>
    </row>
    <row r="994" spans="1:43" ht="15.75" customHeight="1" x14ac:dyDescent="0.55000000000000004">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c r="AA994" s="235"/>
      <c r="AB994" s="235"/>
      <c r="AC994" s="235"/>
      <c r="AD994" s="235"/>
      <c r="AE994" s="235"/>
      <c r="AF994" s="235"/>
      <c r="AG994" s="235"/>
      <c r="AH994" s="235"/>
      <c r="AI994" s="235"/>
      <c r="AJ994" s="235"/>
      <c r="AK994" s="235"/>
      <c r="AL994" s="235"/>
      <c r="AM994" s="235"/>
      <c r="AN994" s="235"/>
      <c r="AO994" s="235"/>
      <c r="AP994" s="235"/>
      <c r="AQ994" s="235"/>
    </row>
    <row r="995" spans="1:43" ht="15.75" customHeight="1" x14ac:dyDescent="0.55000000000000004">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c r="AA995" s="235"/>
      <c r="AB995" s="235"/>
      <c r="AC995" s="235"/>
      <c r="AD995" s="235"/>
      <c r="AE995" s="235"/>
      <c r="AF995" s="235"/>
      <c r="AG995" s="235"/>
      <c r="AH995" s="235"/>
      <c r="AI995" s="235"/>
      <c r="AJ995" s="235"/>
      <c r="AK995" s="235"/>
      <c r="AL995" s="235"/>
      <c r="AM995" s="235"/>
      <c r="AN995" s="235"/>
      <c r="AO995" s="235"/>
      <c r="AP995" s="235"/>
      <c r="AQ995" s="235"/>
    </row>
    <row r="996" spans="1:43" ht="15.75" customHeight="1" x14ac:dyDescent="0.55000000000000004">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c r="AA996" s="235"/>
      <c r="AB996" s="235"/>
      <c r="AC996" s="235"/>
      <c r="AD996" s="235"/>
      <c r="AE996" s="235"/>
      <c r="AF996" s="235"/>
      <c r="AG996" s="235"/>
      <c r="AH996" s="235"/>
      <c r="AI996" s="235"/>
      <c r="AJ996" s="235"/>
      <c r="AK996" s="235"/>
      <c r="AL996" s="235"/>
      <c r="AM996" s="235"/>
      <c r="AN996" s="235"/>
      <c r="AO996" s="235"/>
      <c r="AP996" s="235"/>
      <c r="AQ996" s="235"/>
    </row>
    <row r="997" spans="1:43" ht="15.75" customHeight="1" x14ac:dyDescent="0.55000000000000004">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c r="AA997" s="235"/>
      <c r="AB997" s="235"/>
      <c r="AC997" s="235"/>
      <c r="AD997" s="235"/>
      <c r="AE997" s="235"/>
      <c r="AF997" s="235"/>
      <c r="AG997" s="235"/>
      <c r="AH997" s="235"/>
      <c r="AI997" s="235"/>
      <c r="AJ997" s="235"/>
      <c r="AK997" s="235"/>
      <c r="AL997" s="235"/>
      <c r="AM997" s="235"/>
      <c r="AN997" s="235"/>
      <c r="AO997" s="235"/>
      <c r="AP997" s="235"/>
      <c r="AQ997" s="235"/>
    </row>
    <row r="998" spans="1:43" ht="15.75" customHeight="1" x14ac:dyDescent="0.55000000000000004">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c r="AA998" s="235"/>
      <c r="AB998" s="235"/>
      <c r="AC998" s="235"/>
      <c r="AD998" s="235"/>
      <c r="AE998" s="235"/>
      <c r="AF998" s="235"/>
      <c r="AG998" s="235"/>
      <c r="AH998" s="235"/>
      <c r="AI998" s="235"/>
      <c r="AJ998" s="235"/>
      <c r="AK998" s="235"/>
      <c r="AL998" s="235"/>
      <c r="AM998" s="235"/>
      <c r="AN998" s="235"/>
      <c r="AO998" s="235"/>
      <c r="AP998" s="235"/>
      <c r="AQ998" s="235"/>
    </row>
    <row r="999" spans="1:43" ht="15.75" customHeight="1" x14ac:dyDescent="0.55000000000000004">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c r="AA999" s="235"/>
      <c r="AB999" s="235"/>
      <c r="AC999" s="235"/>
      <c r="AD999" s="235"/>
      <c r="AE999" s="235"/>
      <c r="AF999" s="235"/>
      <c r="AG999" s="235"/>
      <c r="AH999" s="235"/>
      <c r="AI999" s="235"/>
      <c r="AJ999" s="235"/>
      <c r="AK999" s="235"/>
      <c r="AL999" s="235"/>
      <c r="AM999" s="235"/>
      <c r="AN999" s="235"/>
      <c r="AO999" s="235"/>
      <c r="AP999" s="235"/>
      <c r="AQ999" s="235"/>
    </row>
    <row r="1000" spans="1:43" ht="15.75" customHeight="1" x14ac:dyDescent="0.55000000000000004">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c r="AA1000" s="235"/>
      <c r="AB1000" s="235"/>
      <c r="AC1000" s="235"/>
      <c r="AD1000" s="235"/>
      <c r="AE1000" s="235"/>
      <c r="AF1000" s="235"/>
      <c r="AG1000" s="235"/>
      <c r="AH1000" s="235"/>
      <c r="AI1000" s="235"/>
      <c r="AJ1000" s="235"/>
      <c r="AK1000" s="235"/>
      <c r="AL1000" s="235"/>
      <c r="AM1000" s="235"/>
      <c r="AN1000" s="235"/>
      <c r="AO1000" s="235"/>
      <c r="AP1000" s="235"/>
      <c r="AQ1000" s="23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outlinePr summaryBelow="0" summaryRight="0"/>
  </sheetPr>
  <dimension ref="A1:Z1002"/>
  <sheetViews>
    <sheetView workbookViewId="0"/>
  </sheetViews>
  <sheetFormatPr defaultColWidth="14.47265625" defaultRowHeight="15" customHeight="1" x14ac:dyDescent="0.55000000000000004"/>
  <cols>
    <col min="1" max="1" width="27.47265625" customWidth="1"/>
    <col min="2" max="2" width="25" customWidth="1"/>
    <col min="3" max="3" width="29.15625" customWidth="1"/>
    <col min="4" max="4" width="28" customWidth="1"/>
    <col min="5" max="5" width="27.3125" customWidth="1"/>
    <col min="6" max="6" width="35.3125" customWidth="1"/>
    <col min="7" max="7" width="45.68359375" customWidth="1"/>
    <col min="8" max="9" width="41.83984375" customWidth="1"/>
    <col min="10" max="10" width="43.15625" customWidth="1"/>
    <col min="11" max="11" width="29.47265625" customWidth="1"/>
    <col min="12" max="12" width="33.83984375" customWidth="1"/>
    <col min="13" max="13" width="37.3125" customWidth="1"/>
    <col min="14" max="15" width="40" customWidth="1"/>
    <col min="16" max="16" width="41.15625" customWidth="1"/>
  </cols>
  <sheetData>
    <row r="1" spans="1:26" ht="51.75" customHeight="1" x14ac:dyDescent="0.55000000000000004">
      <c r="A1" s="116" t="s">
        <v>231</v>
      </c>
      <c r="B1" s="116" t="s">
        <v>3818</v>
      </c>
      <c r="C1" s="116" t="s">
        <v>3819</v>
      </c>
      <c r="D1" s="116" t="s">
        <v>3820</v>
      </c>
      <c r="E1" s="116" t="s">
        <v>3821</v>
      </c>
      <c r="F1" s="116" t="s">
        <v>3822</v>
      </c>
      <c r="G1" s="116" t="s">
        <v>3823</v>
      </c>
      <c r="H1" s="116" t="s">
        <v>3824</v>
      </c>
      <c r="I1" s="116" t="s">
        <v>3825</v>
      </c>
      <c r="J1" s="116" t="s">
        <v>3826</v>
      </c>
      <c r="K1" s="116" t="s">
        <v>3827</v>
      </c>
      <c r="L1" s="116" t="s">
        <v>3828</v>
      </c>
      <c r="M1" s="116" t="s">
        <v>3829</v>
      </c>
      <c r="N1" s="116" t="s">
        <v>3830</v>
      </c>
      <c r="O1" s="116" t="s">
        <v>3831</v>
      </c>
      <c r="P1" s="116" t="s">
        <v>3832</v>
      </c>
      <c r="Q1" s="102"/>
      <c r="R1" s="102"/>
      <c r="S1" s="102"/>
      <c r="T1" s="102"/>
      <c r="U1" s="102"/>
      <c r="V1" s="102"/>
      <c r="W1" s="102"/>
      <c r="X1" s="102"/>
      <c r="Y1" s="102"/>
      <c r="Z1" s="102"/>
    </row>
    <row r="2" spans="1:26" x14ac:dyDescent="0.55000000000000004">
      <c r="A2" s="102">
        <v>1966</v>
      </c>
      <c r="B2" s="236">
        <v>196560338</v>
      </c>
      <c r="C2" s="236">
        <v>11040</v>
      </c>
      <c r="D2" s="102">
        <v>56.165959579999999</v>
      </c>
      <c r="E2" s="102">
        <v>2</v>
      </c>
      <c r="F2" s="102">
        <v>1.017499268E-2</v>
      </c>
      <c r="G2" s="102">
        <v>2</v>
      </c>
      <c r="H2" s="102"/>
      <c r="I2" s="102"/>
      <c r="J2" s="102"/>
      <c r="K2" s="102">
        <v>20</v>
      </c>
      <c r="L2" s="102">
        <v>10</v>
      </c>
      <c r="M2" s="102">
        <v>0.1017499268</v>
      </c>
      <c r="N2" s="102"/>
      <c r="O2" s="102"/>
      <c r="P2" s="102"/>
      <c r="Q2" s="102"/>
      <c r="R2" s="102"/>
      <c r="S2" s="102"/>
      <c r="T2" s="102"/>
      <c r="U2" s="102"/>
      <c r="V2" s="102"/>
      <c r="W2" s="102"/>
      <c r="X2" s="102"/>
      <c r="Y2" s="102"/>
      <c r="Z2" s="102"/>
    </row>
    <row r="3" spans="1:26" x14ac:dyDescent="0.55000000000000004">
      <c r="A3" s="102">
        <v>1967</v>
      </c>
      <c r="B3" s="236">
        <v>198712056</v>
      </c>
      <c r="C3" s="236">
        <v>12240</v>
      </c>
      <c r="D3" s="102">
        <v>61.596665280000003</v>
      </c>
      <c r="E3" s="102">
        <v>1</v>
      </c>
      <c r="F3" s="102">
        <v>5.0324072939999997E-3</v>
      </c>
      <c r="G3" s="102">
        <v>2.06</v>
      </c>
      <c r="H3" s="102"/>
      <c r="I3" s="102"/>
      <c r="J3" s="102"/>
      <c r="K3" s="102">
        <v>6</v>
      </c>
      <c r="L3" s="102">
        <v>6</v>
      </c>
      <c r="M3" s="102">
        <v>3.0194443759999998E-2</v>
      </c>
      <c r="N3" s="102"/>
      <c r="O3" s="102"/>
      <c r="P3" s="102"/>
      <c r="Q3" s="102"/>
      <c r="R3" s="102"/>
      <c r="S3" s="102"/>
      <c r="T3" s="102"/>
      <c r="U3" s="102"/>
      <c r="V3" s="102"/>
      <c r="W3" s="102"/>
      <c r="X3" s="102"/>
      <c r="Y3" s="102"/>
      <c r="Z3" s="102"/>
    </row>
    <row r="4" spans="1:26" x14ac:dyDescent="0.55000000000000004">
      <c r="A4" s="102">
        <v>1968</v>
      </c>
      <c r="B4" s="236">
        <v>200706052</v>
      </c>
      <c r="C4" s="236">
        <v>13800</v>
      </c>
      <c r="D4" s="102">
        <v>68.757268960000005</v>
      </c>
      <c r="E4" s="102">
        <v>1</v>
      </c>
      <c r="F4" s="102">
        <v>4.9824107939999999E-3</v>
      </c>
      <c r="G4" s="102">
        <v>2.12</v>
      </c>
      <c r="H4" s="102">
        <v>1.3333333329999999</v>
      </c>
      <c r="I4" s="102"/>
      <c r="J4" s="102"/>
      <c r="K4" s="102">
        <v>7</v>
      </c>
      <c r="L4" s="102">
        <v>7</v>
      </c>
      <c r="M4" s="102">
        <v>3.4876875559999999E-2</v>
      </c>
      <c r="N4" s="102">
        <v>11</v>
      </c>
      <c r="O4" s="102"/>
      <c r="P4" s="102"/>
      <c r="Q4" s="102"/>
      <c r="R4" s="102"/>
      <c r="S4" s="102"/>
      <c r="T4" s="102"/>
      <c r="U4" s="102"/>
      <c r="V4" s="102"/>
      <c r="W4" s="102"/>
      <c r="X4" s="102"/>
      <c r="Y4" s="102"/>
      <c r="Z4" s="102"/>
    </row>
    <row r="5" spans="1:26" x14ac:dyDescent="0.55000000000000004">
      <c r="A5" s="102">
        <v>1969</v>
      </c>
      <c r="B5" s="236">
        <v>202676946</v>
      </c>
      <c r="C5" s="236">
        <v>14760</v>
      </c>
      <c r="D5" s="102">
        <v>72.82525364</v>
      </c>
      <c r="E5" s="102">
        <v>1</v>
      </c>
      <c r="F5" s="102">
        <v>4.933960274E-3</v>
      </c>
      <c r="G5" s="102">
        <v>2.1800000000000002</v>
      </c>
      <c r="H5" s="102">
        <v>1</v>
      </c>
      <c r="I5" s="102"/>
      <c r="J5" s="102"/>
      <c r="K5" s="102">
        <v>4</v>
      </c>
      <c r="L5" s="102">
        <v>4</v>
      </c>
      <c r="M5" s="102">
        <v>1.9735841099999998E-2</v>
      </c>
      <c r="N5" s="102">
        <v>5.6666666670000003</v>
      </c>
      <c r="O5" s="102"/>
      <c r="P5" s="102"/>
      <c r="Q5" s="102"/>
      <c r="R5" s="102"/>
      <c r="S5" s="102"/>
      <c r="T5" s="102"/>
      <c r="U5" s="102"/>
      <c r="V5" s="102"/>
      <c r="W5" s="102"/>
      <c r="X5" s="102"/>
      <c r="Y5" s="102"/>
      <c r="Z5" s="102"/>
    </row>
    <row r="6" spans="1:26" x14ac:dyDescent="0.55000000000000004">
      <c r="A6" s="102">
        <v>1970</v>
      </c>
      <c r="B6" s="236">
        <v>205052174</v>
      </c>
      <c r="C6" s="236">
        <v>16000</v>
      </c>
      <c r="D6" s="102">
        <v>78.028921560000001</v>
      </c>
      <c r="E6" s="102">
        <v>1</v>
      </c>
      <c r="F6" s="102">
        <v>4.8768075970000001E-3</v>
      </c>
      <c r="G6" s="102">
        <v>2.25</v>
      </c>
      <c r="H6" s="102">
        <v>1</v>
      </c>
      <c r="I6" s="102">
        <v>1.2</v>
      </c>
      <c r="J6" s="102"/>
      <c r="K6" s="102">
        <v>4</v>
      </c>
      <c r="L6" s="102">
        <v>4</v>
      </c>
      <c r="M6" s="102">
        <v>1.9507230390000001E-2</v>
      </c>
      <c r="N6" s="102">
        <v>5</v>
      </c>
      <c r="O6" s="102">
        <v>8.1999999999999993</v>
      </c>
      <c r="P6" s="102"/>
      <c r="Q6" s="102"/>
      <c r="R6" s="102"/>
      <c r="S6" s="102"/>
      <c r="T6" s="102"/>
      <c r="U6" s="102"/>
      <c r="V6" s="102"/>
      <c r="W6" s="102"/>
      <c r="X6" s="102"/>
      <c r="Y6" s="102"/>
      <c r="Z6" s="102"/>
    </row>
    <row r="7" spans="1:26" x14ac:dyDescent="0.55000000000000004">
      <c r="A7" s="102">
        <v>1971</v>
      </c>
      <c r="B7" s="236">
        <v>207660677</v>
      </c>
      <c r="C7" s="236">
        <v>17780</v>
      </c>
      <c r="D7" s="102">
        <v>85.620447049999996</v>
      </c>
      <c r="E7" s="102"/>
      <c r="F7" s="102">
        <v>0</v>
      </c>
      <c r="G7" s="102">
        <v>2.31</v>
      </c>
      <c r="H7" s="102">
        <v>1</v>
      </c>
      <c r="I7" s="102">
        <v>1</v>
      </c>
      <c r="J7" s="102"/>
      <c r="K7" s="102"/>
      <c r="L7" s="102"/>
      <c r="M7" s="102">
        <v>0</v>
      </c>
      <c r="N7" s="102">
        <v>4</v>
      </c>
      <c r="O7" s="102">
        <v>5.25</v>
      </c>
      <c r="P7" s="102"/>
      <c r="Q7" s="102"/>
      <c r="R7" s="102"/>
      <c r="S7" s="102"/>
      <c r="T7" s="102"/>
      <c r="U7" s="102"/>
      <c r="V7" s="102"/>
      <c r="W7" s="102"/>
      <c r="X7" s="102"/>
      <c r="Y7" s="102"/>
      <c r="Z7" s="102"/>
    </row>
    <row r="8" spans="1:26" x14ac:dyDescent="0.55000000000000004">
      <c r="A8" s="102">
        <v>1972</v>
      </c>
      <c r="B8" s="236">
        <v>209896021</v>
      </c>
      <c r="C8" s="236">
        <v>18670</v>
      </c>
      <c r="D8" s="102">
        <v>88.948803850000004</v>
      </c>
      <c r="E8" s="102">
        <v>2</v>
      </c>
      <c r="F8" s="102">
        <v>9.5285274610000005E-3</v>
      </c>
      <c r="G8" s="102">
        <v>2.38</v>
      </c>
      <c r="H8" s="102">
        <v>1.5</v>
      </c>
      <c r="I8" s="102">
        <v>1.25</v>
      </c>
      <c r="J8" s="102"/>
      <c r="K8" s="102">
        <v>10</v>
      </c>
      <c r="L8" s="102">
        <v>5</v>
      </c>
      <c r="M8" s="102">
        <v>4.7642637299999999E-2</v>
      </c>
      <c r="N8" s="102">
        <v>7</v>
      </c>
      <c r="O8" s="102">
        <v>6.25</v>
      </c>
      <c r="P8" s="102"/>
      <c r="Q8" s="102"/>
      <c r="R8" s="102"/>
      <c r="S8" s="102"/>
      <c r="T8" s="102"/>
      <c r="U8" s="102"/>
      <c r="V8" s="102"/>
      <c r="W8" s="102"/>
      <c r="X8" s="102"/>
      <c r="Y8" s="102"/>
      <c r="Z8" s="102"/>
    </row>
    <row r="9" spans="1:26" x14ac:dyDescent="0.55000000000000004">
      <c r="A9" s="102">
        <v>1973</v>
      </c>
      <c r="B9" s="236">
        <v>211908788</v>
      </c>
      <c r="C9" s="236">
        <v>19640</v>
      </c>
      <c r="D9" s="102">
        <v>92.681385160000005</v>
      </c>
      <c r="E9" s="102">
        <v>1</v>
      </c>
      <c r="F9" s="102">
        <v>4.7190114640000003E-3</v>
      </c>
      <c r="G9" s="102">
        <v>2.4500000000000002</v>
      </c>
      <c r="H9" s="102">
        <v>1.5</v>
      </c>
      <c r="I9" s="102">
        <v>1.25</v>
      </c>
      <c r="J9" s="102"/>
      <c r="K9" s="102">
        <v>7</v>
      </c>
      <c r="L9" s="102">
        <v>7</v>
      </c>
      <c r="M9" s="102">
        <v>3.3033080249999999E-2</v>
      </c>
      <c r="N9" s="102">
        <v>8.5</v>
      </c>
      <c r="O9" s="102">
        <v>6.25</v>
      </c>
      <c r="P9" s="102"/>
      <c r="Q9" s="102"/>
      <c r="R9" s="102"/>
      <c r="S9" s="102"/>
      <c r="T9" s="102"/>
      <c r="U9" s="102"/>
      <c r="V9" s="102"/>
      <c r="W9" s="102"/>
      <c r="X9" s="102"/>
      <c r="Y9" s="102"/>
      <c r="Z9" s="102"/>
    </row>
    <row r="10" spans="1:26" x14ac:dyDescent="0.55000000000000004">
      <c r="A10" s="102">
        <v>1974</v>
      </c>
      <c r="B10" s="236">
        <v>213853928</v>
      </c>
      <c r="C10" s="236">
        <v>20710</v>
      </c>
      <c r="D10" s="102">
        <v>96.841803159999998</v>
      </c>
      <c r="E10" s="102"/>
      <c r="F10" s="102">
        <v>0</v>
      </c>
      <c r="G10" s="102">
        <v>2.52</v>
      </c>
      <c r="H10" s="102">
        <v>1.5</v>
      </c>
      <c r="I10" s="102">
        <v>1.3333333329999999</v>
      </c>
      <c r="J10" s="102"/>
      <c r="K10" s="102"/>
      <c r="L10" s="102"/>
      <c r="M10" s="102">
        <v>0</v>
      </c>
      <c r="N10" s="102">
        <v>8.5</v>
      </c>
      <c r="O10" s="102">
        <v>7</v>
      </c>
      <c r="P10" s="102"/>
      <c r="Q10" s="102"/>
      <c r="R10" s="102"/>
      <c r="S10" s="102"/>
      <c r="T10" s="102"/>
      <c r="U10" s="102"/>
      <c r="V10" s="102"/>
      <c r="W10" s="102"/>
      <c r="X10" s="102"/>
      <c r="Y10" s="102"/>
      <c r="Z10" s="102"/>
    </row>
    <row r="11" spans="1:26" x14ac:dyDescent="0.55000000000000004">
      <c r="A11" s="102">
        <v>1975</v>
      </c>
      <c r="B11" s="236">
        <v>215973199</v>
      </c>
      <c r="C11" s="236">
        <v>20510</v>
      </c>
      <c r="D11" s="102">
        <v>94.965486900000002</v>
      </c>
      <c r="E11" s="102">
        <v>1</v>
      </c>
      <c r="F11" s="102">
        <v>4.6302041389999996E-3</v>
      </c>
      <c r="G11" s="102">
        <v>2.59</v>
      </c>
      <c r="H11" s="102">
        <v>1</v>
      </c>
      <c r="I11" s="102">
        <v>1.3333333329999999</v>
      </c>
      <c r="J11" s="102">
        <v>1.25</v>
      </c>
      <c r="K11" s="102">
        <v>5</v>
      </c>
      <c r="L11" s="102">
        <v>5</v>
      </c>
      <c r="M11" s="102">
        <v>2.31510207E-2</v>
      </c>
      <c r="N11" s="102">
        <v>6</v>
      </c>
      <c r="O11" s="102">
        <v>7.3333333329999997</v>
      </c>
      <c r="P11" s="102">
        <v>7.875</v>
      </c>
      <c r="Q11" s="102"/>
      <c r="R11" s="102"/>
      <c r="S11" s="102"/>
      <c r="T11" s="102"/>
      <c r="U11" s="102"/>
      <c r="V11" s="102"/>
      <c r="W11" s="102"/>
      <c r="X11" s="102"/>
      <c r="Y11" s="102"/>
      <c r="Z11" s="102"/>
    </row>
    <row r="12" spans="1:26" x14ac:dyDescent="0.55000000000000004">
      <c r="A12" s="102">
        <v>1976</v>
      </c>
      <c r="B12" s="236">
        <v>218035164</v>
      </c>
      <c r="C12" s="236">
        <v>18780</v>
      </c>
      <c r="D12" s="102">
        <v>86.132895520000005</v>
      </c>
      <c r="E12" s="102">
        <v>1</v>
      </c>
      <c r="F12" s="102">
        <v>4.5864161619999996E-3</v>
      </c>
      <c r="G12" s="102">
        <v>2.67</v>
      </c>
      <c r="H12" s="102">
        <v>1</v>
      </c>
      <c r="I12" s="102">
        <v>1.25</v>
      </c>
      <c r="J12" s="102">
        <v>1.125</v>
      </c>
      <c r="K12" s="102">
        <v>7</v>
      </c>
      <c r="L12" s="102">
        <v>7</v>
      </c>
      <c r="M12" s="102">
        <v>3.2104913130000003E-2</v>
      </c>
      <c r="N12" s="102">
        <v>6</v>
      </c>
      <c r="O12" s="102">
        <v>7.25</v>
      </c>
      <c r="P12" s="102">
        <v>6.25</v>
      </c>
      <c r="Q12" s="102"/>
      <c r="R12" s="102"/>
      <c r="S12" s="102"/>
      <c r="T12" s="102"/>
      <c r="U12" s="102"/>
      <c r="V12" s="102"/>
      <c r="W12" s="102"/>
      <c r="X12" s="102"/>
      <c r="Y12" s="102"/>
      <c r="Z12" s="102"/>
    </row>
    <row r="13" spans="1:26" x14ac:dyDescent="0.55000000000000004">
      <c r="A13" s="102">
        <v>1977</v>
      </c>
      <c r="B13" s="236">
        <v>220239425</v>
      </c>
      <c r="C13" s="236">
        <v>19120</v>
      </c>
      <c r="D13" s="102">
        <v>86.814610959999996</v>
      </c>
      <c r="E13" s="102">
        <v>3</v>
      </c>
      <c r="F13" s="102">
        <v>1.362153938E-2</v>
      </c>
      <c r="G13" s="102">
        <v>2.75</v>
      </c>
      <c r="H13" s="102">
        <v>1.6666666670000001</v>
      </c>
      <c r="I13" s="102">
        <v>1.5</v>
      </c>
      <c r="J13" s="102">
        <v>1.375</v>
      </c>
      <c r="K13" s="102">
        <v>17</v>
      </c>
      <c r="L13" s="102">
        <v>5.6666666670000003</v>
      </c>
      <c r="M13" s="102">
        <v>7.7188723139999998E-2</v>
      </c>
      <c r="N13" s="102">
        <v>9.6666666669999994</v>
      </c>
      <c r="O13" s="102">
        <v>9</v>
      </c>
      <c r="P13" s="102">
        <v>7.625</v>
      </c>
      <c r="Q13" s="102"/>
      <c r="R13" s="102"/>
      <c r="S13" s="102"/>
      <c r="T13" s="102"/>
      <c r="U13" s="102"/>
      <c r="V13" s="102"/>
      <c r="W13" s="102"/>
      <c r="X13" s="102"/>
      <c r="Y13" s="102"/>
      <c r="Z13" s="102"/>
    </row>
    <row r="14" spans="1:26" x14ac:dyDescent="0.55000000000000004">
      <c r="A14" s="102">
        <v>1978</v>
      </c>
      <c r="B14" s="236">
        <v>222584545</v>
      </c>
      <c r="C14" s="236">
        <v>19560</v>
      </c>
      <c r="D14" s="102">
        <v>87.876721180000004</v>
      </c>
      <c r="E14" s="102">
        <v>1</v>
      </c>
      <c r="F14" s="102">
        <v>4.4926749069999997E-3</v>
      </c>
      <c r="G14" s="102">
        <v>2.83</v>
      </c>
      <c r="H14" s="102">
        <v>1.6666666670000001</v>
      </c>
      <c r="I14" s="102">
        <v>1.5</v>
      </c>
      <c r="J14" s="102">
        <v>1.375</v>
      </c>
      <c r="K14" s="102">
        <v>5</v>
      </c>
      <c r="L14" s="102">
        <v>5</v>
      </c>
      <c r="M14" s="102">
        <v>2.246337453E-2</v>
      </c>
      <c r="N14" s="102">
        <v>9.6666666669999994</v>
      </c>
      <c r="O14" s="102">
        <v>8.5</v>
      </c>
      <c r="P14" s="102">
        <v>7.375</v>
      </c>
      <c r="Q14" s="102"/>
      <c r="R14" s="102"/>
      <c r="S14" s="102"/>
      <c r="T14" s="102"/>
      <c r="U14" s="102"/>
      <c r="V14" s="102"/>
      <c r="W14" s="102"/>
      <c r="X14" s="102"/>
      <c r="Y14" s="102"/>
      <c r="Z14" s="102"/>
    </row>
    <row r="15" spans="1:26" x14ac:dyDescent="0.55000000000000004">
      <c r="A15" s="102">
        <v>1979</v>
      </c>
      <c r="B15" s="236">
        <v>225055487</v>
      </c>
      <c r="C15" s="236">
        <v>21460</v>
      </c>
      <c r="D15" s="102">
        <v>95.354262570000003</v>
      </c>
      <c r="E15" s="102"/>
      <c r="F15" s="102">
        <v>0</v>
      </c>
      <c r="G15" s="102">
        <v>2.91</v>
      </c>
      <c r="H15" s="102">
        <v>2</v>
      </c>
      <c r="I15" s="102">
        <v>1.5</v>
      </c>
      <c r="J15" s="99">
        <v>1.428571429</v>
      </c>
      <c r="K15" s="102"/>
      <c r="L15" s="102"/>
      <c r="M15" s="102">
        <v>0</v>
      </c>
      <c r="N15" s="102">
        <v>11</v>
      </c>
      <c r="O15" s="102">
        <v>8.5</v>
      </c>
      <c r="P15" s="99">
        <v>7.8571428570000004</v>
      </c>
      <c r="Q15" s="102"/>
      <c r="R15" s="102"/>
      <c r="S15" s="102"/>
      <c r="T15" s="102"/>
      <c r="U15" s="102"/>
      <c r="V15" s="102"/>
      <c r="W15" s="102"/>
      <c r="X15" s="102"/>
      <c r="Y15" s="102"/>
      <c r="Z15" s="102"/>
    </row>
    <row r="16" spans="1:26" x14ac:dyDescent="0.55000000000000004">
      <c r="A16" s="102">
        <v>1980</v>
      </c>
      <c r="B16" s="236">
        <v>227224681</v>
      </c>
      <c r="C16" s="236">
        <v>23040</v>
      </c>
      <c r="D16" s="102">
        <v>101.3974358</v>
      </c>
      <c r="E16" s="102">
        <v>3</v>
      </c>
      <c r="F16" s="102">
        <v>1.320279112E-2</v>
      </c>
      <c r="G16" s="102">
        <v>3</v>
      </c>
      <c r="H16" s="102">
        <v>2</v>
      </c>
      <c r="I16" s="102">
        <v>2</v>
      </c>
      <c r="J16" s="102">
        <v>1.7142857140000001</v>
      </c>
      <c r="K16" s="102">
        <v>14</v>
      </c>
      <c r="L16" s="102">
        <v>4.6666666670000003</v>
      </c>
      <c r="M16" s="102">
        <v>6.1613025219999999E-2</v>
      </c>
      <c r="N16" s="102">
        <v>9.5</v>
      </c>
      <c r="O16" s="102">
        <v>10.75</v>
      </c>
      <c r="P16" s="102">
        <v>9.2857142859999993</v>
      </c>
      <c r="Q16" s="102"/>
      <c r="R16" s="102"/>
      <c r="S16" s="102"/>
      <c r="T16" s="102"/>
      <c r="U16" s="102"/>
      <c r="V16" s="102"/>
      <c r="W16" s="102"/>
      <c r="X16" s="102"/>
      <c r="Y16" s="102"/>
      <c r="Z16" s="102"/>
    </row>
    <row r="17" spans="1:26" x14ac:dyDescent="0.55000000000000004">
      <c r="A17" s="102">
        <v>1981</v>
      </c>
      <c r="B17" s="236">
        <v>229465714</v>
      </c>
      <c r="C17" s="236">
        <v>22520</v>
      </c>
      <c r="D17" s="102">
        <v>98.141023369999999</v>
      </c>
      <c r="E17" s="102">
        <v>2</v>
      </c>
      <c r="F17" s="102">
        <v>8.7158990560000007E-3</v>
      </c>
      <c r="G17" s="102">
        <v>3.09</v>
      </c>
      <c r="H17" s="102">
        <v>2.5</v>
      </c>
      <c r="I17" s="102">
        <v>2.25</v>
      </c>
      <c r="J17" s="102">
        <v>1.75</v>
      </c>
      <c r="K17" s="102">
        <v>9</v>
      </c>
      <c r="L17" s="102">
        <v>4.5</v>
      </c>
      <c r="M17" s="102">
        <v>3.9221545750000003E-2</v>
      </c>
      <c r="N17" s="102">
        <v>11.5</v>
      </c>
      <c r="O17" s="102">
        <v>11.25</v>
      </c>
      <c r="P17" s="102">
        <v>9.25</v>
      </c>
      <c r="Q17" s="102"/>
      <c r="R17" s="102"/>
      <c r="S17" s="102"/>
      <c r="T17" s="102"/>
      <c r="U17" s="102"/>
      <c r="V17" s="102"/>
      <c r="W17" s="102"/>
      <c r="X17" s="102"/>
      <c r="Y17" s="102"/>
      <c r="Z17" s="102"/>
    </row>
    <row r="18" spans="1:26" x14ac:dyDescent="0.55000000000000004">
      <c r="A18" s="102">
        <v>1982</v>
      </c>
      <c r="B18" s="236">
        <v>231664458</v>
      </c>
      <c r="C18" s="236">
        <v>21010</v>
      </c>
      <c r="D18" s="102">
        <v>90.691512119999999</v>
      </c>
      <c r="E18" s="102">
        <v>3</v>
      </c>
      <c r="F18" s="102">
        <v>1.2949763749999999E-2</v>
      </c>
      <c r="G18" s="102">
        <v>3.18</v>
      </c>
      <c r="H18" s="102">
        <v>2.6666666669999999</v>
      </c>
      <c r="I18" s="102">
        <v>2.25</v>
      </c>
      <c r="J18" s="102">
        <v>1.875</v>
      </c>
      <c r="K18" s="102">
        <v>18</v>
      </c>
      <c r="L18" s="102">
        <v>6</v>
      </c>
      <c r="M18" s="102">
        <v>7.7698582490000001E-2</v>
      </c>
      <c r="N18" s="102">
        <v>13.66666667</v>
      </c>
      <c r="O18" s="102">
        <v>11.5</v>
      </c>
      <c r="P18" s="102">
        <v>10.25</v>
      </c>
      <c r="Q18" s="102"/>
      <c r="R18" s="102"/>
      <c r="S18" s="102"/>
      <c r="T18" s="102"/>
      <c r="U18" s="102"/>
      <c r="V18" s="102"/>
      <c r="W18" s="102"/>
      <c r="X18" s="102"/>
      <c r="Y18" s="102"/>
      <c r="Z18" s="102"/>
    </row>
    <row r="19" spans="1:26" x14ac:dyDescent="0.55000000000000004">
      <c r="A19" s="102">
        <v>1983</v>
      </c>
      <c r="B19" s="236">
        <v>233791994</v>
      </c>
      <c r="C19" s="236">
        <v>19310</v>
      </c>
      <c r="D19" s="102">
        <v>82.594787229999994</v>
      </c>
      <c r="E19" s="102">
        <v>3</v>
      </c>
      <c r="F19" s="102">
        <v>1.2831919299999999E-2</v>
      </c>
      <c r="G19" s="102">
        <v>3.27</v>
      </c>
      <c r="H19" s="102">
        <v>2.6666666669999999</v>
      </c>
      <c r="I19" s="102">
        <v>2.75</v>
      </c>
      <c r="J19" s="102">
        <v>2.125</v>
      </c>
      <c r="K19" s="102">
        <v>16</v>
      </c>
      <c r="L19" s="102">
        <v>5.3333333329999997</v>
      </c>
      <c r="M19" s="102">
        <v>6.8436902930000001E-2</v>
      </c>
      <c r="N19" s="102">
        <v>14.33333333</v>
      </c>
      <c r="O19" s="102">
        <v>14.25</v>
      </c>
      <c r="P19" s="102">
        <v>11.375</v>
      </c>
      <c r="Q19" s="102"/>
      <c r="R19" s="102"/>
      <c r="S19" s="102"/>
      <c r="T19" s="102"/>
      <c r="U19" s="102"/>
      <c r="V19" s="102"/>
      <c r="W19" s="102"/>
      <c r="X19" s="102"/>
      <c r="Y19" s="102"/>
      <c r="Z19" s="102"/>
    </row>
    <row r="20" spans="1:26" x14ac:dyDescent="0.55000000000000004">
      <c r="A20" s="102">
        <v>1984</v>
      </c>
      <c r="B20" s="236">
        <v>235824902</v>
      </c>
      <c r="C20" s="236">
        <v>18690</v>
      </c>
      <c r="D20" s="102">
        <v>79.25371681</v>
      </c>
      <c r="E20" s="102">
        <v>4</v>
      </c>
      <c r="F20" s="102">
        <v>1.696173715E-2</v>
      </c>
      <c r="G20" s="102">
        <v>3.37</v>
      </c>
      <c r="H20" s="102">
        <v>3.3333333330000001</v>
      </c>
      <c r="I20" s="102">
        <v>3</v>
      </c>
      <c r="J20" s="102">
        <v>2.3333333330000001</v>
      </c>
      <c r="K20" s="102">
        <v>40</v>
      </c>
      <c r="L20" s="102">
        <v>10</v>
      </c>
      <c r="M20" s="102">
        <v>0.1696173715</v>
      </c>
      <c r="N20" s="102">
        <v>24.666666670000001</v>
      </c>
      <c r="O20" s="102">
        <v>19.399999999999999</v>
      </c>
      <c r="P20" s="102">
        <v>14.55555556</v>
      </c>
      <c r="Q20" s="102"/>
      <c r="R20" s="102"/>
      <c r="S20" s="102"/>
      <c r="T20" s="102"/>
      <c r="U20" s="102"/>
      <c r="V20" s="102"/>
      <c r="W20" s="102"/>
      <c r="X20" s="102"/>
      <c r="Y20" s="102"/>
      <c r="Z20" s="102"/>
    </row>
    <row r="21" spans="1:26" ht="15.75" customHeight="1" x14ac:dyDescent="0.55000000000000004">
      <c r="A21" s="102">
        <v>1985</v>
      </c>
      <c r="B21" s="236">
        <v>237923795</v>
      </c>
      <c r="C21" s="236">
        <v>18980</v>
      </c>
      <c r="D21" s="102">
        <v>79.773441739999996</v>
      </c>
      <c r="E21" s="102">
        <v>1</v>
      </c>
      <c r="F21" s="102">
        <v>4.2030264349999999E-3</v>
      </c>
      <c r="G21" s="102">
        <v>3.47</v>
      </c>
      <c r="H21" s="102">
        <v>2.6666666669999999</v>
      </c>
      <c r="I21" s="102">
        <v>2.6</v>
      </c>
      <c r="J21" s="102">
        <v>2.3333333330000001</v>
      </c>
      <c r="K21" s="102">
        <v>4</v>
      </c>
      <c r="L21" s="102">
        <v>4</v>
      </c>
      <c r="M21" s="102">
        <v>1.681210574E-2</v>
      </c>
      <c r="N21" s="102">
        <v>20</v>
      </c>
      <c r="O21" s="102">
        <v>17.399999999999999</v>
      </c>
      <c r="P21" s="102">
        <v>14.44444444</v>
      </c>
      <c r="Q21" s="102"/>
      <c r="R21" s="102"/>
      <c r="S21" s="102"/>
      <c r="T21" s="102"/>
      <c r="U21" s="102"/>
      <c r="V21" s="102"/>
      <c r="W21" s="102"/>
      <c r="X21" s="102"/>
      <c r="Y21" s="102"/>
      <c r="Z21" s="102"/>
    </row>
    <row r="22" spans="1:26" ht="15.75" customHeight="1" x14ac:dyDescent="0.55000000000000004">
      <c r="A22" s="102">
        <v>1986</v>
      </c>
      <c r="B22" s="236">
        <v>240132887</v>
      </c>
      <c r="C22" s="236">
        <v>20613</v>
      </c>
      <c r="D22" s="102">
        <v>85.839970769999994</v>
      </c>
      <c r="E22" s="102">
        <v>1</v>
      </c>
      <c r="F22" s="102">
        <v>4.1643608770000002E-3</v>
      </c>
      <c r="G22" s="102">
        <v>3.57</v>
      </c>
      <c r="H22" s="102">
        <v>2</v>
      </c>
      <c r="I22" s="102">
        <v>2.4</v>
      </c>
      <c r="J22" s="102">
        <v>2.3333333330000001</v>
      </c>
      <c r="K22" s="102">
        <v>14</v>
      </c>
      <c r="L22" s="102">
        <v>14</v>
      </c>
      <c r="M22" s="102">
        <v>5.8301052280000001E-2</v>
      </c>
      <c r="N22" s="102">
        <v>19.333333329999999</v>
      </c>
      <c r="O22" s="102">
        <v>18.399999999999999</v>
      </c>
      <c r="P22" s="102">
        <v>15.222222220000001</v>
      </c>
      <c r="Q22" s="102"/>
      <c r="R22" s="102"/>
      <c r="S22" s="102"/>
      <c r="T22" s="102"/>
      <c r="U22" s="102"/>
      <c r="V22" s="102"/>
      <c r="W22" s="102"/>
      <c r="X22" s="102"/>
      <c r="Y22" s="102"/>
      <c r="Z22" s="102"/>
    </row>
    <row r="23" spans="1:26" ht="15.75" customHeight="1" x14ac:dyDescent="0.55000000000000004">
      <c r="A23" s="102">
        <v>1987</v>
      </c>
      <c r="B23" s="236">
        <v>242288918</v>
      </c>
      <c r="C23" s="236">
        <v>20096</v>
      </c>
      <c r="D23" s="102">
        <v>82.942299489999996</v>
      </c>
      <c r="E23" s="102">
        <v>1</v>
      </c>
      <c r="F23" s="102">
        <v>4.1273039160000004E-3</v>
      </c>
      <c r="G23" s="102">
        <v>3.67</v>
      </c>
      <c r="H23" s="102">
        <v>1</v>
      </c>
      <c r="I23" s="102">
        <v>2</v>
      </c>
      <c r="J23" s="102">
        <v>2.111111111</v>
      </c>
      <c r="K23" s="102">
        <v>6</v>
      </c>
      <c r="L23" s="102">
        <v>6</v>
      </c>
      <c r="M23" s="102">
        <v>2.476382349E-2</v>
      </c>
      <c r="N23" s="102">
        <v>8</v>
      </c>
      <c r="O23" s="102">
        <v>16</v>
      </c>
      <c r="P23" s="102">
        <v>14</v>
      </c>
      <c r="Q23" s="102"/>
      <c r="R23" s="102"/>
      <c r="S23" s="102"/>
      <c r="T23" s="102"/>
      <c r="U23" s="102"/>
      <c r="V23" s="102"/>
      <c r="W23" s="102"/>
      <c r="X23" s="102"/>
      <c r="Y23" s="102"/>
      <c r="Z23" s="102"/>
    </row>
    <row r="24" spans="1:26" ht="15.75" customHeight="1" x14ac:dyDescent="0.55000000000000004">
      <c r="A24" s="102">
        <v>1988</v>
      </c>
      <c r="B24" s="236">
        <v>244498982</v>
      </c>
      <c r="C24" s="236">
        <v>20680</v>
      </c>
      <c r="D24" s="102">
        <v>84.581129259999997</v>
      </c>
      <c r="E24" s="102">
        <v>3</v>
      </c>
      <c r="F24" s="102">
        <v>1.2269989740000001E-2</v>
      </c>
      <c r="G24" s="102">
        <v>3.78</v>
      </c>
      <c r="H24" s="102">
        <v>1.6666666670000001</v>
      </c>
      <c r="I24" s="102">
        <v>2</v>
      </c>
      <c r="J24" s="102">
        <v>2.3333333330000001</v>
      </c>
      <c r="K24" s="102">
        <v>15</v>
      </c>
      <c r="L24" s="102">
        <v>5</v>
      </c>
      <c r="M24" s="102">
        <v>6.1349948690000003E-2</v>
      </c>
      <c r="N24" s="102">
        <v>11.66666667</v>
      </c>
      <c r="O24" s="102">
        <v>15.8</v>
      </c>
      <c r="P24" s="102">
        <v>15.11111111</v>
      </c>
      <c r="Q24" s="102"/>
      <c r="R24" s="102"/>
      <c r="S24" s="102"/>
      <c r="T24" s="102"/>
      <c r="U24" s="102"/>
      <c r="V24" s="102"/>
      <c r="W24" s="102"/>
      <c r="X24" s="102"/>
      <c r="Y24" s="102"/>
      <c r="Z24" s="102"/>
    </row>
    <row r="25" spans="1:26" ht="15.75" customHeight="1" x14ac:dyDescent="0.55000000000000004">
      <c r="A25" s="102">
        <v>1989</v>
      </c>
      <c r="B25" s="236">
        <v>246819230</v>
      </c>
      <c r="C25" s="236">
        <v>21500</v>
      </c>
      <c r="D25" s="102">
        <v>87.108285690000002</v>
      </c>
      <c r="E25" s="102">
        <v>2</v>
      </c>
      <c r="F25" s="102">
        <v>8.1030963430000005E-3</v>
      </c>
      <c r="G25" s="102">
        <v>3.89</v>
      </c>
      <c r="H25" s="102">
        <v>2</v>
      </c>
      <c r="I25" s="102">
        <v>1.6</v>
      </c>
      <c r="J25" s="99">
        <v>2.2999999999999998</v>
      </c>
      <c r="K25" s="102">
        <v>14</v>
      </c>
      <c r="L25" s="102">
        <v>7</v>
      </c>
      <c r="M25" s="102">
        <v>5.6721674399999998E-2</v>
      </c>
      <c r="N25" s="102">
        <v>11.66666667</v>
      </c>
      <c r="O25" s="102">
        <v>10.6</v>
      </c>
      <c r="P25" s="99">
        <v>15</v>
      </c>
      <c r="Q25" s="102"/>
      <c r="R25" s="102"/>
      <c r="S25" s="102"/>
      <c r="T25" s="102"/>
      <c r="U25" s="102"/>
      <c r="V25" s="102"/>
      <c r="W25" s="102"/>
      <c r="X25" s="102"/>
      <c r="Y25" s="102"/>
      <c r="Z25" s="102"/>
    </row>
    <row r="26" spans="1:26" ht="15.75" customHeight="1" x14ac:dyDescent="0.55000000000000004">
      <c r="A26" s="102">
        <v>1990</v>
      </c>
      <c r="B26" s="236">
        <v>249464396</v>
      </c>
      <c r="C26" s="236">
        <v>23440</v>
      </c>
      <c r="D26" s="102">
        <v>93.961304200000001</v>
      </c>
      <c r="E26" s="102">
        <v>1</v>
      </c>
      <c r="F26" s="102">
        <v>4.0085880629999997E-3</v>
      </c>
      <c r="G26" s="102">
        <v>4</v>
      </c>
      <c r="H26" s="102">
        <v>2</v>
      </c>
      <c r="I26" s="102">
        <v>1.6</v>
      </c>
      <c r="J26" s="102">
        <v>2.1</v>
      </c>
      <c r="K26" s="102">
        <v>11</v>
      </c>
      <c r="L26" s="102">
        <v>11</v>
      </c>
      <c r="M26" s="102">
        <v>4.40944687E-2</v>
      </c>
      <c r="N26" s="102">
        <v>13.33333333</v>
      </c>
      <c r="O26" s="102">
        <v>12</v>
      </c>
      <c r="P26" s="102">
        <v>14.7</v>
      </c>
      <c r="Q26" s="102"/>
      <c r="R26" s="102"/>
      <c r="S26" s="102"/>
      <c r="T26" s="102"/>
      <c r="U26" s="102"/>
      <c r="V26" s="102"/>
      <c r="W26" s="102"/>
      <c r="X26" s="102"/>
      <c r="Y26" s="102"/>
      <c r="Z26" s="102"/>
    </row>
    <row r="27" spans="1:26" ht="15.75" customHeight="1" x14ac:dyDescent="0.55000000000000004">
      <c r="A27" s="102">
        <v>1991</v>
      </c>
      <c r="B27" s="236">
        <v>252153092</v>
      </c>
      <c r="C27" s="236">
        <v>24700</v>
      </c>
      <c r="D27" s="102">
        <v>97.956363749999994</v>
      </c>
      <c r="E27" s="102">
        <v>5</v>
      </c>
      <c r="F27" s="102">
        <v>1.9829223430000001E-2</v>
      </c>
      <c r="G27" s="102">
        <v>4.12</v>
      </c>
      <c r="H27" s="102">
        <v>2.6666666669999999</v>
      </c>
      <c r="I27" s="102">
        <v>2.4</v>
      </c>
      <c r="J27" s="102">
        <v>2.4</v>
      </c>
      <c r="K27" s="102">
        <v>40</v>
      </c>
      <c r="L27" s="102">
        <v>8</v>
      </c>
      <c r="M27" s="102">
        <v>0.1586337874</v>
      </c>
      <c r="N27" s="102">
        <v>21.666666670000001</v>
      </c>
      <c r="O27" s="102">
        <v>17.2</v>
      </c>
      <c r="P27" s="102">
        <v>17.8</v>
      </c>
      <c r="Q27" s="102"/>
      <c r="R27" s="102"/>
      <c r="S27" s="102"/>
      <c r="T27" s="102"/>
      <c r="U27" s="102"/>
      <c r="V27" s="102"/>
      <c r="W27" s="102"/>
      <c r="X27" s="102"/>
      <c r="Y27" s="102"/>
      <c r="Z27" s="102"/>
    </row>
    <row r="28" spans="1:26" ht="15.75" customHeight="1" x14ac:dyDescent="0.55000000000000004">
      <c r="A28" s="102">
        <v>1992</v>
      </c>
      <c r="B28" s="236">
        <v>255029699</v>
      </c>
      <c r="C28" s="236">
        <v>23760</v>
      </c>
      <c r="D28" s="102">
        <v>93.165619899999996</v>
      </c>
      <c r="E28" s="102">
        <v>4</v>
      </c>
      <c r="F28" s="102">
        <v>1.568444779E-2</v>
      </c>
      <c r="G28" s="102">
        <v>4.24</v>
      </c>
      <c r="H28" s="102">
        <v>3.3333333330000001</v>
      </c>
      <c r="I28" s="102">
        <v>3</v>
      </c>
      <c r="J28" s="102">
        <v>2.5</v>
      </c>
      <c r="K28" s="102">
        <v>18</v>
      </c>
      <c r="L28" s="102">
        <v>4.5</v>
      </c>
      <c r="M28" s="102">
        <v>7.0580015080000003E-2</v>
      </c>
      <c r="N28" s="102">
        <v>23</v>
      </c>
      <c r="O28" s="102">
        <v>19.600000000000001</v>
      </c>
      <c r="P28" s="102">
        <v>17.8</v>
      </c>
      <c r="Q28" s="102"/>
      <c r="R28" s="102"/>
      <c r="S28" s="102"/>
      <c r="T28" s="102"/>
      <c r="U28" s="102"/>
      <c r="V28" s="102"/>
      <c r="W28" s="102"/>
      <c r="X28" s="102"/>
      <c r="Y28" s="102"/>
      <c r="Z28" s="102"/>
    </row>
    <row r="29" spans="1:26" ht="15.75" customHeight="1" x14ac:dyDescent="0.55000000000000004">
      <c r="A29" s="102">
        <v>1993</v>
      </c>
      <c r="B29" s="236">
        <v>257782608</v>
      </c>
      <c r="C29" s="236">
        <v>24530</v>
      </c>
      <c r="D29" s="102">
        <v>95.157699699999995</v>
      </c>
      <c r="E29" s="102">
        <v>6</v>
      </c>
      <c r="F29" s="102">
        <v>2.327542594E-2</v>
      </c>
      <c r="G29" s="102">
        <v>4.37</v>
      </c>
      <c r="H29" s="102">
        <v>5</v>
      </c>
      <c r="I29" s="102">
        <v>3.6</v>
      </c>
      <c r="J29" s="102">
        <v>2.8</v>
      </c>
      <c r="K29" s="102">
        <v>30</v>
      </c>
      <c r="L29" s="102">
        <v>5</v>
      </c>
      <c r="M29" s="102">
        <v>0.1163771297</v>
      </c>
      <c r="N29" s="102">
        <v>29.333333329999999</v>
      </c>
      <c r="O29" s="102">
        <v>22.6</v>
      </c>
      <c r="P29" s="102">
        <v>19.2</v>
      </c>
      <c r="Q29" s="102"/>
      <c r="R29" s="102"/>
      <c r="S29" s="102"/>
      <c r="T29" s="102"/>
      <c r="U29" s="102"/>
      <c r="V29" s="102"/>
      <c r="W29" s="102"/>
      <c r="X29" s="102"/>
      <c r="Y29" s="102"/>
      <c r="Z29" s="102"/>
    </row>
    <row r="30" spans="1:26" ht="15.75" customHeight="1" x14ac:dyDescent="0.55000000000000004">
      <c r="A30" s="102">
        <v>1994</v>
      </c>
      <c r="B30" s="236">
        <v>260327021</v>
      </c>
      <c r="C30" s="236">
        <v>23330</v>
      </c>
      <c r="D30" s="102">
        <v>89.618050060000002</v>
      </c>
      <c r="E30" s="102">
        <v>2</v>
      </c>
      <c r="F30" s="102">
        <v>7.6826446690000001E-3</v>
      </c>
      <c r="G30" s="102">
        <v>4.5</v>
      </c>
      <c r="H30" s="102">
        <v>4</v>
      </c>
      <c r="I30" s="102">
        <v>3.6</v>
      </c>
      <c r="J30" s="102">
        <v>2.6</v>
      </c>
      <c r="K30" s="102">
        <v>9</v>
      </c>
      <c r="L30" s="102">
        <v>4.5</v>
      </c>
      <c r="M30" s="102">
        <v>3.4571901010000003E-2</v>
      </c>
      <c r="N30" s="102">
        <v>19</v>
      </c>
      <c r="O30" s="102">
        <v>21.6</v>
      </c>
      <c r="P30" s="102">
        <v>16.100000000000001</v>
      </c>
      <c r="Q30" s="102"/>
      <c r="R30" s="102"/>
      <c r="S30" s="102"/>
      <c r="T30" s="102"/>
      <c r="U30" s="102"/>
      <c r="V30" s="102"/>
      <c r="W30" s="102"/>
      <c r="X30" s="102"/>
      <c r="Y30" s="102"/>
      <c r="Z30" s="102"/>
    </row>
    <row r="31" spans="1:26" ht="15.75" customHeight="1" x14ac:dyDescent="0.55000000000000004">
      <c r="A31" s="102">
        <v>1995</v>
      </c>
      <c r="B31" s="236">
        <v>262803276</v>
      </c>
      <c r="C31" s="236">
        <v>21610</v>
      </c>
      <c r="D31" s="102">
        <v>82.228807529999997</v>
      </c>
      <c r="E31" s="102">
        <v>3</v>
      </c>
      <c r="F31" s="102">
        <v>1.1415382809999999E-2</v>
      </c>
      <c r="G31" s="102">
        <v>4.63</v>
      </c>
      <c r="H31" s="102">
        <v>3.6666666669999999</v>
      </c>
      <c r="I31" s="102">
        <v>4</v>
      </c>
      <c r="J31" s="102">
        <v>2.8</v>
      </c>
      <c r="K31" s="102">
        <v>14</v>
      </c>
      <c r="L31" s="102">
        <v>4.6666666670000003</v>
      </c>
      <c r="M31" s="102">
        <v>5.3271786459999998E-2</v>
      </c>
      <c r="N31" s="102">
        <v>17.666666670000001</v>
      </c>
      <c r="O31" s="102">
        <v>22.2</v>
      </c>
      <c r="P31" s="102">
        <v>17.100000000000001</v>
      </c>
      <c r="Q31" s="102"/>
      <c r="R31" s="102"/>
      <c r="S31" s="102"/>
      <c r="T31" s="102"/>
      <c r="U31" s="102"/>
      <c r="V31" s="102"/>
      <c r="W31" s="102"/>
      <c r="X31" s="102"/>
      <c r="Y31" s="102"/>
      <c r="Z31" s="102"/>
    </row>
    <row r="32" spans="1:26" ht="15.75" customHeight="1" x14ac:dyDescent="0.55000000000000004">
      <c r="A32" s="102">
        <v>1996</v>
      </c>
      <c r="B32" s="236">
        <v>265228572</v>
      </c>
      <c r="C32" s="236">
        <v>19650</v>
      </c>
      <c r="D32" s="102">
        <v>74.087040669999993</v>
      </c>
      <c r="E32" s="102">
        <v>2</v>
      </c>
      <c r="F32" s="102">
        <v>7.5406657170000004E-3</v>
      </c>
      <c r="G32" s="102">
        <v>4.76</v>
      </c>
      <c r="H32" s="102">
        <v>2.3333333330000001</v>
      </c>
      <c r="I32" s="102">
        <v>3.4</v>
      </c>
      <c r="J32" s="102">
        <v>2.9</v>
      </c>
      <c r="K32" s="102">
        <v>10</v>
      </c>
      <c r="L32" s="102">
        <v>5</v>
      </c>
      <c r="M32" s="102">
        <v>3.7703328580000001E-2</v>
      </c>
      <c r="N32" s="102">
        <v>11</v>
      </c>
      <c r="O32" s="102">
        <v>16.2</v>
      </c>
      <c r="P32" s="102">
        <v>16.7</v>
      </c>
      <c r="Q32" s="102"/>
      <c r="R32" s="102"/>
      <c r="S32" s="102"/>
      <c r="T32" s="102"/>
      <c r="U32" s="102"/>
      <c r="V32" s="102"/>
      <c r="W32" s="102"/>
      <c r="X32" s="102"/>
      <c r="Y32" s="102"/>
      <c r="Z32" s="102"/>
    </row>
    <row r="33" spans="1:26" ht="15.75" customHeight="1" x14ac:dyDescent="0.55000000000000004">
      <c r="A33" s="102">
        <v>1997</v>
      </c>
      <c r="B33" s="236">
        <v>267783607</v>
      </c>
      <c r="C33" s="236">
        <v>18208</v>
      </c>
      <c r="D33" s="102">
        <v>67.995200319999995</v>
      </c>
      <c r="E33" s="102">
        <v>4</v>
      </c>
      <c r="F33" s="102">
        <v>1.4937434160000001E-2</v>
      </c>
      <c r="G33" s="102">
        <v>4.9000000000000004</v>
      </c>
      <c r="H33" s="102">
        <v>3</v>
      </c>
      <c r="I33" s="102">
        <v>3.4</v>
      </c>
      <c r="J33" s="102">
        <v>3.2</v>
      </c>
      <c r="K33" s="102">
        <v>16</v>
      </c>
      <c r="L33" s="102">
        <v>4</v>
      </c>
      <c r="M33" s="102">
        <v>5.9749736659999997E-2</v>
      </c>
      <c r="N33" s="102">
        <v>13.33333333</v>
      </c>
      <c r="O33" s="102">
        <v>15.8</v>
      </c>
      <c r="P33" s="102">
        <v>17.7</v>
      </c>
      <c r="Q33" s="102"/>
      <c r="R33" s="102"/>
      <c r="S33" s="102"/>
      <c r="T33" s="102"/>
      <c r="U33" s="102"/>
      <c r="V33" s="102"/>
      <c r="W33" s="102"/>
      <c r="X33" s="102"/>
      <c r="Y33" s="102"/>
      <c r="Z33" s="102"/>
    </row>
    <row r="34" spans="1:26" ht="15.75" customHeight="1" x14ac:dyDescent="0.55000000000000004">
      <c r="A34" s="102">
        <v>1998</v>
      </c>
      <c r="B34" s="236">
        <v>270248003</v>
      </c>
      <c r="C34" s="236">
        <v>16914</v>
      </c>
      <c r="D34" s="102">
        <v>62.586956469999997</v>
      </c>
      <c r="E34" s="102">
        <v>3</v>
      </c>
      <c r="F34" s="102">
        <v>1.110091459E-2</v>
      </c>
      <c r="G34" s="102">
        <v>5.05</v>
      </c>
      <c r="H34" s="102">
        <v>3</v>
      </c>
      <c r="I34" s="102">
        <v>2.8</v>
      </c>
      <c r="J34" s="102">
        <v>3.2</v>
      </c>
      <c r="K34" s="102">
        <v>13</v>
      </c>
      <c r="L34" s="102">
        <v>4.3333333329999997</v>
      </c>
      <c r="M34" s="102">
        <v>4.8103963229999998E-2</v>
      </c>
      <c r="N34" s="102">
        <v>13</v>
      </c>
      <c r="O34" s="102">
        <v>12.4</v>
      </c>
      <c r="P34" s="102">
        <v>17.5</v>
      </c>
      <c r="Q34" s="102"/>
      <c r="R34" s="102"/>
      <c r="S34" s="102"/>
      <c r="T34" s="102"/>
      <c r="U34" s="102"/>
      <c r="V34" s="102"/>
      <c r="W34" s="102"/>
      <c r="X34" s="102"/>
      <c r="Y34" s="102"/>
      <c r="Z34" s="102"/>
    </row>
    <row r="35" spans="1:26" ht="15.75" customHeight="1" x14ac:dyDescent="0.55000000000000004">
      <c r="A35" s="102">
        <v>1999</v>
      </c>
      <c r="B35" s="236">
        <v>272690813</v>
      </c>
      <c r="C35" s="236">
        <v>15522</v>
      </c>
      <c r="D35" s="102">
        <v>56.921609599999996</v>
      </c>
      <c r="E35" s="102">
        <v>7</v>
      </c>
      <c r="F35" s="102">
        <v>2.567009839E-2</v>
      </c>
      <c r="G35" s="102">
        <v>5.19</v>
      </c>
      <c r="H35" s="102">
        <v>4.6666666670000003</v>
      </c>
      <c r="I35" s="102">
        <v>3.8</v>
      </c>
      <c r="J35" s="99">
        <v>3.7</v>
      </c>
      <c r="K35" s="102">
        <v>52</v>
      </c>
      <c r="L35" s="102">
        <v>7.4285714289999998</v>
      </c>
      <c r="M35" s="102">
        <v>0.19069215950000001</v>
      </c>
      <c r="N35" s="102">
        <v>27</v>
      </c>
      <c r="O35" s="102">
        <v>21</v>
      </c>
      <c r="P35" s="99">
        <v>21.3</v>
      </c>
      <c r="Q35" s="102"/>
      <c r="R35" s="102"/>
      <c r="S35" s="102"/>
      <c r="T35" s="102"/>
      <c r="U35" s="102"/>
      <c r="V35" s="102"/>
      <c r="W35" s="102"/>
      <c r="X35" s="102"/>
      <c r="Y35" s="102"/>
      <c r="Z35" s="102"/>
    </row>
    <row r="36" spans="1:26" ht="15.75" customHeight="1" x14ac:dyDescent="0.55000000000000004">
      <c r="A36" s="102">
        <v>2000</v>
      </c>
      <c r="B36" s="236">
        <v>281421906</v>
      </c>
      <c r="C36" s="236">
        <v>15586</v>
      </c>
      <c r="D36" s="102">
        <v>55.383037590000001</v>
      </c>
      <c r="E36" s="102">
        <v>3</v>
      </c>
      <c r="F36" s="102">
        <v>1.0660150950000001E-2</v>
      </c>
      <c r="G36" s="102">
        <v>5.35</v>
      </c>
      <c r="H36" s="102">
        <v>4.3333333329999997</v>
      </c>
      <c r="I36" s="102">
        <v>3.8</v>
      </c>
      <c r="J36" s="102">
        <v>3.9</v>
      </c>
      <c r="K36" s="102">
        <v>17</v>
      </c>
      <c r="L36" s="102">
        <v>5.6666666670000003</v>
      </c>
      <c r="M36" s="102">
        <v>6.0407522079999998E-2</v>
      </c>
      <c r="N36" s="102">
        <v>27.333333329999999</v>
      </c>
      <c r="O36" s="102">
        <v>21.6</v>
      </c>
      <c r="P36" s="102">
        <v>21.9</v>
      </c>
      <c r="Q36" s="102"/>
      <c r="R36" s="102"/>
      <c r="S36" s="102"/>
      <c r="T36" s="102"/>
      <c r="U36" s="102"/>
      <c r="V36" s="102"/>
      <c r="W36" s="102"/>
      <c r="X36" s="102"/>
      <c r="Y36" s="102"/>
      <c r="Z36" s="102"/>
    </row>
    <row r="37" spans="1:26" ht="15.75" customHeight="1" x14ac:dyDescent="0.55000000000000004">
      <c r="A37" s="102">
        <v>2001</v>
      </c>
      <c r="B37" s="236">
        <v>285317559</v>
      </c>
      <c r="C37" s="236">
        <v>16037</v>
      </c>
      <c r="D37" s="102">
        <v>56.207546620000002</v>
      </c>
      <c r="E37" s="102">
        <v>4</v>
      </c>
      <c r="F37" s="102">
        <v>1.401946664E-2</v>
      </c>
      <c r="G37" s="102">
        <v>5.5</v>
      </c>
      <c r="H37" s="102">
        <v>4.6666666670000003</v>
      </c>
      <c r="I37" s="102">
        <v>4.2</v>
      </c>
      <c r="J37" s="102">
        <v>3.8</v>
      </c>
      <c r="K37" s="102">
        <v>17</v>
      </c>
      <c r="L37" s="102">
        <v>4.25</v>
      </c>
      <c r="M37" s="102">
        <v>5.9582733220000003E-2</v>
      </c>
      <c r="N37" s="102">
        <v>28.666666670000001</v>
      </c>
      <c r="O37" s="102">
        <v>23</v>
      </c>
      <c r="P37" s="102">
        <v>19.600000000000001</v>
      </c>
      <c r="Q37" s="102"/>
      <c r="R37" s="102"/>
      <c r="S37" s="102"/>
      <c r="T37" s="102"/>
      <c r="U37" s="102"/>
      <c r="V37" s="102"/>
      <c r="W37" s="102"/>
      <c r="X37" s="102"/>
      <c r="Y37" s="102"/>
      <c r="Z37" s="102"/>
    </row>
    <row r="38" spans="1:26" ht="15.75" customHeight="1" x14ac:dyDescent="0.55000000000000004">
      <c r="A38" s="102">
        <v>2002</v>
      </c>
      <c r="B38" s="236">
        <v>287973924</v>
      </c>
      <c r="C38" s="236">
        <v>16229</v>
      </c>
      <c r="D38" s="102">
        <v>56.355796990000002</v>
      </c>
      <c r="E38" s="102">
        <v>1</v>
      </c>
      <c r="F38" s="102">
        <v>3.4725366310000001E-3</v>
      </c>
      <c r="G38" s="102">
        <v>5.67</v>
      </c>
      <c r="H38" s="102">
        <v>2.6666666669999999</v>
      </c>
      <c r="I38" s="102">
        <v>3.6</v>
      </c>
      <c r="J38" s="102">
        <v>3.5</v>
      </c>
      <c r="K38" s="102">
        <v>4</v>
      </c>
      <c r="L38" s="102">
        <v>4</v>
      </c>
      <c r="M38" s="102">
        <v>1.389014653E-2</v>
      </c>
      <c r="N38" s="102">
        <v>12.66666667</v>
      </c>
      <c r="O38" s="102">
        <v>20.6</v>
      </c>
      <c r="P38" s="102">
        <v>18.2</v>
      </c>
      <c r="Q38" s="102"/>
      <c r="R38" s="102"/>
      <c r="S38" s="102"/>
      <c r="T38" s="102"/>
      <c r="U38" s="102"/>
      <c r="V38" s="102"/>
      <c r="W38" s="102"/>
      <c r="X38" s="102"/>
      <c r="Y38" s="102"/>
      <c r="Z38" s="102"/>
    </row>
    <row r="39" spans="1:26" ht="15.75" customHeight="1" x14ac:dyDescent="0.55000000000000004">
      <c r="A39" s="102">
        <v>2003</v>
      </c>
      <c r="B39" s="236">
        <v>290788976</v>
      </c>
      <c r="C39" s="236">
        <v>16528</v>
      </c>
      <c r="D39" s="102">
        <v>56.838468319999997</v>
      </c>
      <c r="E39" s="102">
        <v>4</v>
      </c>
      <c r="F39" s="102">
        <v>1.375567965E-2</v>
      </c>
      <c r="G39" s="102">
        <v>5.83</v>
      </c>
      <c r="H39" s="102">
        <v>3</v>
      </c>
      <c r="I39" s="102">
        <v>3.8</v>
      </c>
      <c r="J39" s="102">
        <v>3.3</v>
      </c>
      <c r="K39" s="102">
        <v>20</v>
      </c>
      <c r="L39" s="102">
        <v>5</v>
      </c>
      <c r="M39" s="102">
        <v>6.8778398259999998E-2</v>
      </c>
      <c r="N39" s="102">
        <v>13.66666667</v>
      </c>
      <c r="O39" s="102">
        <v>22</v>
      </c>
      <c r="P39" s="102">
        <v>17.2</v>
      </c>
      <c r="Q39" s="102"/>
      <c r="R39" s="102"/>
      <c r="S39" s="102"/>
      <c r="T39" s="102"/>
      <c r="U39" s="102"/>
      <c r="V39" s="102"/>
      <c r="W39" s="102"/>
      <c r="X39" s="102"/>
      <c r="Y39" s="102"/>
      <c r="Z39" s="102"/>
    </row>
    <row r="40" spans="1:26" ht="15.75" customHeight="1" x14ac:dyDescent="0.55000000000000004">
      <c r="A40" s="102">
        <v>2004</v>
      </c>
      <c r="B40" s="236">
        <v>293656842</v>
      </c>
      <c r="C40" s="236">
        <v>16148</v>
      </c>
      <c r="D40" s="102">
        <v>54.989353870000002</v>
      </c>
      <c r="E40" s="102">
        <v>3</v>
      </c>
      <c r="F40" s="102">
        <v>1.02160058E-2</v>
      </c>
      <c r="G40" s="102">
        <v>6</v>
      </c>
      <c r="H40" s="102">
        <v>2.6666666669999999</v>
      </c>
      <c r="I40" s="102">
        <v>3</v>
      </c>
      <c r="J40" s="102">
        <v>3.4</v>
      </c>
      <c r="K40" s="102">
        <v>16</v>
      </c>
      <c r="L40" s="102">
        <v>5.3333333329999997</v>
      </c>
      <c r="M40" s="102">
        <v>5.4485364250000001E-2</v>
      </c>
      <c r="N40" s="102">
        <v>13.33333333</v>
      </c>
      <c r="O40" s="102">
        <v>14.8</v>
      </c>
      <c r="P40" s="102">
        <v>17.899999999999999</v>
      </c>
      <c r="Q40" s="102"/>
      <c r="R40" s="102"/>
      <c r="S40" s="102"/>
      <c r="T40" s="102"/>
      <c r="U40" s="102"/>
      <c r="V40" s="102"/>
      <c r="W40" s="102"/>
      <c r="X40" s="102"/>
      <c r="Y40" s="102"/>
      <c r="Z40" s="102"/>
    </row>
    <row r="41" spans="1:26" ht="15.75" customHeight="1" x14ac:dyDescent="0.55000000000000004">
      <c r="A41" s="102">
        <v>2005</v>
      </c>
      <c r="B41" s="236">
        <v>296507061</v>
      </c>
      <c r="C41" s="236">
        <v>16740</v>
      </c>
      <c r="D41" s="102">
        <v>56.45734015</v>
      </c>
      <c r="E41" s="102">
        <v>4</v>
      </c>
      <c r="F41" s="102">
        <v>1.349040386E-2</v>
      </c>
      <c r="G41" s="102">
        <v>6.18</v>
      </c>
      <c r="H41" s="102">
        <v>3.6666666669999999</v>
      </c>
      <c r="I41" s="102">
        <v>3.2</v>
      </c>
      <c r="J41" s="102">
        <v>3.5</v>
      </c>
      <c r="K41" s="102">
        <v>24</v>
      </c>
      <c r="L41" s="102">
        <v>6</v>
      </c>
      <c r="M41" s="102">
        <v>8.0942423159999999E-2</v>
      </c>
      <c r="N41" s="102">
        <v>20</v>
      </c>
      <c r="O41" s="102">
        <v>16.2</v>
      </c>
      <c r="P41" s="102">
        <v>18.899999999999999</v>
      </c>
      <c r="Q41" s="102"/>
      <c r="R41" s="102"/>
      <c r="S41" s="102"/>
      <c r="T41" s="102"/>
      <c r="U41" s="102"/>
      <c r="V41" s="102"/>
      <c r="W41" s="102"/>
      <c r="X41" s="102"/>
      <c r="Y41" s="102"/>
      <c r="Z41" s="102"/>
    </row>
    <row r="42" spans="1:26" ht="15.75" customHeight="1" x14ac:dyDescent="0.55000000000000004">
      <c r="A42" s="102">
        <v>2006</v>
      </c>
      <c r="B42" s="236">
        <v>299398484</v>
      </c>
      <c r="C42" s="236">
        <v>17030</v>
      </c>
      <c r="D42" s="102">
        <v>56.880715530000003</v>
      </c>
      <c r="E42" s="102">
        <v>4</v>
      </c>
      <c r="F42" s="102">
        <v>1.336012109E-2</v>
      </c>
      <c r="G42" s="102">
        <v>6.36</v>
      </c>
      <c r="H42" s="102">
        <v>3.6666666669999999</v>
      </c>
      <c r="I42" s="102">
        <v>3.2</v>
      </c>
      <c r="J42" s="102">
        <v>3.7</v>
      </c>
      <c r="K42" s="102">
        <v>23</v>
      </c>
      <c r="L42" s="102">
        <v>5.75</v>
      </c>
      <c r="M42" s="102">
        <v>7.6820696260000002E-2</v>
      </c>
      <c r="N42" s="102">
        <v>21</v>
      </c>
      <c r="O42" s="102">
        <v>17.399999999999999</v>
      </c>
      <c r="P42" s="102">
        <v>20.2</v>
      </c>
      <c r="Q42" s="102"/>
      <c r="R42" s="102"/>
      <c r="S42" s="102"/>
      <c r="T42" s="102"/>
      <c r="U42" s="102"/>
      <c r="V42" s="102"/>
      <c r="W42" s="102"/>
      <c r="X42" s="102"/>
      <c r="Y42" s="102"/>
      <c r="Z42" s="102"/>
    </row>
    <row r="43" spans="1:26" ht="15.75" customHeight="1" x14ac:dyDescent="0.55000000000000004">
      <c r="A43" s="102">
        <v>2007</v>
      </c>
      <c r="B43" s="236">
        <v>301621157</v>
      </c>
      <c r="C43" s="236">
        <v>16929</v>
      </c>
      <c r="D43" s="102">
        <v>56.126699360000003</v>
      </c>
      <c r="E43" s="102">
        <v>4</v>
      </c>
      <c r="F43" s="102">
        <v>1.326166917E-2</v>
      </c>
      <c r="G43" s="102">
        <v>6.55</v>
      </c>
      <c r="H43" s="102">
        <v>4</v>
      </c>
      <c r="I43" s="102">
        <v>3.8</v>
      </c>
      <c r="J43" s="102">
        <v>3.7</v>
      </c>
      <c r="K43" s="102">
        <v>49</v>
      </c>
      <c r="L43" s="102">
        <v>12.25</v>
      </c>
      <c r="M43" s="102">
        <v>0.16245544740000001</v>
      </c>
      <c r="N43" s="102">
        <v>32</v>
      </c>
      <c r="O43" s="102">
        <v>26.4</v>
      </c>
      <c r="P43" s="102">
        <v>23.5</v>
      </c>
      <c r="Q43" s="102"/>
      <c r="R43" s="102"/>
      <c r="S43" s="102"/>
      <c r="T43" s="102"/>
      <c r="U43" s="102"/>
      <c r="V43" s="102"/>
      <c r="W43" s="102"/>
      <c r="X43" s="102"/>
      <c r="Y43" s="102"/>
      <c r="Z43" s="102"/>
    </row>
    <row r="44" spans="1:26" ht="15.75" customHeight="1" x14ac:dyDescent="0.55000000000000004">
      <c r="A44" s="102">
        <v>2008</v>
      </c>
      <c r="B44" s="236">
        <v>304059724</v>
      </c>
      <c r="C44" s="236">
        <v>16442</v>
      </c>
      <c r="D44" s="102">
        <v>54.074902729999998</v>
      </c>
      <c r="E44" s="102">
        <v>5</v>
      </c>
      <c r="F44" s="102">
        <v>1.6444137800000001E-2</v>
      </c>
      <c r="G44" s="102">
        <v>6.74</v>
      </c>
      <c r="H44" s="102">
        <v>4.3333333329999997</v>
      </c>
      <c r="I44" s="102">
        <v>4</v>
      </c>
      <c r="J44" s="102">
        <v>3.9</v>
      </c>
      <c r="K44" s="102">
        <v>26</v>
      </c>
      <c r="L44" s="102">
        <v>5.2</v>
      </c>
      <c r="M44" s="102">
        <v>8.5509516539999997E-2</v>
      </c>
      <c r="N44" s="102">
        <v>32.666666669999998</v>
      </c>
      <c r="O44" s="102">
        <v>27.6</v>
      </c>
      <c r="P44" s="102">
        <v>24.8</v>
      </c>
      <c r="Q44" s="102"/>
      <c r="R44" s="102"/>
      <c r="S44" s="102"/>
      <c r="T44" s="102"/>
      <c r="U44" s="102"/>
      <c r="V44" s="102"/>
      <c r="W44" s="102"/>
      <c r="X44" s="102"/>
      <c r="Y44" s="102"/>
      <c r="Z44" s="102"/>
    </row>
    <row r="45" spans="1:26" ht="15.75" customHeight="1" x14ac:dyDescent="0.55000000000000004">
      <c r="A45" s="102">
        <v>2009</v>
      </c>
      <c r="B45" s="236">
        <v>307006550</v>
      </c>
      <c r="C45" s="236">
        <v>15399</v>
      </c>
      <c r="D45" s="102">
        <v>50.158538960000001</v>
      </c>
      <c r="E45" s="102">
        <v>5</v>
      </c>
      <c r="F45" s="102">
        <v>1.6286297469999999E-2</v>
      </c>
      <c r="G45" s="102">
        <v>6.94</v>
      </c>
      <c r="H45" s="102">
        <v>4.6666666670000003</v>
      </c>
      <c r="I45" s="102">
        <v>4.4000000000000004</v>
      </c>
      <c r="J45" s="99">
        <v>3.7</v>
      </c>
      <c r="K45" s="102">
        <v>42</v>
      </c>
      <c r="L45" s="102">
        <v>8.4</v>
      </c>
      <c r="M45" s="102">
        <v>0.13680489879999999</v>
      </c>
      <c r="N45" s="102">
        <v>39</v>
      </c>
      <c r="O45" s="102">
        <v>32.799999999999997</v>
      </c>
      <c r="P45" s="99">
        <v>23.8</v>
      </c>
      <c r="Q45" s="102"/>
      <c r="R45" s="102"/>
      <c r="S45" s="102"/>
      <c r="T45" s="102"/>
      <c r="U45" s="102"/>
      <c r="V45" s="102"/>
      <c r="W45" s="102"/>
      <c r="X45" s="102"/>
      <c r="Y45" s="102"/>
      <c r="Z45" s="102"/>
    </row>
    <row r="46" spans="1:26" ht="15.75" customHeight="1" x14ac:dyDescent="0.55000000000000004">
      <c r="A46" s="102">
        <v>2010</v>
      </c>
      <c r="B46" s="236">
        <v>309330219</v>
      </c>
      <c r="C46" s="236">
        <v>14772</v>
      </c>
      <c r="D46" s="102">
        <v>47.754791130000001</v>
      </c>
      <c r="E46" s="102">
        <v>5</v>
      </c>
      <c r="F46" s="102">
        <v>1.6163955840000001E-2</v>
      </c>
      <c r="G46" s="102">
        <v>7.14</v>
      </c>
      <c r="H46" s="102">
        <v>5</v>
      </c>
      <c r="I46" s="102">
        <v>4.5999999999999996</v>
      </c>
      <c r="J46" s="102">
        <v>3.9</v>
      </c>
      <c r="K46" s="102">
        <v>25</v>
      </c>
      <c r="L46" s="102">
        <v>5</v>
      </c>
      <c r="M46" s="102">
        <v>8.0819779199999997E-2</v>
      </c>
      <c r="N46" s="102">
        <v>31</v>
      </c>
      <c r="O46" s="102">
        <v>33</v>
      </c>
      <c r="P46" s="102">
        <v>24.6</v>
      </c>
      <c r="Q46" s="102"/>
      <c r="R46" s="102"/>
      <c r="S46" s="102"/>
      <c r="T46" s="102"/>
      <c r="U46" s="102"/>
      <c r="V46" s="102"/>
      <c r="W46" s="102"/>
      <c r="X46" s="102"/>
      <c r="Y46" s="102"/>
      <c r="Z46" s="102"/>
    </row>
    <row r="47" spans="1:26" ht="15.75" customHeight="1" x14ac:dyDescent="0.55000000000000004">
      <c r="A47" s="102">
        <v>2011</v>
      </c>
      <c r="B47" s="236">
        <v>311580009</v>
      </c>
      <c r="C47" s="236">
        <v>14661</v>
      </c>
      <c r="D47" s="102">
        <v>47.053724809999999</v>
      </c>
      <c r="E47" s="102">
        <v>4</v>
      </c>
      <c r="F47" s="102">
        <v>1.2837794099999999E-2</v>
      </c>
      <c r="G47" s="102">
        <v>7.35</v>
      </c>
      <c r="H47" s="102">
        <v>4.6666666670000003</v>
      </c>
      <c r="I47" s="102">
        <v>4.5999999999999996</v>
      </c>
      <c r="J47" s="102">
        <v>3.9</v>
      </c>
      <c r="K47" s="102">
        <v>25</v>
      </c>
      <c r="L47" s="102">
        <v>6.25</v>
      </c>
      <c r="M47" s="102">
        <v>8.0236213099999995E-2</v>
      </c>
      <c r="N47" s="102">
        <v>30.666666670000001</v>
      </c>
      <c r="O47" s="102">
        <v>33.4</v>
      </c>
      <c r="P47" s="102">
        <v>25.4</v>
      </c>
      <c r="Q47" s="102"/>
      <c r="R47" s="102"/>
      <c r="S47" s="102"/>
      <c r="T47" s="102"/>
      <c r="U47" s="102"/>
      <c r="V47" s="102"/>
      <c r="W47" s="102"/>
      <c r="X47" s="102"/>
      <c r="Y47" s="102"/>
      <c r="Z47" s="102"/>
    </row>
    <row r="48" spans="1:26" ht="15.75" customHeight="1" x14ac:dyDescent="0.55000000000000004">
      <c r="A48" s="102">
        <v>2012</v>
      </c>
      <c r="B48" s="236">
        <v>313874218</v>
      </c>
      <c r="C48" s="236">
        <v>14866</v>
      </c>
      <c r="D48" s="102">
        <v>47.362921669999999</v>
      </c>
      <c r="E48" s="102">
        <v>6</v>
      </c>
      <c r="F48" s="102">
        <v>1.9115937709999999E-2</v>
      </c>
      <c r="G48" s="102">
        <v>7.57</v>
      </c>
      <c r="H48" s="102">
        <v>5</v>
      </c>
      <c r="I48" s="102">
        <v>5</v>
      </c>
      <c r="J48" s="102">
        <v>4.4000000000000004</v>
      </c>
      <c r="K48" s="102">
        <v>63</v>
      </c>
      <c r="L48" s="102">
        <v>10.5</v>
      </c>
      <c r="M48" s="102">
        <v>0.20071734599999999</v>
      </c>
      <c r="N48" s="102">
        <v>37.666666669999998</v>
      </c>
      <c r="O48" s="102">
        <v>36.200000000000003</v>
      </c>
      <c r="P48" s="102">
        <v>31.3</v>
      </c>
      <c r="Q48" s="102"/>
      <c r="R48" s="102"/>
      <c r="S48" s="102"/>
      <c r="T48" s="102"/>
      <c r="U48" s="102"/>
      <c r="V48" s="102"/>
      <c r="W48" s="102"/>
      <c r="X48" s="102"/>
      <c r="Y48" s="102"/>
      <c r="Z48" s="102"/>
    </row>
    <row r="49" spans="1:26" ht="15.75" customHeight="1" x14ac:dyDescent="0.55000000000000004">
      <c r="A49" s="102">
        <v>2013</v>
      </c>
      <c r="B49" s="236">
        <v>316057727</v>
      </c>
      <c r="C49" s="236">
        <v>14319</v>
      </c>
      <c r="D49" s="102">
        <v>45.305014800000002</v>
      </c>
      <c r="E49" s="102">
        <v>5</v>
      </c>
      <c r="F49" s="102">
        <v>1.581989483E-2</v>
      </c>
      <c r="G49" s="102">
        <v>7.79</v>
      </c>
      <c r="H49" s="102">
        <v>5</v>
      </c>
      <c r="I49" s="102">
        <v>5</v>
      </c>
      <c r="J49" s="102">
        <v>4.5</v>
      </c>
      <c r="K49" s="102">
        <v>31</v>
      </c>
      <c r="L49" s="102">
        <v>6.2</v>
      </c>
      <c r="M49" s="102">
        <v>9.8083347919999994E-2</v>
      </c>
      <c r="N49" s="102">
        <v>39.666666669999998</v>
      </c>
      <c r="O49" s="102">
        <v>37.200000000000003</v>
      </c>
      <c r="P49" s="102">
        <v>32.4</v>
      </c>
      <c r="Q49" s="102"/>
      <c r="R49" s="102"/>
      <c r="S49" s="102"/>
      <c r="T49" s="102"/>
      <c r="U49" s="102"/>
      <c r="V49" s="102"/>
      <c r="W49" s="102"/>
      <c r="X49" s="102"/>
      <c r="Y49" s="102"/>
      <c r="Z49" s="102"/>
    </row>
    <row r="50" spans="1:26" ht="15.75" customHeight="1" x14ac:dyDescent="0.55000000000000004">
      <c r="A50" s="102">
        <v>2014</v>
      </c>
      <c r="B50" s="236">
        <v>318386421</v>
      </c>
      <c r="C50" s="236">
        <v>14164</v>
      </c>
      <c r="D50" s="102">
        <v>44.486821880000001</v>
      </c>
      <c r="E50" s="102">
        <v>3</v>
      </c>
      <c r="F50" s="102">
        <v>9.4225123999999993E-3</v>
      </c>
      <c r="G50" s="102">
        <v>8.02</v>
      </c>
      <c r="H50" s="102">
        <v>4.6666666670000003</v>
      </c>
      <c r="I50" s="102">
        <v>4.5999999999999996</v>
      </c>
      <c r="J50" s="102">
        <v>4.5</v>
      </c>
      <c r="K50" s="102">
        <v>14</v>
      </c>
      <c r="L50" s="102">
        <v>4.6666666670000003</v>
      </c>
      <c r="M50" s="102">
        <v>4.397172454E-2</v>
      </c>
      <c r="N50" s="102">
        <v>36</v>
      </c>
      <c r="O50" s="102">
        <v>31.6</v>
      </c>
      <c r="P50" s="102">
        <v>32.200000000000003</v>
      </c>
      <c r="Q50" s="102"/>
      <c r="R50" s="102"/>
      <c r="S50" s="102"/>
      <c r="T50" s="102"/>
      <c r="U50" s="102"/>
      <c r="V50" s="102"/>
      <c r="W50" s="102"/>
      <c r="X50" s="102"/>
      <c r="Y50" s="102"/>
      <c r="Z50" s="102"/>
    </row>
    <row r="51" spans="1:26" ht="15.75" customHeight="1" x14ac:dyDescent="0.55000000000000004">
      <c r="A51" s="102">
        <v>2015</v>
      </c>
      <c r="B51" s="236">
        <v>320742673</v>
      </c>
      <c r="C51" s="236">
        <v>15883</v>
      </c>
      <c r="D51" s="102">
        <v>49.519447640000003</v>
      </c>
      <c r="E51" s="102">
        <v>5</v>
      </c>
      <c r="F51" s="102">
        <v>1.5588820640000001E-2</v>
      </c>
      <c r="G51" s="102">
        <v>8.25</v>
      </c>
      <c r="H51" s="102">
        <v>4.3333333329999997</v>
      </c>
      <c r="I51" s="102">
        <v>4.5999999999999996</v>
      </c>
      <c r="J51" s="102">
        <v>4.5999999999999996</v>
      </c>
      <c r="K51" s="102">
        <v>43</v>
      </c>
      <c r="L51" s="102">
        <v>8.6</v>
      </c>
      <c r="M51" s="102">
        <v>0.13406385749999999</v>
      </c>
      <c r="N51" s="102">
        <v>29.333333329999999</v>
      </c>
      <c r="O51" s="102">
        <v>35.200000000000003</v>
      </c>
      <c r="P51" s="102">
        <v>34.1</v>
      </c>
      <c r="Q51" s="102"/>
      <c r="R51" s="102"/>
      <c r="S51" s="102"/>
      <c r="T51" s="102"/>
      <c r="U51" s="102"/>
      <c r="V51" s="102"/>
      <c r="W51" s="102"/>
      <c r="X51" s="102"/>
      <c r="Y51" s="102"/>
      <c r="Z51" s="102"/>
    </row>
    <row r="52" spans="1:26" ht="15.75" customHeight="1" x14ac:dyDescent="0.55000000000000004">
      <c r="A52" s="102">
        <v>2016</v>
      </c>
      <c r="B52" s="236">
        <v>323071342</v>
      </c>
      <c r="C52" s="236">
        <v>17413</v>
      </c>
      <c r="D52" s="102">
        <v>53.89831203</v>
      </c>
      <c r="E52" s="102">
        <v>5</v>
      </c>
      <c r="F52" s="102">
        <v>1.547645783E-2</v>
      </c>
      <c r="G52" s="102">
        <v>8.49</v>
      </c>
      <c r="H52" s="102">
        <v>4.3333333329999997</v>
      </c>
      <c r="I52" s="102">
        <v>4.8</v>
      </c>
      <c r="J52" s="102">
        <v>4.7</v>
      </c>
      <c r="K52" s="102">
        <v>70</v>
      </c>
      <c r="L52" s="102">
        <v>14</v>
      </c>
      <c r="M52" s="102">
        <v>0.2166704096</v>
      </c>
      <c r="N52" s="102">
        <v>42.333333330000002</v>
      </c>
      <c r="O52" s="102">
        <v>44.2</v>
      </c>
      <c r="P52" s="102">
        <v>38.799999999999997</v>
      </c>
      <c r="Q52" s="102"/>
      <c r="R52" s="102"/>
      <c r="S52" s="102"/>
      <c r="T52" s="102"/>
      <c r="U52" s="102"/>
      <c r="V52" s="102"/>
      <c r="W52" s="102"/>
      <c r="X52" s="102"/>
      <c r="Y52" s="102"/>
      <c r="Z52" s="102"/>
    </row>
    <row r="53" spans="1:26" ht="15.75" customHeight="1" x14ac:dyDescent="0.55000000000000004">
      <c r="A53" s="102">
        <v>2017</v>
      </c>
      <c r="B53" s="236">
        <v>325147121</v>
      </c>
      <c r="C53" s="236">
        <v>17294</v>
      </c>
      <c r="D53" s="102">
        <v>53.188230439999998</v>
      </c>
      <c r="E53" s="102">
        <v>7</v>
      </c>
      <c r="F53" s="102">
        <v>2.152871592E-2</v>
      </c>
      <c r="G53" s="102">
        <v>8.74</v>
      </c>
      <c r="H53" s="102">
        <v>5.6666666670000003</v>
      </c>
      <c r="I53" s="102">
        <v>5</v>
      </c>
      <c r="J53" s="102">
        <v>5</v>
      </c>
      <c r="K53" s="102">
        <v>106</v>
      </c>
      <c r="L53" s="102">
        <v>15.14285714</v>
      </c>
      <c r="M53" s="102">
        <v>0.32600626960000001</v>
      </c>
      <c r="N53" s="102">
        <v>73</v>
      </c>
      <c r="O53" s="102">
        <v>52.8</v>
      </c>
      <c r="P53" s="102">
        <v>44.5</v>
      </c>
      <c r="Q53" s="102"/>
      <c r="R53" s="102"/>
      <c r="S53" s="102"/>
      <c r="T53" s="102"/>
      <c r="U53" s="102"/>
      <c r="V53" s="102"/>
      <c r="W53" s="102"/>
      <c r="X53" s="102"/>
      <c r="Y53" s="102"/>
      <c r="Z53" s="102"/>
    </row>
    <row r="54" spans="1:26" ht="15.75" customHeight="1" x14ac:dyDescent="0.55000000000000004">
      <c r="A54" s="102">
        <v>2018</v>
      </c>
      <c r="B54" s="236">
        <v>327167434</v>
      </c>
      <c r="C54" s="236">
        <v>16214</v>
      </c>
      <c r="D54" s="102">
        <v>49.558722279999998</v>
      </c>
      <c r="E54" s="102">
        <v>9</v>
      </c>
      <c r="F54" s="102">
        <v>2.7508850410000001E-2</v>
      </c>
      <c r="G54" s="102">
        <v>9</v>
      </c>
      <c r="H54" s="102">
        <v>7</v>
      </c>
      <c r="I54" s="102">
        <v>5.8</v>
      </c>
      <c r="J54" s="102">
        <v>5.4</v>
      </c>
      <c r="K54" s="102">
        <v>72</v>
      </c>
      <c r="L54" s="102">
        <v>8</v>
      </c>
      <c r="M54" s="102">
        <v>0.22007080330000001</v>
      </c>
      <c r="N54" s="102">
        <v>82.666666669999998</v>
      </c>
      <c r="O54" s="102">
        <v>61</v>
      </c>
      <c r="P54" s="102">
        <v>49.1</v>
      </c>
      <c r="Q54" s="102"/>
      <c r="R54" s="102"/>
      <c r="S54" s="102"/>
      <c r="T54" s="102"/>
      <c r="U54" s="102"/>
      <c r="V54" s="102"/>
      <c r="W54" s="102"/>
      <c r="X54" s="102"/>
      <c r="Y54" s="102"/>
      <c r="Z54" s="102"/>
    </row>
    <row r="55" spans="1:26" ht="15.75" customHeight="1" x14ac:dyDescent="0.55000000000000004">
      <c r="A55" s="102">
        <v>2019</v>
      </c>
      <c r="B55" s="236">
        <v>329865258</v>
      </c>
      <c r="C55" s="236">
        <v>16669</v>
      </c>
      <c r="D55" s="102">
        <v>50.532754195000003</v>
      </c>
      <c r="E55" s="102">
        <v>7</v>
      </c>
      <c r="F55" s="102">
        <f>SUM(E55/B55)*1000000</f>
        <v>2.1220785851900778E-2</v>
      </c>
      <c r="G55" s="102">
        <v>9.26</v>
      </c>
      <c r="H55" s="102">
        <v>7.67</v>
      </c>
      <c r="I55" s="102">
        <v>6.6</v>
      </c>
      <c r="J55" s="99">
        <v>5.6</v>
      </c>
      <c r="K55" s="102">
        <v>65</v>
      </c>
      <c r="L55" s="102">
        <v>9.2899999999999991</v>
      </c>
      <c r="M55" s="102">
        <f>(K55/B55)*1000000</f>
        <v>0.19705015433907866</v>
      </c>
      <c r="N55" s="102">
        <v>81</v>
      </c>
      <c r="O55" s="102">
        <v>71.2</v>
      </c>
      <c r="P55" s="99">
        <v>51.4</v>
      </c>
      <c r="Q55" s="102"/>
      <c r="R55" s="102"/>
      <c r="S55" s="102"/>
      <c r="T55" s="102"/>
      <c r="U55" s="102"/>
      <c r="V55" s="102"/>
      <c r="W55" s="102"/>
      <c r="X55" s="102"/>
      <c r="Y55" s="102"/>
      <c r="Z55" s="102"/>
    </row>
    <row r="56" spans="1:26" ht="15.75" customHeight="1" x14ac:dyDescent="0.55000000000000004">
      <c r="A56" s="102">
        <v>2020</v>
      </c>
      <c r="B56" s="236">
        <v>331002651</v>
      </c>
      <c r="C56" s="236">
        <v>21570</v>
      </c>
      <c r="D56" s="102">
        <v>65.165641199999996</v>
      </c>
      <c r="E56" s="102">
        <v>2</v>
      </c>
      <c r="F56" s="237">
        <v>6.0422499999999999E-3</v>
      </c>
      <c r="G56" s="102"/>
      <c r="H56" s="102"/>
      <c r="I56" s="102"/>
      <c r="J56" s="102"/>
      <c r="K56" s="99">
        <v>9</v>
      </c>
      <c r="L56" s="102"/>
      <c r="M56" s="102"/>
      <c r="N56" s="102"/>
      <c r="O56" s="102"/>
      <c r="P56" s="102"/>
      <c r="Q56" s="102"/>
      <c r="R56" s="102"/>
      <c r="S56" s="102"/>
      <c r="T56" s="102"/>
      <c r="U56" s="102"/>
      <c r="V56" s="102"/>
      <c r="W56" s="102"/>
      <c r="X56" s="102"/>
      <c r="Y56" s="102"/>
      <c r="Z56" s="102"/>
    </row>
    <row r="57" spans="1:26" ht="15.75" customHeight="1" x14ac:dyDescent="0.55000000000000004">
      <c r="A57" s="102">
        <v>2021</v>
      </c>
      <c r="B57" s="236">
        <v>332915073</v>
      </c>
      <c r="C57" s="238"/>
      <c r="D57" s="99"/>
      <c r="E57" s="102">
        <v>6</v>
      </c>
      <c r="F57" s="237">
        <v>1.8022610000000001E-2</v>
      </c>
      <c r="G57" s="102"/>
      <c r="H57" s="102"/>
      <c r="I57" s="102"/>
      <c r="J57" s="102"/>
      <c r="K57" s="99">
        <v>43</v>
      </c>
      <c r="L57" s="102"/>
      <c r="M57" s="102"/>
      <c r="N57" s="102"/>
      <c r="O57" s="102"/>
      <c r="P57" s="102"/>
      <c r="Q57" s="102"/>
      <c r="R57" s="102"/>
      <c r="S57" s="102"/>
      <c r="T57" s="102"/>
      <c r="U57" s="102"/>
      <c r="V57" s="102"/>
      <c r="W57" s="102"/>
      <c r="X57" s="102"/>
      <c r="Y57" s="102"/>
      <c r="Z57" s="102"/>
    </row>
    <row r="58" spans="1:26" ht="15.75" customHeight="1" x14ac:dyDescent="0.55000000000000004">
      <c r="A58" s="99" t="s">
        <v>3833</v>
      </c>
      <c r="B58" s="102"/>
      <c r="C58" s="238">
        <v>1003066</v>
      </c>
      <c r="D58" s="99"/>
      <c r="E58" s="99">
        <v>176</v>
      </c>
      <c r="F58" s="239"/>
      <c r="G58" s="102"/>
      <c r="H58" s="102"/>
      <c r="I58" s="102"/>
      <c r="J58" s="102"/>
      <c r="K58" s="99">
        <v>1259</v>
      </c>
      <c r="L58" s="102"/>
      <c r="M58" s="102"/>
      <c r="N58" s="102"/>
      <c r="O58" s="102"/>
      <c r="P58" s="102"/>
      <c r="Q58" s="102"/>
      <c r="R58" s="102"/>
      <c r="S58" s="102"/>
      <c r="T58" s="102"/>
      <c r="U58" s="102"/>
      <c r="V58" s="102"/>
      <c r="W58" s="102"/>
      <c r="X58" s="102"/>
      <c r="Y58" s="102"/>
      <c r="Z58" s="102"/>
    </row>
    <row r="59" spans="1:26" ht="15.75" customHeight="1" x14ac:dyDescent="0.55000000000000004">
      <c r="A59" s="99" t="s">
        <v>3834</v>
      </c>
      <c r="B59" s="102"/>
      <c r="C59" s="238">
        <v>18238</v>
      </c>
      <c r="D59" s="99">
        <v>72.577830140000003</v>
      </c>
      <c r="E59" s="99">
        <v>3.32</v>
      </c>
      <c r="F59" s="102"/>
      <c r="G59" s="102"/>
      <c r="H59" s="102"/>
      <c r="I59" s="102"/>
      <c r="J59" s="102"/>
      <c r="K59" s="99">
        <v>23.75</v>
      </c>
      <c r="L59" s="102"/>
      <c r="M59" s="102"/>
      <c r="N59" s="102"/>
      <c r="O59" s="102"/>
      <c r="P59" s="102"/>
      <c r="Q59" s="102"/>
      <c r="R59" s="102"/>
      <c r="S59" s="102"/>
      <c r="T59" s="102"/>
      <c r="U59" s="102"/>
      <c r="V59" s="102"/>
      <c r="W59" s="102"/>
      <c r="X59" s="102"/>
      <c r="Y59" s="102"/>
      <c r="Z59" s="102"/>
    </row>
    <row r="60" spans="1:26" ht="15.75" customHeight="1" x14ac:dyDescent="0.55000000000000004">
      <c r="A60" s="99" t="s">
        <v>3835</v>
      </c>
      <c r="B60" s="102"/>
      <c r="C60" s="102"/>
      <c r="D60" s="99"/>
      <c r="E60" s="99">
        <v>2.9346943E-2</v>
      </c>
      <c r="F60" s="102"/>
      <c r="G60" s="102"/>
      <c r="H60" s="102"/>
      <c r="I60" s="102"/>
      <c r="J60" s="102"/>
      <c r="K60" s="102"/>
      <c r="L60" s="102"/>
      <c r="M60" s="102"/>
      <c r="N60" s="102"/>
      <c r="O60" s="102"/>
      <c r="P60" s="102"/>
      <c r="Q60" s="102"/>
      <c r="R60" s="102"/>
      <c r="S60" s="102"/>
      <c r="T60" s="102"/>
      <c r="U60" s="102"/>
      <c r="V60" s="102"/>
      <c r="W60" s="102"/>
      <c r="X60" s="102"/>
      <c r="Y60" s="102"/>
      <c r="Z60" s="102"/>
    </row>
    <row r="61" spans="1:26" ht="15.75" customHeight="1" x14ac:dyDescent="0.55000000000000004">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ht="15.75" customHeight="1" x14ac:dyDescent="0.55000000000000004">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ht="15.75" customHeight="1" x14ac:dyDescent="0.55000000000000004">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spans="1:26" ht="15.75" customHeight="1" x14ac:dyDescent="0.55000000000000004">
      <c r="A64" s="99" t="s">
        <v>3836</v>
      </c>
      <c r="B64" s="99" t="s">
        <v>3837</v>
      </c>
      <c r="C64" s="99" t="s">
        <v>3838</v>
      </c>
      <c r="D64" s="102"/>
      <c r="E64" s="99" t="s">
        <v>3839</v>
      </c>
      <c r="F64" s="99" t="s">
        <v>3840</v>
      </c>
      <c r="G64" s="99" t="s">
        <v>3841</v>
      </c>
      <c r="H64" s="102"/>
      <c r="I64" s="102"/>
      <c r="J64" s="102"/>
      <c r="K64" s="102"/>
      <c r="L64" s="102"/>
      <c r="M64" s="102"/>
      <c r="N64" s="102"/>
      <c r="O64" s="102"/>
      <c r="P64" s="102"/>
      <c r="Q64" s="102"/>
      <c r="R64" s="102"/>
      <c r="S64" s="102"/>
      <c r="T64" s="102"/>
      <c r="U64" s="102"/>
      <c r="V64" s="102"/>
      <c r="W64" s="102"/>
      <c r="X64" s="102"/>
      <c r="Y64" s="102"/>
      <c r="Z64" s="102"/>
    </row>
    <row r="65" spans="1:26" ht="15.75" customHeight="1" x14ac:dyDescent="0.55000000000000004">
      <c r="A65" s="102" t="s">
        <v>3842</v>
      </c>
      <c r="B65" s="102">
        <v>5</v>
      </c>
      <c r="C65" s="102">
        <f t="shared" ref="C65:C70" si="0">(B65/168)*100</f>
        <v>2.9761904761904758</v>
      </c>
      <c r="D65" s="102"/>
      <c r="E65" s="102">
        <v>1</v>
      </c>
      <c r="F65" s="102" t="s">
        <v>3843</v>
      </c>
      <c r="G65" s="102">
        <v>58</v>
      </c>
      <c r="H65" s="102"/>
      <c r="I65" s="102"/>
      <c r="J65" s="102"/>
      <c r="K65" s="102"/>
      <c r="L65" s="102"/>
      <c r="M65" s="102"/>
      <c r="N65" s="102"/>
      <c r="O65" s="102"/>
      <c r="P65" s="102"/>
      <c r="Q65" s="102"/>
      <c r="R65" s="102"/>
      <c r="S65" s="102"/>
      <c r="T65" s="102"/>
      <c r="U65" s="102"/>
      <c r="V65" s="102"/>
      <c r="W65" s="102"/>
      <c r="X65" s="102"/>
      <c r="Y65" s="102"/>
      <c r="Z65" s="102"/>
    </row>
    <row r="66" spans="1:26" ht="15.75" customHeight="1" x14ac:dyDescent="0.55000000000000004">
      <c r="A66" s="102" t="s">
        <v>3844</v>
      </c>
      <c r="B66" s="102">
        <v>10</v>
      </c>
      <c r="C66" s="102">
        <f t="shared" si="0"/>
        <v>5.9523809523809517</v>
      </c>
      <c r="D66" s="102"/>
      <c r="E66" s="102">
        <v>2</v>
      </c>
      <c r="F66" s="102" t="s">
        <v>3845</v>
      </c>
      <c r="G66" s="102">
        <v>49</v>
      </c>
      <c r="H66" s="102"/>
      <c r="I66" s="102"/>
      <c r="J66" s="102"/>
      <c r="K66" s="102"/>
      <c r="L66" s="102"/>
      <c r="M66" s="102"/>
      <c r="N66" s="102"/>
      <c r="O66" s="102"/>
      <c r="P66" s="102"/>
      <c r="Q66" s="102"/>
      <c r="R66" s="102"/>
      <c r="S66" s="102"/>
      <c r="T66" s="102"/>
      <c r="U66" s="102"/>
      <c r="V66" s="102"/>
      <c r="W66" s="102"/>
      <c r="X66" s="102"/>
      <c r="Y66" s="102"/>
      <c r="Z66" s="102"/>
    </row>
    <row r="67" spans="1:26" ht="15.75" customHeight="1" x14ac:dyDescent="0.55000000000000004">
      <c r="A67" s="102" t="s">
        <v>3846</v>
      </c>
      <c r="B67" s="102">
        <v>23</v>
      </c>
      <c r="C67" s="102">
        <f t="shared" si="0"/>
        <v>13.690476190476192</v>
      </c>
      <c r="D67" s="102"/>
      <c r="E67" s="102">
        <v>3</v>
      </c>
      <c r="F67" s="102" t="s">
        <v>3847</v>
      </c>
      <c r="G67" s="102">
        <v>32</v>
      </c>
      <c r="H67" s="102"/>
      <c r="I67" s="102"/>
      <c r="J67" s="102"/>
      <c r="K67" s="102"/>
      <c r="L67" s="102"/>
      <c r="M67" s="102"/>
      <c r="N67" s="102"/>
      <c r="O67" s="102"/>
      <c r="P67" s="102"/>
      <c r="Q67" s="102"/>
      <c r="R67" s="102"/>
      <c r="S67" s="102"/>
      <c r="T67" s="102"/>
      <c r="U67" s="102"/>
      <c r="V67" s="102"/>
      <c r="W67" s="102"/>
      <c r="X67" s="102"/>
      <c r="Y67" s="102"/>
      <c r="Z67" s="102"/>
    </row>
    <row r="68" spans="1:26" ht="15.75" customHeight="1" x14ac:dyDescent="0.55000000000000004">
      <c r="A68" s="102" t="s">
        <v>3848</v>
      </c>
      <c r="B68" s="102">
        <v>37</v>
      </c>
      <c r="C68" s="102">
        <f t="shared" si="0"/>
        <v>22.023809523809522</v>
      </c>
      <c r="D68" s="102"/>
      <c r="E68" s="102">
        <v>4</v>
      </c>
      <c r="F68" s="102" t="s">
        <v>3849</v>
      </c>
      <c r="G68" s="102">
        <v>27</v>
      </c>
      <c r="H68" s="102"/>
      <c r="I68" s="102"/>
      <c r="J68" s="102"/>
      <c r="K68" s="102"/>
      <c r="L68" s="102"/>
      <c r="M68" s="102"/>
      <c r="N68" s="102"/>
      <c r="O68" s="102"/>
      <c r="P68" s="102"/>
      <c r="Q68" s="102"/>
      <c r="R68" s="102"/>
      <c r="S68" s="102"/>
      <c r="T68" s="102"/>
      <c r="U68" s="102"/>
      <c r="V68" s="102"/>
      <c r="W68" s="102"/>
      <c r="X68" s="102"/>
      <c r="Y68" s="102"/>
      <c r="Z68" s="102"/>
    </row>
    <row r="69" spans="1:26" ht="15.75" customHeight="1" x14ac:dyDescent="0.55000000000000004">
      <c r="A69" s="102" t="s">
        <v>3850</v>
      </c>
      <c r="B69" s="102">
        <v>37</v>
      </c>
      <c r="C69" s="102">
        <f t="shared" si="0"/>
        <v>22.023809523809522</v>
      </c>
      <c r="D69" s="102"/>
      <c r="E69" s="102">
        <v>5</v>
      </c>
      <c r="F69" s="102" t="s">
        <v>3851</v>
      </c>
      <c r="G69" s="102">
        <v>25</v>
      </c>
      <c r="H69" s="102"/>
      <c r="I69" s="102"/>
      <c r="J69" s="102"/>
      <c r="K69" s="102"/>
      <c r="L69" s="102"/>
      <c r="M69" s="102"/>
      <c r="N69" s="102"/>
      <c r="O69" s="102"/>
      <c r="P69" s="102"/>
      <c r="Q69" s="102"/>
      <c r="R69" s="102"/>
      <c r="S69" s="102"/>
      <c r="T69" s="102"/>
      <c r="U69" s="102"/>
      <c r="V69" s="102"/>
      <c r="W69" s="102"/>
      <c r="X69" s="102"/>
      <c r="Y69" s="102"/>
      <c r="Z69" s="102"/>
    </row>
    <row r="70" spans="1:26" ht="15.75" customHeight="1" x14ac:dyDescent="0.55000000000000004">
      <c r="A70" s="102" t="s">
        <v>3852</v>
      </c>
      <c r="B70" s="102">
        <v>56</v>
      </c>
      <c r="C70" s="102">
        <f t="shared" si="0"/>
        <v>33.333333333333329</v>
      </c>
      <c r="D70" s="102"/>
      <c r="E70" s="102">
        <v>6</v>
      </c>
      <c r="F70" s="102" t="s">
        <v>3853</v>
      </c>
      <c r="G70" s="102">
        <v>23</v>
      </c>
      <c r="H70" s="102"/>
      <c r="I70" s="102"/>
      <c r="J70" s="102"/>
      <c r="K70" s="102"/>
      <c r="L70" s="102"/>
      <c r="M70" s="102"/>
      <c r="N70" s="102"/>
      <c r="O70" s="102"/>
      <c r="P70" s="102"/>
      <c r="Q70" s="102"/>
      <c r="R70" s="102"/>
      <c r="S70" s="102"/>
      <c r="T70" s="102"/>
      <c r="U70" s="102"/>
      <c r="V70" s="102"/>
      <c r="W70" s="102"/>
      <c r="X70" s="102"/>
      <c r="Y70" s="102"/>
      <c r="Z70" s="102"/>
    </row>
    <row r="71" spans="1:26" ht="15.75" customHeight="1" x14ac:dyDescent="0.55000000000000004">
      <c r="A71" s="99" t="s">
        <v>3833</v>
      </c>
      <c r="B71" s="99">
        <v>168</v>
      </c>
      <c r="C71" s="102"/>
      <c r="D71" s="102"/>
      <c r="E71" s="102">
        <v>7</v>
      </c>
      <c r="F71" s="102" t="s">
        <v>3854</v>
      </c>
      <c r="G71" s="102">
        <v>22</v>
      </c>
      <c r="H71" s="102"/>
      <c r="I71" s="102"/>
      <c r="J71" s="102"/>
      <c r="K71" s="102"/>
      <c r="L71" s="102"/>
      <c r="M71" s="102"/>
      <c r="N71" s="102"/>
      <c r="O71" s="102"/>
      <c r="P71" s="102"/>
      <c r="Q71" s="102"/>
      <c r="R71" s="102"/>
      <c r="S71" s="102"/>
      <c r="T71" s="102"/>
      <c r="U71" s="102"/>
      <c r="V71" s="102"/>
      <c r="W71" s="102"/>
      <c r="X71" s="102"/>
      <c r="Y71" s="102"/>
      <c r="Z71" s="102"/>
    </row>
    <row r="72" spans="1:26" ht="15.75" customHeight="1" x14ac:dyDescent="0.55000000000000004">
      <c r="A72" s="102"/>
      <c r="B72" s="102"/>
      <c r="C72" s="102"/>
      <c r="D72" s="102"/>
      <c r="E72" s="102">
        <v>8</v>
      </c>
      <c r="F72" s="102" t="s">
        <v>3855</v>
      </c>
      <c r="G72" s="102">
        <v>21</v>
      </c>
      <c r="H72" s="102"/>
      <c r="I72" s="102"/>
      <c r="J72" s="102"/>
      <c r="K72" s="102"/>
      <c r="L72" s="102"/>
      <c r="M72" s="102"/>
      <c r="N72" s="102"/>
      <c r="O72" s="102"/>
      <c r="P72" s="102"/>
      <c r="Q72" s="102"/>
      <c r="R72" s="102"/>
      <c r="S72" s="102"/>
      <c r="T72" s="102"/>
      <c r="U72" s="102"/>
      <c r="V72" s="102"/>
      <c r="W72" s="102"/>
      <c r="X72" s="102"/>
      <c r="Y72" s="102"/>
      <c r="Z72" s="102"/>
    </row>
    <row r="73" spans="1:26" ht="15.75" customHeight="1" x14ac:dyDescent="0.55000000000000004">
      <c r="A73" s="102"/>
      <c r="B73" s="102"/>
      <c r="C73" s="102"/>
      <c r="D73" s="102"/>
      <c r="E73" s="102">
        <v>9</v>
      </c>
      <c r="F73" s="102" t="s">
        <v>3856</v>
      </c>
      <c r="G73" s="102">
        <v>17</v>
      </c>
      <c r="H73" s="102"/>
      <c r="I73" s="102"/>
      <c r="J73" s="102"/>
      <c r="K73" s="102"/>
      <c r="L73" s="102"/>
      <c r="M73" s="102"/>
      <c r="N73" s="102"/>
      <c r="O73" s="102"/>
      <c r="P73" s="102"/>
      <c r="Q73" s="102"/>
      <c r="R73" s="102"/>
      <c r="S73" s="102"/>
      <c r="T73" s="102"/>
      <c r="U73" s="102"/>
      <c r="V73" s="102"/>
      <c r="W73" s="102"/>
      <c r="X73" s="102"/>
      <c r="Y73" s="102"/>
      <c r="Z73" s="102"/>
    </row>
    <row r="74" spans="1:26" ht="15.75" customHeight="1" x14ac:dyDescent="0.55000000000000004">
      <c r="A74" s="102"/>
      <c r="B74" s="102"/>
      <c r="C74" s="102"/>
      <c r="D74" s="102"/>
      <c r="E74" s="102">
        <v>10</v>
      </c>
      <c r="F74" s="102" t="s">
        <v>3857</v>
      </c>
      <c r="G74" s="102">
        <v>15</v>
      </c>
      <c r="H74" s="102"/>
      <c r="I74" s="102"/>
      <c r="J74" s="102"/>
      <c r="K74" s="102"/>
      <c r="L74" s="102"/>
      <c r="M74" s="102"/>
      <c r="N74" s="102"/>
      <c r="O74" s="102"/>
      <c r="P74" s="102"/>
      <c r="Q74" s="102"/>
      <c r="R74" s="102"/>
      <c r="S74" s="102"/>
      <c r="T74" s="102"/>
      <c r="U74" s="102"/>
      <c r="V74" s="102"/>
      <c r="W74" s="102"/>
      <c r="X74" s="102"/>
      <c r="Y74" s="102"/>
      <c r="Z74" s="102"/>
    </row>
    <row r="75" spans="1:26" ht="15.75" customHeight="1" x14ac:dyDescent="0.55000000000000004">
      <c r="A75" s="102"/>
      <c r="B75" s="102"/>
      <c r="C75" s="102"/>
      <c r="D75" s="102"/>
      <c r="E75" s="102">
        <v>11</v>
      </c>
      <c r="F75" s="102" t="s">
        <v>3858</v>
      </c>
      <c r="G75" s="102">
        <v>14</v>
      </c>
      <c r="H75" s="102"/>
      <c r="I75" s="102"/>
      <c r="J75" s="102"/>
      <c r="K75" s="102"/>
      <c r="L75" s="102"/>
      <c r="M75" s="102"/>
      <c r="N75" s="102"/>
      <c r="O75" s="102"/>
      <c r="P75" s="102"/>
      <c r="Q75" s="102"/>
      <c r="R75" s="102"/>
      <c r="S75" s="102"/>
      <c r="T75" s="102"/>
      <c r="U75" s="102"/>
      <c r="V75" s="102"/>
      <c r="W75" s="102"/>
      <c r="X75" s="102"/>
      <c r="Y75" s="102"/>
      <c r="Z75" s="102"/>
    </row>
    <row r="76" spans="1:26" ht="15.75" customHeight="1" x14ac:dyDescent="0.55000000000000004">
      <c r="A76" s="102"/>
      <c r="B76" s="102"/>
      <c r="C76" s="102"/>
      <c r="D76" s="102"/>
      <c r="E76" s="102">
        <v>12</v>
      </c>
      <c r="F76" s="102" t="s">
        <v>3859</v>
      </c>
      <c r="G76" s="102">
        <v>14</v>
      </c>
      <c r="H76" s="102"/>
      <c r="I76" s="102"/>
      <c r="J76" s="102"/>
      <c r="K76" s="102"/>
      <c r="L76" s="102"/>
      <c r="M76" s="102"/>
      <c r="N76" s="102"/>
      <c r="O76" s="102"/>
      <c r="P76" s="102"/>
      <c r="Q76" s="102"/>
      <c r="R76" s="102"/>
      <c r="S76" s="102"/>
      <c r="T76" s="102"/>
      <c r="U76" s="102"/>
      <c r="V76" s="102"/>
      <c r="W76" s="102"/>
      <c r="X76" s="102"/>
      <c r="Y76" s="102"/>
      <c r="Z76" s="102"/>
    </row>
    <row r="77" spans="1:26" ht="15.75" customHeight="1" x14ac:dyDescent="0.55000000000000004">
      <c r="A77" s="102"/>
      <c r="B77" s="102"/>
      <c r="C77" s="102"/>
      <c r="D77" s="102"/>
      <c r="E77" s="102">
        <v>13</v>
      </c>
      <c r="F77" s="102" t="s">
        <v>3860</v>
      </c>
      <c r="G77" s="102">
        <v>13</v>
      </c>
      <c r="H77" s="102"/>
      <c r="I77" s="102"/>
      <c r="J77" s="102"/>
      <c r="K77" s="102"/>
      <c r="L77" s="102"/>
      <c r="M77" s="102"/>
      <c r="N77" s="102"/>
      <c r="O77" s="102"/>
      <c r="P77" s="102"/>
      <c r="Q77" s="102"/>
      <c r="R77" s="102"/>
      <c r="S77" s="102"/>
      <c r="T77" s="102"/>
      <c r="U77" s="102"/>
      <c r="V77" s="102"/>
      <c r="W77" s="102"/>
      <c r="X77" s="102"/>
      <c r="Y77" s="102"/>
      <c r="Z77" s="102"/>
    </row>
    <row r="78" spans="1:26" ht="15.75" customHeight="1" x14ac:dyDescent="0.55000000000000004">
      <c r="A78" s="102"/>
      <c r="B78" s="102"/>
      <c r="C78" s="102"/>
      <c r="D78" s="102"/>
      <c r="E78" s="102">
        <v>14</v>
      </c>
      <c r="F78" s="102" t="s">
        <v>3861</v>
      </c>
      <c r="G78" s="102">
        <v>13</v>
      </c>
      <c r="H78" s="102"/>
      <c r="I78" s="102"/>
      <c r="J78" s="102"/>
      <c r="K78" s="102"/>
      <c r="L78" s="102"/>
      <c r="M78" s="102"/>
      <c r="N78" s="102"/>
      <c r="O78" s="102"/>
      <c r="P78" s="102"/>
      <c r="Q78" s="102"/>
      <c r="R78" s="102"/>
      <c r="S78" s="102"/>
      <c r="T78" s="102"/>
      <c r="U78" s="102"/>
      <c r="V78" s="102"/>
      <c r="W78" s="102"/>
      <c r="X78" s="102"/>
      <c r="Y78" s="102"/>
      <c r="Z78" s="102"/>
    </row>
    <row r="79" spans="1:26" ht="15.75" customHeight="1" x14ac:dyDescent="0.55000000000000004">
      <c r="A79" s="102"/>
      <c r="B79" s="102"/>
      <c r="C79" s="102"/>
      <c r="D79" s="102"/>
      <c r="E79" s="102">
        <v>15</v>
      </c>
      <c r="F79" s="102" t="s">
        <v>3862</v>
      </c>
      <c r="G79" s="102">
        <v>13</v>
      </c>
      <c r="H79" s="102"/>
      <c r="I79" s="102"/>
      <c r="J79" s="102"/>
      <c r="K79" s="102"/>
      <c r="L79" s="102"/>
      <c r="M79" s="102"/>
      <c r="N79" s="102"/>
      <c r="O79" s="102"/>
      <c r="P79" s="102"/>
      <c r="Q79" s="102"/>
      <c r="R79" s="102"/>
      <c r="S79" s="102"/>
      <c r="T79" s="102"/>
      <c r="U79" s="102"/>
      <c r="V79" s="102"/>
      <c r="W79" s="102"/>
      <c r="X79" s="102"/>
      <c r="Y79" s="102"/>
      <c r="Z79" s="102"/>
    </row>
    <row r="80" spans="1:26" ht="15.75" customHeight="1" x14ac:dyDescent="0.55000000000000004">
      <c r="A80" s="102"/>
      <c r="B80" s="102"/>
      <c r="C80" s="102"/>
      <c r="D80" s="102"/>
      <c r="E80" s="102">
        <v>16</v>
      </c>
      <c r="F80" s="102" t="s">
        <v>3863</v>
      </c>
      <c r="G80" s="102">
        <v>12</v>
      </c>
      <c r="H80" s="102"/>
      <c r="I80" s="102"/>
      <c r="J80" s="102"/>
      <c r="K80" s="102"/>
      <c r="L80" s="102"/>
      <c r="M80" s="102"/>
      <c r="N80" s="102"/>
      <c r="O80" s="102"/>
      <c r="P80" s="102"/>
      <c r="Q80" s="102"/>
      <c r="R80" s="102"/>
      <c r="S80" s="102"/>
      <c r="T80" s="102"/>
      <c r="U80" s="102"/>
      <c r="V80" s="102"/>
      <c r="W80" s="102"/>
      <c r="X80" s="102"/>
      <c r="Y80" s="102"/>
      <c r="Z80" s="102"/>
    </row>
    <row r="81" spans="1:26" ht="15.75" customHeight="1" x14ac:dyDescent="0.55000000000000004">
      <c r="A81" s="102"/>
      <c r="B81" s="102"/>
      <c r="C81" s="102"/>
      <c r="D81" s="102"/>
      <c r="E81" s="102">
        <v>17</v>
      </c>
      <c r="F81" s="102" t="s">
        <v>3864</v>
      </c>
      <c r="G81" s="102">
        <v>12</v>
      </c>
      <c r="H81" s="102"/>
      <c r="I81" s="102"/>
      <c r="J81" s="102"/>
      <c r="K81" s="102"/>
      <c r="L81" s="102"/>
      <c r="M81" s="102"/>
      <c r="N81" s="102"/>
      <c r="O81" s="102"/>
      <c r="P81" s="102"/>
      <c r="Q81" s="102"/>
      <c r="R81" s="102"/>
      <c r="S81" s="102"/>
      <c r="T81" s="102"/>
      <c r="U81" s="102"/>
      <c r="V81" s="102"/>
      <c r="W81" s="102"/>
      <c r="X81" s="102"/>
      <c r="Y81" s="102"/>
      <c r="Z81" s="102"/>
    </row>
    <row r="82" spans="1:26" ht="15.75" customHeight="1" x14ac:dyDescent="0.55000000000000004">
      <c r="A82" s="102"/>
      <c r="B82" s="102"/>
      <c r="C82" s="102"/>
      <c r="D82" s="102"/>
      <c r="E82" s="102">
        <v>18</v>
      </c>
      <c r="F82" s="102" t="s">
        <v>3865</v>
      </c>
      <c r="G82" s="102">
        <v>12</v>
      </c>
      <c r="H82" s="102"/>
      <c r="I82" s="102"/>
      <c r="J82" s="102"/>
      <c r="K82" s="102"/>
      <c r="L82" s="102"/>
      <c r="M82" s="102"/>
      <c r="N82" s="102"/>
      <c r="O82" s="102"/>
      <c r="P82" s="102"/>
      <c r="Q82" s="102"/>
      <c r="R82" s="102"/>
      <c r="S82" s="102"/>
      <c r="T82" s="102"/>
      <c r="U82" s="102"/>
      <c r="V82" s="102"/>
      <c r="W82" s="102"/>
      <c r="X82" s="102"/>
      <c r="Y82" s="102"/>
      <c r="Z82" s="102"/>
    </row>
    <row r="83" spans="1:26" ht="15.75" customHeight="1" x14ac:dyDescent="0.55000000000000004">
      <c r="A83" s="102"/>
      <c r="B83" s="102"/>
      <c r="C83" s="102"/>
      <c r="D83" s="102"/>
      <c r="E83" s="102">
        <v>19</v>
      </c>
      <c r="F83" s="102" t="s">
        <v>3866</v>
      </c>
      <c r="G83" s="102">
        <v>12</v>
      </c>
      <c r="H83" s="102"/>
      <c r="I83" s="102"/>
      <c r="J83" s="102"/>
      <c r="K83" s="102"/>
      <c r="L83" s="102"/>
      <c r="M83" s="102"/>
      <c r="N83" s="102"/>
      <c r="O83" s="102"/>
      <c r="P83" s="102"/>
      <c r="Q83" s="102"/>
      <c r="R83" s="102"/>
      <c r="S83" s="102"/>
      <c r="T83" s="102"/>
      <c r="U83" s="102"/>
      <c r="V83" s="102"/>
      <c r="W83" s="102"/>
      <c r="X83" s="102"/>
      <c r="Y83" s="102"/>
      <c r="Z83" s="102"/>
    </row>
    <row r="84" spans="1:26" ht="15.75" customHeight="1" x14ac:dyDescent="0.55000000000000004">
      <c r="A84" s="102"/>
      <c r="B84" s="102"/>
      <c r="C84" s="102"/>
      <c r="D84" s="102"/>
      <c r="E84" s="102">
        <v>20</v>
      </c>
      <c r="F84" s="102" t="s">
        <v>3867</v>
      </c>
      <c r="G84" s="102">
        <v>12</v>
      </c>
      <c r="H84" s="102"/>
      <c r="I84" s="102"/>
      <c r="J84" s="102"/>
      <c r="K84" s="102"/>
      <c r="L84" s="102"/>
      <c r="M84" s="102"/>
      <c r="N84" s="102"/>
      <c r="O84" s="102"/>
      <c r="P84" s="102"/>
      <c r="Q84" s="102"/>
      <c r="R84" s="102"/>
      <c r="S84" s="102"/>
      <c r="T84" s="102"/>
      <c r="U84" s="102"/>
      <c r="V84" s="102"/>
      <c r="W84" s="102"/>
      <c r="X84" s="102"/>
      <c r="Y84" s="102"/>
      <c r="Z84" s="102"/>
    </row>
    <row r="85" spans="1:26" ht="15.75" customHeight="1" x14ac:dyDescent="0.55000000000000004">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5.75" customHeight="1" x14ac:dyDescent="0.55000000000000004">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5.75" customHeight="1" x14ac:dyDescent="0.55000000000000004">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5.75" customHeight="1" x14ac:dyDescent="0.55000000000000004">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5.75" customHeight="1" x14ac:dyDescent="0.55000000000000004">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5.75" customHeight="1" x14ac:dyDescent="0.55000000000000004">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5.75" customHeight="1" x14ac:dyDescent="0.55000000000000004">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5.75" customHeight="1" x14ac:dyDescent="0.55000000000000004">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5.75" customHeight="1" x14ac:dyDescent="0.55000000000000004">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5.75" customHeight="1" x14ac:dyDescent="0.5500000000000000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5.75" customHeight="1" x14ac:dyDescent="0.55000000000000004">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5.75" customHeight="1" x14ac:dyDescent="0.55000000000000004">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5.75" customHeight="1" x14ac:dyDescent="0.55000000000000004">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5.75" customHeight="1" x14ac:dyDescent="0.55000000000000004">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5.75" customHeight="1" x14ac:dyDescent="0.55000000000000004">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5.75" customHeight="1" x14ac:dyDescent="0.55000000000000004">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5.75" customHeight="1" x14ac:dyDescent="0.55000000000000004">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5.75" customHeight="1" x14ac:dyDescent="0.55000000000000004">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5.75" customHeight="1" x14ac:dyDescent="0.55000000000000004">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5.75" customHeight="1" x14ac:dyDescent="0.550000000000000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5.75" customHeight="1" x14ac:dyDescent="0.55000000000000004">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5.75" customHeight="1" x14ac:dyDescent="0.55000000000000004">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5.75" customHeight="1" x14ac:dyDescent="0.55000000000000004">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5.75" customHeight="1" x14ac:dyDescent="0.55000000000000004">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5.75" customHeight="1" x14ac:dyDescent="0.55000000000000004">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5.75" customHeight="1" x14ac:dyDescent="0.55000000000000004">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5.75" customHeight="1" x14ac:dyDescent="0.55000000000000004">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5.75" customHeight="1" x14ac:dyDescent="0.55000000000000004">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5.75" customHeight="1" x14ac:dyDescent="0.55000000000000004">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5.75" customHeight="1" x14ac:dyDescent="0.5500000000000000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5.75" customHeight="1" x14ac:dyDescent="0.55000000000000004">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5.75" customHeight="1" x14ac:dyDescent="0.55000000000000004">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5.75" customHeight="1" x14ac:dyDescent="0.55000000000000004">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5.75" customHeight="1" x14ac:dyDescent="0.55000000000000004">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5.75" customHeight="1" x14ac:dyDescent="0.55000000000000004">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5.75" customHeight="1" x14ac:dyDescent="0.55000000000000004">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5.75" customHeight="1" x14ac:dyDescent="0.55000000000000004">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5.75" customHeight="1" x14ac:dyDescent="0.55000000000000004">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5.75" customHeight="1" x14ac:dyDescent="0.55000000000000004">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5.75" customHeight="1" x14ac:dyDescent="0.5500000000000000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5.75" customHeight="1" x14ac:dyDescent="0.55000000000000004">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5.75" customHeight="1" x14ac:dyDescent="0.55000000000000004">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5.75" customHeight="1" x14ac:dyDescent="0.55000000000000004">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5.75" customHeight="1" x14ac:dyDescent="0.55000000000000004">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5.75" customHeight="1" x14ac:dyDescent="0.55000000000000004">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5.75" customHeight="1" x14ac:dyDescent="0.55000000000000004">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5.75" customHeight="1" x14ac:dyDescent="0.55000000000000004">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5.75" customHeight="1" x14ac:dyDescent="0.55000000000000004">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5.75" customHeight="1" x14ac:dyDescent="0.55000000000000004">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5.75" customHeight="1" x14ac:dyDescent="0.5500000000000000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5.75" customHeight="1" x14ac:dyDescent="0.55000000000000004">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5.75" customHeight="1" x14ac:dyDescent="0.55000000000000004">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5.75" customHeight="1" x14ac:dyDescent="0.55000000000000004">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5.75" customHeight="1" x14ac:dyDescent="0.55000000000000004">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5.75" customHeight="1" x14ac:dyDescent="0.55000000000000004">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5.75" customHeight="1" x14ac:dyDescent="0.55000000000000004">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5.75" customHeight="1" x14ac:dyDescent="0.55000000000000004">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5.75" customHeight="1" x14ac:dyDescent="0.55000000000000004">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5.75" customHeight="1" x14ac:dyDescent="0.55000000000000004">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5.75" customHeight="1" x14ac:dyDescent="0.5500000000000000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5.75" customHeight="1" x14ac:dyDescent="0.55000000000000004">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5.75" customHeight="1" x14ac:dyDescent="0.55000000000000004">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5.75" customHeight="1" x14ac:dyDescent="0.55000000000000004">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5.75" customHeight="1" x14ac:dyDescent="0.55000000000000004">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5.75" customHeight="1" x14ac:dyDescent="0.55000000000000004">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5.75" customHeight="1" x14ac:dyDescent="0.55000000000000004">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5.75" customHeight="1" x14ac:dyDescent="0.55000000000000004">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5.75" customHeight="1" x14ac:dyDescent="0.55000000000000004">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5.75" customHeight="1" x14ac:dyDescent="0.55000000000000004">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5.75" customHeight="1" x14ac:dyDescent="0.5500000000000000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5.75" customHeight="1" x14ac:dyDescent="0.55000000000000004">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5" customHeight="1" x14ac:dyDescent="0.55000000000000004">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5" customHeight="1" x14ac:dyDescent="0.55000000000000004">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5" customHeight="1" x14ac:dyDescent="0.55000000000000004">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5" customHeight="1" x14ac:dyDescent="0.55000000000000004">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5" customHeight="1" x14ac:dyDescent="0.55000000000000004">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5" customHeight="1" x14ac:dyDescent="0.55000000000000004">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5" customHeight="1" x14ac:dyDescent="0.55000000000000004">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5" customHeight="1" x14ac:dyDescent="0.55000000000000004">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5" customHeight="1" x14ac:dyDescent="0.5500000000000000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5" customHeight="1" x14ac:dyDescent="0.55000000000000004">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5" customHeight="1" x14ac:dyDescent="0.55000000000000004">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5" customHeight="1" x14ac:dyDescent="0.55000000000000004">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5" customHeight="1" x14ac:dyDescent="0.55000000000000004">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5" customHeight="1" x14ac:dyDescent="0.55000000000000004">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5" customHeight="1" x14ac:dyDescent="0.55000000000000004">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5" customHeight="1" x14ac:dyDescent="0.55000000000000004">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5" customHeight="1" x14ac:dyDescent="0.55000000000000004">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5" customHeight="1" x14ac:dyDescent="0.55000000000000004">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5" customHeight="1" x14ac:dyDescent="0.5500000000000000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5" customHeight="1" x14ac:dyDescent="0.55000000000000004">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5" customHeight="1" x14ac:dyDescent="0.55000000000000004">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5" customHeight="1" x14ac:dyDescent="0.55000000000000004">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5" customHeight="1" x14ac:dyDescent="0.55000000000000004">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5" customHeight="1" x14ac:dyDescent="0.55000000000000004">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5" customHeight="1" x14ac:dyDescent="0.55000000000000004">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5" customHeight="1" x14ac:dyDescent="0.55000000000000004">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5" customHeight="1" x14ac:dyDescent="0.55000000000000004">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5" customHeight="1" x14ac:dyDescent="0.55000000000000004">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5" customHeight="1" x14ac:dyDescent="0.5500000000000000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5" customHeight="1" x14ac:dyDescent="0.55000000000000004">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5" customHeight="1" x14ac:dyDescent="0.55000000000000004">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5" customHeight="1" x14ac:dyDescent="0.55000000000000004">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5" customHeight="1" x14ac:dyDescent="0.55000000000000004">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5" customHeight="1" x14ac:dyDescent="0.55000000000000004">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5" customHeight="1" x14ac:dyDescent="0.55000000000000004">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5" customHeight="1" x14ac:dyDescent="0.55000000000000004">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5" customHeight="1" x14ac:dyDescent="0.55000000000000004">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5" customHeight="1" x14ac:dyDescent="0.55000000000000004">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5" customHeight="1" x14ac:dyDescent="0.5500000000000000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5" customHeight="1" x14ac:dyDescent="0.55000000000000004">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5" customHeight="1" x14ac:dyDescent="0.55000000000000004">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5" customHeight="1" x14ac:dyDescent="0.55000000000000004">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5" customHeight="1" x14ac:dyDescent="0.55000000000000004">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5" customHeight="1" x14ac:dyDescent="0.55000000000000004">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5" customHeight="1" x14ac:dyDescent="0.55000000000000004">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5" customHeight="1" x14ac:dyDescent="0.55000000000000004">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5" customHeight="1" x14ac:dyDescent="0.55000000000000004">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5" customHeight="1" x14ac:dyDescent="0.55000000000000004">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5" customHeight="1" x14ac:dyDescent="0.550000000000000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5" customHeight="1" x14ac:dyDescent="0.55000000000000004">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5" customHeight="1" x14ac:dyDescent="0.55000000000000004">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5" customHeight="1" x14ac:dyDescent="0.55000000000000004">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5" customHeight="1" x14ac:dyDescent="0.55000000000000004">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5" customHeight="1" x14ac:dyDescent="0.55000000000000004">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5" customHeight="1" x14ac:dyDescent="0.55000000000000004">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5" customHeight="1" x14ac:dyDescent="0.55000000000000004">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5" customHeight="1" x14ac:dyDescent="0.55000000000000004">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5" customHeight="1" x14ac:dyDescent="0.55000000000000004">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5" customHeight="1" x14ac:dyDescent="0.5500000000000000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5" customHeight="1" x14ac:dyDescent="0.55000000000000004">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5" customHeight="1" x14ac:dyDescent="0.55000000000000004">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5" customHeight="1" x14ac:dyDescent="0.55000000000000004">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5" customHeight="1" x14ac:dyDescent="0.55000000000000004">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5" customHeight="1" x14ac:dyDescent="0.55000000000000004">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5" customHeight="1" x14ac:dyDescent="0.55000000000000004">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5" customHeight="1" x14ac:dyDescent="0.55000000000000004">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5" customHeight="1" x14ac:dyDescent="0.55000000000000004">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5" customHeight="1" x14ac:dyDescent="0.55000000000000004">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5" customHeight="1" x14ac:dyDescent="0.5500000000000000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5" customHeight="1" x14ac:dyDescent="0.55000000000000004">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5" customHeight="1" x14ac:dyDescent="0.55000000000000004">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5" customHeight="1" x14ac:dyDescent="0.55000000000000004">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5" customHeight="1" x14ac:dyDescent="0.55000000000000004">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5" customHeight="1" x14ac:dyDescent="0.55000000000000004">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5" customHeight="1" x14ac:dyDescent="0.55000000000000004">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5" customHeight="1" x14ac:dyDescent="0.55000000000000004">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5" customHeight="1" x14ac:dyDescent="0.55000000000000004">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5" customHeight="1" x14ac:dyDescent="0.55000000000000004">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5" customHeight="1" x14ac:dyDescent="0.5500000000000000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5" customHeight="1" x14ac:dyDescent="0.55000000000000004">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5" customHeight="1" x14ac:dyDescent="0.55000000000000004">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5" customHeight="1" x14ac:dyDescent="0.55000000000000004">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5" customHeight="1" x14ac:dyDescent="0.55000000000000004">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5" customHeight="1" x14ac:dyDescent="0.55000000000000004">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5" customHeight="1" x14ac:dyDescent="0.55000000000000004">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5" customHeight="1" x14ac:dyDescent="0.55000000000000004">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5" customHeight="1" x14ac:dyDescent="0.55000000000000004">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5" customHeight="1" x14ac:dyDescent="0.55000000000000004">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5" customHeight="1" x14ac:dyDescent="0.5500000000000000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5" customHeight="1" x14ac:dyDescent="0.55000000000000004">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5" customHeight="1" x14ac:dyDescent="0.55000000000000004">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5" customHeight="1" x14ac:dyDescent="0.55000000000000004">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5" customHeight="1" x14ac:dyDescent="0.55000000000000004">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5" customHeight="1" x14ac:dyDescent="0.55000000000000004">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5" customHeight="1" x14ac:dyDescent="0.55000000000000004">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5" customHeight="1" x14ac:dyDescent="0.55000000000000004">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5" customHeight="1" x14ac:dyDescent="0.55000000000000004">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5" customHeight="1" x14ac:dyDescent="0.55000000000000004">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5" customHeight="1" x14ac:dyDescent="0.5500000000000000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5" customHeight="1" x14ac:dyDescent="0.55000000000000004">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5" customHeight="1" x14ac:dyDescent="0.55000000000000004">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5" customHeight="1" x14ac:dyDescent="0.55000000000000004">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5" customHeight="1" x14ac:dyDescent="0.55000000000000004">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5" customHeight="1" x14ac:dyDescent="0.55000000000000004">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5" customHeight="1" x14ac:dyDescent="0.55000000000000004">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5" customHeight="1" x14ac:dyDescent="0.55000000000000004">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5" customHeight="1" x14ac:dyDescent="0.55000000000000004">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5" customHeight="1" x14ac:dyDescent="0.55000000000000004">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5" customHeight="1" x14ac:dyDescent="0.5500000000000000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5" customHeight="1" x14ac:dyDescent="0.55000000000000004">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5" customHeight="1" x14ac:dyDescent="0.55000000000000004">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5" customHeight="1" x14ac:dyDescent="0.55000000000000004">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5" customHeight="1" x14ac:dyDescent="0.55000000000000004">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5" customHeight="1" x14ac:dyDescent="0.55000000000000004">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5" customHeight="1" x14ac:dyDescent="0.55000000000000004">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5" customHeight="1" x14ac:dyDescent="0.55000000000000004">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5" customHeight="1" x14ac:dyDescent="0.55000000000000004">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5" customHeight="1" x14ac:dyDescent="0.55000000000000004">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5" customHeight="1" x14ac:dyDescent="0.5500000000000000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5" customHeight="1" x14ac:dyDescent="0.55000000000000004">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5" customHeight="1" x14ac:dyDescent="0.55000000000000004">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5" customHeight="1" x14ac:dyDescent="0.55000000000000004">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5" customHeight="1" x14ac:dyDescent="0.55000000000000004">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5" customHeight="1" x14ac:dyDescent="0.55000000000000004">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5" customHeight="1" x14ac:dyDescent="0.55000000000000004">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5" customHeight="1" x14ac:dyDescent="0.55000000000000004">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5" customHeight="1" x14ac:dyDescent="0.55000000000000004">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5" customHeight="1" x14ac:dyDescent="0.55000000000000004">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5" customHeight="1" x14ac:dyDescent="0.5500000000000000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5.75" customHeight="1" x14ac:dyDescent="0.55000000000000004">
      <c r="A285" s="240"/>
      <c r="B285" s="240"/>
      <c r="C285" s="240"/>
      <c r="D285" s="240"/>
      <c r="E285" s="240"/>
      <c r="F285" s="240"/>
      <c r="G285" s="240"/>
      <c r="H285" s="240"/>
      <c r="I285" s="240"/>
      <c r="J285" s="240"/>
      <c r="K285" s="240"/>
      <c r="L285" s="240"/>
      <c r="M285" s="240"/>
      <c r="N285" s="240"/>
      <c r="O285" s="240"/>
      <c r="P285" s="240"/>
      <c r="Q285" s="240"/>
      <c r="R285" s="240"/>
      <c r="S285" s="240"/>
      <c r="T285" s="240"/>
      <c r="U285" s="240"/>
      <c r="V285" s="240"/>
      <c r="W285" s="240"/>
      <c r="X285" s="240"/>
      <c r="Y285" s="240"/>
      <c r="Z285" s="240"/>
    </row>
    <row r="286" spans="1:26" ht="15.75" customHeight="1" x14ac:dyDescent="0.55000000000000004">
      <c r="A286" s="240"/>
      <c r="B286" s="240"/>
      <c r="C286" s="240"/>
      <c r="D286" s="240"/>
      <c r="E286" s="240"/>
      <c r="F286" s="240"/>
      <c r="G286" s="240"/>
      <c r="H286" s="240"/>
      <c r="I286" s="240"/>
      <c r="J286" s="240"/>
      <c r="K286" s="240"/>
      <c r="L286" s="240"/>
      <c r="M286" s="240"/>
      <c r="N286" s="240"/>
      <c r="O286" s="240"/>
      <c r="P286" s="240"/>
      <c r="Q286" s="240"/>
      <c r="R286" s="240"/>
      <c r="S286" s="240"/>
      <c r="T286" s="240"/>
      <c r="U286" s="240"/>
      <c r="V286" s="240"/>
      <c r="W286" s="240"/>
      <c r="X286" s="240"/>
      <c r="Y286" s="240"/>
      <c r="Z286" s="240"/>
    </row>
    <row r="287" spans="1:26" ht="15.75" customHeight="1" x14ac:dyDescent="0.55000000000000004">
      <c r="A287" s="240"/>
      <c r="B287" s="240"/>
      <c r="C287" s="240"/>
      <c r="D287" s="240"/>
      <c r="E287" s="240"/>
      <c r="F287" s="240"/>
      <c r="G287" s="240"/>
      <c r="H287" s="240"/>
      <c r="I287" s="240"/>
      <c r="J287" s="240"/>
      <c r="K287" s="240"/>
      <c r="L287" s="240"/>
      <c r="M287" s="240"/>
      <c r="N287" s="240"/>
      <c r="O287" s="240"/>
      <c r="P287" s="240"/>
      <c r="Q287" s="240"/>
      <c r="R287" s="240"/>
      <c r="S287" s="240"/>
      <c r="T287" s="240"/>
      <c r="U287" s="240"/>
      <c r="V287" s="240"/>
      <c r="W287" s="240"/>
      <c r="X287" s="240"/>
      <c r="Y287" s="240"/>
      <c r="Z287" s="240"/>
    </row>
    <row r="288" spans="1:26" ht="15.75" customHeight="1" x14ac:dyDescent="0.55000000000000004">
      <c r="A288" s="240"/>
      <c r="B288" s="240"/>
      <c r="C288" s="240"/>
      <c r="D288" s="240"/>
      <c r="E288" s="240"/>
      <c r="F288" s="240"/>
      <c r="G288" s="240"/>
      <c r="H288" s="240"/>
      <c r="I288" s="240"/>
      <c r="J288" s="240"/>
      <c r="K288" s="240"/>
      <c r="L288" s="240"/>
      <c r="M288" s="240"/>
      <c r="N288" s="240"/>
      <c r="O288" s="240"/>
      <c r="P288" s="240"/>
      <c r="Q288" s="240"/>
      <c r="R288" s="240"/>
      <c r="S288" s="240"/>
      <c r="T288" s="240"/>
      <c r="U288" s="240"/>
      <c r="V288" s="240"/>
      <c r="W288" s="240"/>
      <c r="X288" s="240"/>
      <c r="Y288" s="240"/>
      <c r="Z288" s="240"/>
    </row>
    <row r="289" spans="1:26" ht="15.75" customHeight="1" x14ac:dyDescent="0.55000000000000004">
      <c r="A289" s="240"/>
      <c r="B289" s="240"/>
      <c r="C289" s="240"/>
      <c r="D289" s="240"/>
      <c r="E289" s="240"/>
      <c r="F289" s="240"/>
      <c r="G289" s="240"/>
      <c r="H289" s="240"/>
      <c r="I289" s="240"/>
      <c r="J289" s="240"/>
      <c r="K289" s="240"/>
      <c r="L289" s="240"/>
      <c r="M289" s="240"/>
      <c r="N289" s="240"/>
      <c r="O289" s="240"/>
      <c r="P289" s="240"/>
      <c r="Q289" s="240"/>
      <c r="R289" s="240"/>
      <c r="S289" s="240"/>
      <c r="T289" s="240"/>
      <c r="U289" s="240"/>
      <c r="V289" s="240"/>
      <c r="W289" s="240"/>
      <c r="X289" s="240"/>
      <c r="Y289" s="240"/>
      <c r="Z289" s="240"/>
    </row>
    <row r="290" spans="1:26" ht="15.75" customHeight="1" x14ac:dyDescent="0.55000000000000004">
      <c r="A290" s="240"/>
      <c r="B290" s="240"/>
      <c r="C290" s="240"/>
      <c r="D290" s="240"/>
      <c r="E290" s="240"/>
      <c r="F290" s="240"/>
      <c r="G290" s="240"/>
      <c r="H290" s="240"/>
      <c r="I290" s="240"/>
      <c r="J290" s="240"/>
      <c r="K290" s="240"/>
      <c r="L290" s="240"/>
      <c r="M290" s="240"/>
      <c r="N290" s="240"/>
      <c r="O290" s="240"/>
      <c r="P290" s="240"/>
      <c r="Q290" s="240"/>
      <c r="R290" s="240"/>
      <c r="S290" s="240"/>
      <c r="T290" s="240"/>
      <c r="U290" s="240"/>
      <c r="V290" s="240"/>
      <c r="W290" s="240"/>
      <c r="X290" s="240"/>
      <c r="Y290" s="240"/>
      <c r="Z290" s="240"/>
    </row>
    <row r="291" spans="1:26" ht="15.75" customHeight="1" x14ac:dyDescent="0.55000000000000004">
      <c r="A291" s="240"/>
      <c r="B291" s="240"/>
      <c r="C291" s="240"/>
      <c r="D291" s="240"/>
      <c r="E291" s="240"/>
      <c r="F291" s="240"/>
      <c r="G291" s="240"/>
      <c r="H291" s="240"/>
      <c r="I291" s="240"/>
      <c r="J291" s="240"/>
      <c r="K291" s="240"/>
      <c r="L291" s="240"/>
      <c r="M291" s="240"/>
      <c r="N291" s="240"/>
      <c r="O291" s="240"/>
      <c r="P291" s="240"/>
      <c r="Q291" s="240"/>
      <c r="R291" s="240"/>
      <c r="S291" s="240"/>
      <c r="T291" s="240"/>
      <c r="U291" s="240"/>
      <c r="V291" s="240"/>
      <c r="W291" s="240"/>
      <c r="X291" s="240"/>
      <c r="Y291" s="240"/>
      <c r="Z291" s="240"/>
    </row>
    <row r="292" spans="1:26" ht="15.75" customHeight="1" x14ac:dyDescent="0.55000000000000004">
      <c r="A292" s="240"/>
      <c r="B292" s="240"/>
      <c r="C292" s="240"/>
      <c r="D292" s="240"/>
      <c r="E292" s="240"/>
      <c r="F292" s="240"/>
      <c r="G292" s="240"/>
      <c r="H292" s="240"/>
      <c r="I292" s="240"/>
      <c r="J292" s="240"/>
      <c r="K292" s="240"/>
      <c r="L292" s="240"/>
      <c r="M292" s="240"/>
      <c r="N292" s="240"/>
      <c r="O292" s="240"/>
      <c r="P292" s="240"/>
      <c r="Q292" s="240"/>
      <c r="R292" s="240"/>
      <c r="S292" s="240"/>
      <c r="T292" s="240"/>
      <c r="U292" s="240"/>
      <c r="V292" s="240"/>
      <c r="W292" s="240"/>
      <c r="X292" s="240"/>
      <c r="Y292" s="240"/>
      <c r="Z292" s="240"/>
    </row>
    <row r="293" spans="1:26" ht="15.75" customHeight="1" x14ac:dyDescent="0.55000000000000004">
      <c r="A293" s="240"/>
      <c r="B293" s="240"/>
      <c r="C293" s="240"/>
      <c r="D293" s="240"/>
      <c r="E293" s="240"/>
      <c r="F293" s="240"/>
      <c r="G293" s="240"/>
      <c r="H293" s="240"/>
      <c r="I293" s="240"/>
      <c r="J293" s="240"/>
      <c r="K293" s="240"/>
      <c r="L293" s="240"/>
      <c r="M293" s="240"/>
      <c r="N293" s="240"/>
      <c r="O293" s="240"/>
      <c r="P293" s="240"/>
      <c r="Q293" s="240"/>
      <c r="R293" s="240"/>
      <c r="S293" s="240"/>
      <c r="T293" s="240"/>
      <c r="U293" s="240"/>
      <c r="V293" s="240"/>
      <c r="W293" s="240"/>
      <c r="X293" s="240"/>
      <c r="Y293" s="240"/>
      <c r="Z293" s="240"/>
    </row>
    <row r="294" spans="1:26" ht="15.75" customHeight="1" x14ac:dyDescent="0.55000000000000004">
      <c r="A294" s="240"/>
      <c r="B294" s="240"/>
      <c r="C294" s="240"/>
      <c r="D294" s="240"/>
      <c r="E294" s="240"/>
      <c r="F294" s="240"/>
      <c r="G294" s="240"/>
      <c r="H294" s="240"/>
      <c r="I294" s="240"/>
      <c r="J294" s="240"/>
      <c r="K294" s="240"/>
      <c r="L294" s="240"/>
      <c r="M294" s="240"/>
      <c r="N294" s="240"/>
      <c r="O294" s="240"/>
      <c r="P294" s="240"/>
      <c r="Q294" s="240"/>
      <c r="R294" s="240"/>
      <c r="S294" s="240"/>
      <c r="T294" s="240"/>
      <c r="U294" s="240"/>
      <c r="V294" s="240"/>
      <c r="W294" s="240"/>
      <c r="X294" s="240"/>
      <c r="Y294" s="240"/>
      <c r="Z294" s="240"/>
    </row>
    <row r="295" spans="1:26" ht="15.75" customHeight="1" x14ac:dyDescent="0.55000000000000004">
      <c r="A295" s="240"/>
      <c r="B295" s="240"/>
      <c r="C295" s="240"/>
      <c r="D295" s="240"/>
      <c r="E295" s="240"/>
      <c r="F295" s="240"/>
      <c r="G295" s="240"/>
      <c r="H295" s="240"/>
      <c r="I295" s="240"/>
      <c r="J295" s="240"/>
      <c r="K295" s="240"/>
      <c r="L295" s="240"/>
      <c r="M295" s="240"/>
      <c r="N295" s="240"/>
      <c r="O295" s="240"/>
      <c r="P295" s="240"/>
      <c r="Q295" s="240"/>
      <c r="R295" s="240"/>
      <c r="S295" s="240"/>
      <c r="T295" s="240"/>
      <c r="U295" s="240"/>
      <c r="V295" s="240"/>
      <c r="W295" s="240"/>
      <c r="X295" s="240"/>
      <c r="Y295" s="240"/>
      <c r="Z295" s="240"/>
    </row>
    <row r="296" spans="1:26" ht="15.75" customHeight="1" x14ac:dyDescent="0.55000000000000004">
      <c r="A296" s="240"/>
      <c r="B296" s="240"/>
      <c r="C296" s="240"/>
      <c r="D296" s="240"/>
      <c r="E296" s="240"/>
      <c r="F296" s="240"/>
      <c r="G296" s="240"/>
      <c r="H296" s="240"/>
      <c r="I296" s="240"/>
      <c r="J296" s="240"/>
      <c r="K296" s="240"/>
      <c r="L296" s="240"/>
      <c r="M296" s="240"/>
      <c r="N296" s="240"/>
      <c r="O296" s="240"/>
      <c r="P296" s="240"/>
      <c r="Q296" s="240"/>
      <c r="R296" s="240"/>
      <c r="S296" s="240"/>
      <c r="T296" s="240"/>
      <c r="U296" s="240"/>
      <c r="V296" s="240"/>
      <c r="W296" s="240"/>
      <c r="X296" s="240"/>
      <c r="Y296" s="240"/>
      <c r="Z296" s="240"/>
    </row>
    <row r="297" spans="1:26" ht="15.75" customHeight="1" x14ac:dyDescent="0.55000000000000004">
      <c r="A297" s="240"/>
      <c r="B297" s="240"/>
      <c r="C297" s="240"/>
      <c r="D297" s="240"/>
      <c r="E297" s="240"/>
      <c r="F297" s="240"/>
      <c r="G297" s="240"/>
      <c r="H297" s="240"/>
      <c r="I297" s="240"/>
      <c r="J297" s="240"/>
      <c r="K297" s="240"/>
      <c r="L297" s="240"/>
      <c r="M297" s="240"/>
      <c r="N297" s="240"/>
      <c r="O297" s="240"/>
      <c r="P297" s="240"/>
      <c r="Q297" s="240"/>
      <c r="R297" s="240"/>
      <c r="S297" s="240"/>
      <c r="T297" s="240"/>
      <c r="U297" s="240"/>
      <c r="V297" s="240"/>
      <c r="W297" s="240"/>
      <c r="X297" s="240"/>
      <c r="Y297" s="240"/>
      <c r="Z297" s="240"/>
    </row>
    <row r="298" spans="1:26" ht="15.75" customHeight="1" x14ac:dyDescent="0.55000000000000004">
      <c r="A298" s="240"/>
      <c r="B298" s="240"/>
      <c r="C298" s="240"/>
      <c r="D298" s="240"/>
      <c r="E298" s="240"/>
      <c r="F298" s="240"/>
      <c r="G298" s="240"/>
      <c r="H298" s="240"/>
      <c r="I298" s="240"/>
      <c r="J298" s="240"/>
      <c r="K298" s="240"/>
      <c r="L298" s="240"/>
      <c r="M298" s="240"/>
      <c r="N298" s="240"/>
      <c r="O298" s="240"/>
      <c r="P298" s="240"/>
      <c r="Q298" s="240"/>
      <c r="R298" s="240"/>
      <c r="S298" s="240"/>
      <c r="T298" s="240"/>
      <c r="U298" s="240"/>
      <c r="V298" s="240"/>
      <c r="W298" s="240"/>
      <c r="X298" s="240"/>
      <c r="Y298" s="240"/>
      <c r="Z298" s="240"/>
    </row>
    <row r="299" spans="1:26" ht="15.75" customHeight="1" x14ac:dyDescent="0.55000000000000004">
      <c r="A299" s="240"/>
      <c r="B299" s="240"/>
      <c r="C299" s="240"/>
      <c r="D299" s="240"/>
      <c r="E299" s="240"/>
      <c r="F299" s="240"/>
      <c r="G299" s="240"/>
      <c r="H299" s="240"/>
      <c r="I299" s="240"/>
      <c r="J299" s="240"/>
      <c r="K299" s="240"/>
      <c r="L299" s="240"/>
      <c r="M299" s="240"/>
      <c r="N299" s="240"/>
      <c r="O299" s="240"/>
      <c r="P299" s="240"/>
      <c r="Q299" s="240"/>
      <c r="R299" s="240"/>
      <c r="S299" s="240"/>
      <c r="T299" s="240"/>
      <c r="U299" s="240"/>
      <c r="V299" s="240"/>
      <c r="W299" s="240"/>
      <c r="X299" s="240"/>
      <c r="Y299" s="240"/>
      <c r="Z299" s="240"/>
    </row>
    <row r="300" spans="1:26" ht="15.75" customHeight="1" x14ac:dyDescent="0.55000000000000004">
      <c r="A300" s="240"/>
      <c r="B300" s="240"/>
      <c r="C300" s="240"/>
      <c r="D300" s="240"/>
      <c r="E300" s="240"/>
      <c r="F300" s="240"/>
      <c r="G300" s="240"/>
      <c r="H300" s="240"/>
      <c r="I300" s="240"/>
      <c r="J300" s="240"/>
      <c r="K300" s="240"/>
      <c r="L300" s="240"/>
      <c r="M300" s="240"/>
      <c r="N300" s="240"/>
      <c r="O300" s="240"/>
      <c r="P300" s="240"/>
      <c r="Q300" s="240"/>
      <c r="R300" s="240"/>
      <c r="S300" s="240"/>
      <c r="T300" s="240"/>
      <c r="U300" s="240"/>
      <c r="V300" s="240"/>
      <c r="W300" s="240"/>
      <c r="X300" s="240"/>
      <c r="Y300" s="240"/>
      <c r="Z300" s="240"/>
    </row>
    <row r="301" spans="1:26" ht="15.75" customHeight="1" x14ac:dyDescent="0.55000000000000004">
      <c r="A301" s="240"/>
      <c r="B301" s="240"/>
      <c r="C301" s="240"/>
      <c r="D301" s="240"/>
      <c r="E301" s="240"/>
      <c r="F301" s="240"/>
      <c r="G301" s="240"/>
      <c r="H301" s="240"/>
      <c r="I301" s="240"/>
      <c r="J301" s="240"/>
      <c r="K301" s="240"/>
      <c r="L301" s="240"/>
      <c r="M301" s="240"/>
      <c r="N301" s="240"/>
      <c r="O301" s="240"/>
      <c r="P301" s="240"/>
      <c r="Q301" s="240"/>
      <c r="R301" s="240"/>
      <c r="S301" s="240"/>
      <c r="T301" s="240"/>
      <c r="U301" s="240"/>
      <c r="V301" s="240"/>
      <c r="W301" s="240"/>
      <c r="X301" s="240"/>
      <c r="Y301" s="240"/>
      <c r="Z301" s="240"/>
    </row>
    <row r="302" spans="1:26" ht="15.75" customHeight="1" x14ac:dyDescent="0.55000000000000004">
      <c r="A302" s="240"/>
      <c r="B302" s="240"/>
      <c r="C302" s="240"/>
      <c r="D302" s="240"/>
      <c r="E302" s="240"/>
      <c r="F302" s="240"/>
      <c r="G302" s="240"/>
      <c r="H302" s="240"/>
      <c r="I302" s="240"/>
      <c r="J302" s="240"/>
      <c r="K302" s="240"/>
      <c r="L302" s="240"/>
      <c r="M302" s="240"/>
      <c r="N302" s="240"/>
      <c r="O302" s="240"/>
      <c r="P302" s="240"/>
      <c r="Q302" s="240"/>
      <c r="R302" s="240"/>
      <c r="S302" s="240"/>
      <c r="T302" s="240"/>
      <c r="U302" s="240"/>
      <c r="V302" s="240"/>
      <c r="W302" s="240"/>
      <c r="X302" s="240"/>
      <c r="Y302" s="240"/>
      <c r="Z302" s="240"/>
    </row>
    <row r="303" spans="1:26" ht="15.75" customHeight="1" x14ac:dyDescent="0.55000000000000004">
      <c r="A303" s="240"/>
      <c r="B303" s="240"/>
      <c r="C303" s="240"/>
      <c r="D303" s="240"/>
      <c r="E303" s="240"/>
      <c r="F303" s="240"/>
      <c r="G303" s="240"/>
      <c r="H303" s="240"/>
      <c r="I303" s="240"/>
      <c r="J303" s="240"/>
      <c r="K303" s="240"/>
      <c r="L303" s="240"/>
      <c r="M303" s="240"/>
      <c r="N303" s="240"/>
      <c r="O303" s="240"/>
      <c r="P303" s="240"/>
      <c r="Q303" s="240"/>
      <c r="R303" s="240"/>
      <c r="S303" s="240"/>
      <c r="T303" s="240"/>
      <c r="U303" s="240"/>
      <c r="V303" s="240"/>
      <c r="W303" s="240"/>
      <c r="X303" s="240"/>
      <c r="Y303" s="240"/>
      <c r="Z303" s="240"/>
    </row>
    <row r="304" spans="1:26" ht="15.75" customHeight="1" x14ac:dyDescent="0.55000000000000004">
      <c r="A304" s="240"/>
      <c r="B304" s="240"/>
      <c r="C304" s="240"/>
      <c r="D304" s="240"/>
      <c r="E304" s="240"/>
      <c r="F304" s="240"/>
      <c r="G304" s="240"/>
      <c r="H304" s="240"/>
      <c r="I304" s="240"/>
      <c r="J304" s="240"/>
      <c r="K304" s="240"/>
      <c r="L304" s="240"/>
      <c r="M304" s="240"/>
      <c r="N304" s="240"/>
      <c r="O304" s="240"/>
      <c r="P304" s="240"/>
      <c r="Q304" s="240"/>
      <c r="R304" s="240"/>
      <c r="S304" s="240"/>
      <c r="T304" s="240"/>
      <c r="U304" s="240"/>
      <c r="V304" s="240"/>
      <c r="W304" s="240"/>
      <c r="X304" s="240"/>
      <c r="Y304" s="240"/>
      <c r="Z304" s="240"/>
    </row>
    <row r="305" spans="1:26" ht="15.75" customHeight="1" x14ac:dyDescent="0.55000000000000004">
      <c r="A305" s="240"/>
      <c r="B305" s="240"/>
      <c r="C305" s="240"/>
      <c r="D305" s="240"/>
      <c r="E305" s="240"/>
      <c r="F305" s="240"/>
      <c r="G305" s="240"/>
      <c r="H305" s="240"/>
      <c r="I305" s="240"/>
      <c r="J305" s="240"/>
      <c r="K305" s="240"/>
      <c r="L305" s="240"/>
      <c r="M305" s="240"/>
      <c r="N305" s="240"/>
      <c r="O305" s="240"/>
      <c r="P305" s="240"/>
      <c r="Q305" s="240"/>
      <c r="R305" s="240"/>
      <c r="S305" s="240"/>
      <c r="T305" s="240"/>
      <c r="U305" s="240"/>
      <c r="V305" s="240"/>
      <c r="W305" s="240"/>
      <c r="X305" s="240"/>
      <c r="Y305" s="240"/>
      <c r="Z305" s="240"/>
    </row>
    <row r="306" spans="1:26" ht="15.75" customHeight="1" x14ac:dyDescent="0.55000000000000004">
      <c r="A306" s="240"/>
      <c r="B306" s="240"/>
      <c r="C306" s="240"/>
      <c r="D306" s="240"/>
      <c r="E306" s="240"/>
      <c r="F306" s="240"/>
      <c r="G306" s="240"/>
      <c r="H306" s="240"/>
      <c r="I306" s="240"/>
      <c r="J306" s="240"/>
      <c r="K306" s="240"/>
      <c r="L306" s="240"/>
      <c r="M306" s="240"/>
      <c r="N306" s="240"/>
      <c r="O306" s="240"/>
      <c r="P306" s="240"/>
      <c r="Q306" s="240"/>
      <c r="R306" s="240"/>
      <c r="S306" s="240"/>
      <c r="T306" s="240"/>
      <c r="U306" s="240"/>
      <c r="V306" s="240"/>
      <c r="W306" s="240"/>
      <c r="X306" s="240"/>
      <c r="Y306" s="240"/>
      <c r="Z306" s="240"/>
    </row>
    <row r="307" spans="1:26" ht="15.75" customHeight="1" x14ac:dyDescent="0.55000000000000004">
      <c r="A307" s="240"/>
      <c r="B307" s="240"/>
      <c r="C307" s="240"/>
      <c r="D307" s="240"/>
      <c r="E307" s="240"/>
      <c r="F307" s="240"/>
      <c r="G307" s="240"/>
      <c r="H307" s="240"/>
      <c r="I307" s="240"/>
      <c r="J307" s="240"/>
      <c r="K307" s="240"/>
      <c r="L307" s="240"/>
      <c r="M307" s="240"/>
      <c r="N307" s="240"/>
      <c r="O307" s="240"/>
      <c r="P307" s="240"/>
      <c r="Q307" s="240"/>
      <c r="R307" s="240"/>
      <c r="S307" s="240"/>
      <c r="T307" s="240"/>
      <c r="U307" s="240"/>
      <c r="V307" s="240"/>
      <c r="W307" s="240"/>
      <c r="X307" s="240"/>
      <c r="Y307" s="240"/>
      <c r="Z307" s="240"/>
    </row>
    <row r="308" spans="1:26" ht="15.75" customHeight="1" x14ac:dyDescent="0.55000000000000004">
      <c r="A308" s="240"/>
      <c r="B308" s="240"/>
      <c r="C308" s="240"/>
      <c r="D308" s="240"/>
      <c r="E308" s="240"/>
      <c r="F308" s="240"/>
      <c r="G308" s="240"/>
      <c r="H308" s="240"/>
      <c r="I308" s="240"/>
      <c r="J308" s="240"/>
      <c r="K308" s="240"/>
      <c r="L308" s="240"/>
      <c r="M308" s="240"/>
      <c r="N308" s="240"/>
      <c r="O308" s="240"/>
      <c r="P308" s="240"/>
      <c r="Q308" s="240"/>
      <c r="R308" s="240"/>
      <c r="S308" s="240"/>
      <c r="T308" s="240"/>
      <c r="U308" s="240"/>
      <c r="V308" s="240"/>
      <c r="W308" s="240"/>
      <c r="X308" s="240"/>
      <c r="Y308" s="240"/>
      <c r="Z308" s="240"/>
    </row>
    <row r="309" spans="1:26" ht="15.75" customHeight="1" x14ac:dyDescent="0.55000000000000004">
      <c r="A309" s="240"/>
      <c r="B309" s="240"/>
      <c r="C309" s="240"/>
      <c r="D309" s="240"/>
      <c r="E309" s="240"/>
      <c r="F309" s="240"/>
      <c r="G309" s="240"/>
      <c r="H309" s="240"/>
      <c r="I309" s="240"/>
      <c r="J309" s="240"/>
      <c r="K309" s="240"/>
      <c r="L309" s="240"/>
      <c r="M309" s="240"/>
      <c r="N309" s="240"/>
      <c r="O309" s="240"/>
      <c r="P309" s="240"/>
      <c r="Q309" s="240"/>
      <c r="R309" s="240"/>
      <c r="S309" s="240"/>
      <c r="T309" s="240"/>
      <c r="U309" s="240"/>
      <c r="V309" s="240"/>
      <c r="W309" s="240"/>
      <c r="X309" s="240"/>
      <c r="Y309" s="240"/>
      <c r="Z309" s="240"/>
    </row>
    <row r="310" spans="1:26" ht="15.75" customHeight="1" x14ac:dyDescent="0.55000000000000004">
      <c r="A310" s="240"/>
      <c r="B310" s="240"/>
      <c r="C310" s="240"/>
      <c r="D310" s="240"/>
      <c r="E310" s="240"/>
      <c r="F310" s="240"/>
      <c r="G310" s="240"/>
      <c r="H310" s="240"/>
      <c r="I310" s="240"/>
      <c r="J310" s="240"/>
      <c r="K310" s="240"/>
      <c r="L310" s="240"/>
      <c r="M310" s="240"/>
      <c r="N310" s="240"/>
      <c r="O310" s="240"/>
      <c r="P310" s="240"/>
      <c r="Q310" s="240"/>
      <c r="R310" s="240"/>
      <c r="S310" s="240"/>
      <c r="T310" s="240"/>
      <c r="U310" s="240"/>
      <c r="V310" s="240"/>
      <c r="W310" s="240"/>
      <c r="X310" s="240"/>
      <c r="Y310" s="240"/>
      <c r="Z310" s="240"/>
    </row>
    <row r="311" spans="1:26" ht="15.75" customHeight="1" x14ac:dyDescent="0.55000000000000004">
      <c r="A311" s="240"/>
      <c r="B311" s="240"/>
      <c r="C311" s="240"/>
      <c r="D311" s="240"/>
      <c r="E311" s="240"/>
      <c r="F311" s="240"/>
      <c r="G311" s="240"/>
      <c r="H311" s="240"/>
      <c r="I311" s="240"/>
      <c r="J311" s="240"/>
      <c r="K311" s="240"/>
      <c r="L311" s="240"/>
      <c r="M311" s="240"/>
      <c r="N311" s="240"/>
      <c r="O311" s="240"/>
      <c r="P311" s="240"/>
      <c r="Q311" s="240"/>
      <c r="R311" s="240"/>
      <c r="S311" s="240"/>
      <c r="T311" s="240"/>
      <c r="U311" s="240"/>
      <c r="V311" s="240"/>
      <c r="W311" s="240"/>
      <c r="X311" s="240"/>
      <c r="Y311" s="240"/>
      <c r="Z311" s="240"/>
    </row>
    <row r="312" spans="1:26" ht="15.75" customHeight="1" x14ac:dyDescent="0.55000000000000004">
      <c r="A312" s="240"/>
      <c r="B312" s="240"/>
      <c r="C312" s="240"/>
      <c r="D312" s="240"/>
      <c r="E312" s="240"/>
      <c r="F312" s="240"/>
      <c r="G312" s="240"/>
      <c r="H312" s="240"/>
      <c r="I312" s="240"/>
      <c r="J312" s="240"/>
      <c r="K312" s="240"/>
      <c r="L312" s="240"/>
      <c r="M312" s="240"/>
      <c r="N312" s="240"/>
      <c r="O312" s="240"/>
      <c r="P312" s="240"/>
      <c r="Q312" s="240"/>
      <c r="R312" s="240"/>
      <c r="S312" s="240"/>
      <c r="T312" s="240"/>
      <c r="U312" s="240"/>
      <c r="V312" s="240"/>
      <c r="W312" s="240"/>
      <c r="X312" s="240"/>
      <c r="Y312" s="240"/>
      <c r="Z312" s="240"/>
    </row>
    <row r="313" spans="1:26" ht="15.75" customHeight="1" x14ac:dyDescent="0.55000000000000004">
      <c r="A313" s="240"/>
      <c r="B313" s="240"/>
      <c r="C313" s="240"/>
      <c r="D313" s="240"/>
      <c r="E313" s="240"/>
      <c r="F313" s="240"/>
      <c r="G313" s="240"/>
      <c r="H313" s="240"/>
      <c r="I313" s="240"/>
      <c r="J313" s="240"/>
      <c r="K313" s="240"/>
      <c r="L313" s="240"/>
      <c r="M313" s="240"/>
      <c r="N313" s="240"/>
      <c r="O313" s="240"/>
      <c r="P313" s="240"/>
      <c r="Q313" s="240"/>
      <c r="R313" s="240"/>
      <c r="S313" s="240"/>
      <c r="T313" s="240"/>
      <c r="U313" s="240"/>
      <c r="V313" s="240"/>
      <c r="W313" s="240"/>
      <c r="X313" s="240"/>
      <c r="Y313" s="240"/>
      <c r="Z313" s="240"/>
    </row>
    <row r="314" spans="1:26" ht="15.75" customHeight="1" x14ac:dyDescent="0.55000000000000004">
      <c r="A314" s="240"/>
      <c r="B314" s="240"/>
      <c r="C314" s="240"/>
      <c r="D314" s="240"/>
      <c r="E314" s="240"/>
      <c r="F314" s="240"/>
      <c r="G314" s="240"/>
      <c r="H314" s="240"/>
      <c r="I314" s="240"/>
      <c r="J314" s="240"/>
      <c r="K314" s="240"/>
      <c r="L314" s="240"/>
      <c r="M314" s="240"/>
      <c r="N314" s="240"/>
      <c r="O314" s="240"/>
      <c r="P314" s="240"/>
      <c r="Q314" s="240"/>
      <c r="R314" s="240"/>
      <c r="S314" s="240"/>
      <c r="T314" s="240"/>
      <c r="U314" s="240"/>
      <c r="V314" s="240"/>
      <c r="W314" s="240"/>
      <c r="X314" s="240"/>
      <c r="Y314" s="240"/>
      <c r="Z314" s="240"/>
    </row>
    <row r="315" spans="1:26" ht="15.75" customHeight="1" x14ac:dyDescent="0.55000000000000004">
      <c r="A315" s="240"/>
      <c r="B315" s="240"/>
      <c r="C315" s="240"/>
      <c r="D315" s="240"/>
      <c r="E315" s="240"/>
      <c r="F315" s="240"/>
      <c r="G315" s="240"/>
      <c r="H315" s="240"/>
      <c r="I315" s="240"/>
      <c r="J315" s="240"/>
      <c r="K315" s="240"/>
      <c r="L315" s="240"/>
      <c r="M315" s="240"/>
      <c r="N315" s="240"/>
      <c r="O315" s="240"/>
      <c r="P315" s="240"/>
      <c r="Q315" s="240"/>
      <c r="R315" s="240"/>
      <c r="S315" s="240"/>
      <c r="T315" s="240"/>
      <c r="U315" s="240"/>
      <c r="V315" s="240"/>
      <c r="W315" s="240"/>
      <c r="X315" s="240"/>
      <c r="Y315" s="240"/>
      <c r="Z315" s="240"/>
    </row>
    <row r="316" spans="1:26" ht="15.75" customHeight="1" x14ac:dyDescent="0.55000000000000004">
      <c r="A316" s="240"/>
      <c r="B316" s="240"/>
      <c r="C316" s="240"/>
      <c r="D316" s="240"/>
      <c r="E316" s="240"/>
      <c r="F316" s="240"/>
      <c r="G316" s="240"/>
      <c r="H316" s="240"/>
      <c r="I316" s="240"/>
      <c r="J316" s="240"/>
      <c r="K316" s="240"/>
      <c r="L316" s="240"/>
      <c r="M316" s="240"/>
      <c r="N316" s="240"/>
      <c r="O316" s="240"/>
      <c r="P316" s="240"/>
      <c r="Q316" s="240"/>
      <c r="R316" s="240"/>
      <c r="S316" s="240"/>
      <c r="T316" s="240"/>
      <c r="U316" s="240"/>
      <c r="V316" s="240"/>
      <c r="W316" s="240"/>
      <c r="X316" s="240"/>
      <c r="Y316" s="240"/>
      <c r="Z316" s="240"/>
    </row>
    <row r="317" spans="1:26" ht="15.75" customHeight="1" x14ac:dyDescent="0.55000000000000004">
      <c r="A317" s="240"/>
      <c r="B317" s="240"/>
      <c r="C317" s="240"/>
      <c r="D317" s="240"/>
      <c r="E317" s="240"/>
      <c r="F317" s="240"/>
      <c r="G317" s="240"/>
      <c r="H317" s="240"/>
      <c r="I317" s="240"/>
      <c r="J317" s="240"/>
      <c r="K317" s="240"/>
      <c r="L317" s="240"/>
      <c r="M317" s="240"/>
      <c r="N317" s="240"/>
      <c r="O317" s="240"/>
      <c r="P317" s="240"/>
      <c r="Q317" s="240"/>
      <c r="R317" s="240"/>
      <c r="S317" s="240"/>
      <c r="T317" s="240"/>
      <c r="U317" s="240"/>
      <c r="V317" s="240"/>
      <c r="W317" s="240"/>
      <c r="X317" s="240"/>
      <c r="Y317" s="240"/>
      <c r="Z317" s="240"/>
    </row>
    <row r="318" spans="1:26" ht="15.75" customHeight="1" x14ac:dyDescent="0.55000000000000004">
      <c r="A318" s="240"/>
      <c r="B318" s="240"/>
      <c r="C318" s="240"/>
      <c r="D318" s="240"/>
      <c r="E318" s="240"/>
      <c r="F318" s="240"/>
      <c r="G318" s="240"/>
      <c r="H318" s="240"/>
      <c r="I318" s="240"/>
      <c r="J318" s="240"/>
      <c r="K318" s="240"/>
      <c r="L318" s="240"/>
      <c r="M318" s="240"/>
      <c r="N318" s="240"/>
      <c r="O318" s="240"/>
      <c r="P318" s="240"/>
      <c r="Q318" s="240"/>
      <c r="R318" s="240"/>
      <c r="S318" s="240"/>
      <c r="T318" s="240"/>
      <c r="U318" s="240"/>
      <c r="V318" s="240"/>
      <c r="W318" s="240"/>
      <c r="X318" s="240"/>
      <c r="Y318" s="240"/>
      <c r="Z318" s="240"/>
    </row>
    <row r="319" spans="1:26" ht="15.75" customHeight="1" x14ac:dyDescent="0.55000000000000004">
      <c r="A319" s="240"/>
      <c r="B319" s="240"/>
      <c r="C319" s="240"/>
      <c r="D319" s="240"/>
      <c r="E319" s="240"/>
      <c r="F319" s="240"/>
      <c r="G319" s="240"/>
      <c r="H319" s="240"/>
      <c r="I319" s="240"/>
      <c r="J319" s="240"/>
      <c r="K319" s="240"/>
      <c r="L319" s="240"/>
      <c r="M319" s="240"/>
      <c r="N319" s="240"/>
      <c r="O319" s="240"/>
      <c r="P319" s="240"/>
      <c r="Q319" s="240"/>
      <c r="R319" s="240"/>
      <c r="S319" s="240"/>
      <c r="T319" s="240"/>
      <c r="U319" s="240"/>
      <c r="V319" s="240"/>
      <c r="W319" s="240"/>
      <c r="X319" s="240"/>
      <c r="Y319" s="240"/>
      <c r="Z319" s="240"/>
    </row>
    <row r="320" spans="1:26" ht="15.75" customHeight="1" x14ac:dyDescent="0.55000000000000004">
      <c r="A320" s="240"/>
      <c r="B320" s="240"/>
      <c r="C320" s="240"/>
      <c r="D320" s="240"/>
      <c r="E320" s="240"/>
      <c r="F320" s="240"/>
      <c r="G320" s="240"/>
      <c r="H320" s="240"/>
      <c r="I320" s="240"/>
      <c r="J320" s="240"/>
      <c r="K320" s="240"/>
      <c r="L320" s="240"/>
      <c r="M320" s="240"/>
      <c r="N320" s="240"/>
      <c r="O320" s="240"/>
      <c r="P320" s="240"/>
      <c r="Q320" s="240"/>
      <c r="R320" s="240"/>
      <c r="S320" s="240"/>
      <c r="T320" s="240"/>
      <c r="U320" s="240"/>
      <c r="V320" s="240"/>
      <c r="W320" s="240"/>
      <c r="X320" s="240"/>
      <c r="Y320" s="240"/>
      <c r="Z320" s="240"/>
    </row>
    <row r="321" spans="1:26" ht="15.75" customHeight="1" x14ac:dyDescent="0.55000000000000004">
      <c r="A321" s="240"/>
      <c r="B321" s="240"/>
      <c r="C321" s="240"/>
      <c r="D321" s="240"/>
      <c r="E321" s="240"/>
      <c r="F321" s="240"/>
      <c r="G321" s="240"/>
      <c r="H321" s="240"/>
      <c r="I321" s="240"/>
      <c r="J321" s="240"/>
      <c r="K321" s="240"/>
      <c r="L321" s="240"/>
      <c r="M321" s="240"/>
      <c r="N321" s="240"/>
      <c r="O321" s="240"/>
      <c r="P321" s="240"/>
      <c r="Q321" s="240"/>
      <c r="R321" s="240"/>
      <c r="S321" s="240"/>
      <c r="T321" s="240"/>
      <c r="U321" s="240"/>
      <c r="V321" s="240"/>
      <c r="W321" s="240"/>
      <c r="X321" s="240"/>
      <c r="Y321" s="240"/>
      <c r="Z321" s="240"/>
    </row>
    <row r="322" spans="1:26" ht="15.75" customHeight="1" x14ac:dyDescent="0.55000000000000004">
      <c r="A322" s="240"/>
      <c r="B322" s="240"/>
      <c r="C322" s="240"/>
      <c r="D322" s="240"/>
      <c r="E322" s="240"/>
      <c r="F322" s="240"/>
      <c r="G322" s="240"/>
      <c r="H322" s="240"/>
      <c r="I322" s="240"/>
      <c r="J322" s="240"/>
      <c r="K322" s="240"/>
      <c r="L322" s="240"/>
      <c r="M322" s="240"/>
      <c r="N322" s="240"/>
      <c r="O322" s="240"/>
      <c r="P322" s="240"/>
      <c r="Q322" s="240"/>
      <c r="R322" s="240"/>
      <c r="S322" s="240"/>
      <c r="T322" s="240"/>
      <c r="U322" s="240"/>
      <c r="V322" s="240"/>
      <c r="W322" s="240"/>
      <c r="X322" s="240"/>
      <c r="Y322" s="240"/>
      <c r="Z322" s="240"/>
    </row>
    <row r="323" spans="1:26" ht="15.75" customHeight="1" x14ac:dyDescent="0.55000000000000004">
      <c r="A323" s="240"/>
      <c r="B323" s="240"/>
      <c r="C323" s="240"/>
      <c r="D323" s="240"/>
      <c r="E323" s="240"/>
      <c r="F323" s="240"/>
      <c r="G323" s="240"/>
      <c r="H323" s="240"/>
      <c r="I323" s="240"/>
      <c r="J323" s="240"/>
      <c r="K323" s="240"/>
      <c r="L323" s="240"/>
      <c r="M323" s="240"/>
      <c r="N323" s="240"/>
      <c r="O323" s="240"/>
      <c r="P323" s="240"/>
      <c r="Q323" s="240"/>
      <c r="R323" s="240"/>
      <c r="S323" s="240"/>
      <c r="T323" s="240"/>
      <c r="U323" s="240"/>
      <c r="V323" s="240"/>
      <c r="W323" s="240"/>
      <c r="X323" s="240"/>
      <c r="Y323" s="240"/>
      <c r="Z323" s="240"/>
    </row>
    <row r="324" spans="1:26" ht="15.75" customHeight="1" x14ac:dyDescent="0.55000000000000004">
      <c r="A324" s="240"/>
      <c r="B324" s="240"/>
      <c r="C324" s="240"/>
      <c r="D324" s="240"/>
      <c r="E324" s="240"/>
      <c r="F324" s="240"/>
      <c r="G324" s="240"/>
      <c r="H324" s="240"/>
      <c r="I324" s="240"/>
      <c r="J324" s="240"/>
      <c r="K324" s="240"/>
      <c r="L324" s="240"/>
      <c r="M324" s="240"/>
      <c r="N324" s="240"/>
      <c r="O324" s="240"/>
      <c r="P324" s="240"/>
      <c r="Q324" s="240"/>
      <c r="R324" s="240"/>
      <c r="S324" s="240"/>
      <c r="T324" s="240"/>
      <c r="U324" s="240"/>
      <c r="V324" s="240"/>
      <c r="W324" s="240"/>
      <c r="X324" s="240"/>
      <c r="Y324" s="240"/>
      <c r="Z324" s="240"/>
    </row>
    <row r="325" spans="1:26" ht="15.75" customHeight="1" x14ac:dyDescent="0.55000000000000004">
      <c r="A325" s="240"/>
      <c r="B325" s="240"/>
      <c r="C325" s="240"/>
      <c r="D325" s="240"/>
      <c r="E325" s="240"/>
      <c r="F325" s="240"/>
      <c r="G325" s="240"/>
      <c r="H325" s="240"/>
      <c r="I325" s="240"/>
      <c r="J325" s="240"/>
      <c r="K325" s="240"/>
      <c r="L325" s="240"/>
      <c r="M325" s="240"/>
      <c r="N325" s="240"/>
      <c r="O325" s="240"/>
      <c r="P325" s="240"/>
      <c r="Q325" s="240"/>
      <c r="R325" s="240"/>
      <c r="S325" s="240"/>
      <c r="T325" s="240"/>
      <c r="U325" s="240"/>
      <c r="V325" s="240"/>
      <c r="W325" s="240"/>
      <c r="X325" s="240"/>
      <c r="Y325" s="240"/>
      <c r="Z325" s="240"/>
    </row>
    <row r="326" spans="1:26" ht="15.75" customHeight="1" x14ac:dyDescent="0.55000000000000004">
      <c r="A326" s="240"/>
      <c r="B326" s="240"/>
      <c r="C326" s="240"/>
      <c r="D326" s="240"/>
      <c r="E326" s="240"/>
      <c r="F326" s="240"/>
      <c r="G326" s="240"/>
      <c r="H326" s="240"/>
      <c r="I326" s="240"/>
      <c r="J326" s="240"/>
      <c r="K326" s="240"/>
      <c r="L326" s="240"/>
      <c r="M326" s="240"/>
      <c r="N326" s="240"/>
      <c r="O326" s="240"/>
      <c r="P326" s="240"/>
      <c r="Q326" s="240"/>
      <c r="R326" s="240"/>
      <c r="S326" s="240"/>
      <c r="T326" s="240"/>
      <c r="U326" s="240"/>
      <c r="V326" s="240"/>
      <c r="W326" s="240"/>
      <c r="X326" s="240"/>
      <c r="Y326" s="240"/>
      <c r="Z326" s="240"/>
    </row>
    <row r="327" spans="1:26" ht="15.75" customHeight="1" x14ac:dyDescent="0.55000000000000004">
      <c r="A327" s="240"/>
      <c r="B327" s="240"/>
      <c r="C327" s="240"/>
      <c r="D327" s="240"/>
      <c r="E327" s="240"/>
      <c r="F327" s="240"/>
      <c r="G327" s="240"/>
      <c r="H327" s="240"/>
      <c r="I327" s="240"/>
      <c r="J327" s="240"/>
      <c r="K327" s="240"/>
      <c r="L327" s="240"/>
      <c r="M327" s="240"/>
      <c r="N327" s="240"/>
      <c r="O327" s="240"/>
      <c r="P327" s="240"/>
      <c r="Q327" s="240"/>
      <c r="R327" s="240"/>
      <c r="S327" s="240"/>
      <c r="T327" s="240"/>
      <c r="U327" s="240"/>
      <c r="V327" s="240"/>
      <c r="W327" s="240"/>
      <c r="X327" s="240"/>
      <c r="Y327" s="240"/>
      <c r="Z327" s="240"/>
    </row>
    <row r="328" spans="1:26" ht="15.75" customHeight="1" x14ac:dyDescent="0.55000000000000004">
      <c r="A328" s="240"/>
      <c r="B328" s="240"/>
      <c r="C328" s="240"/>
      <c r="D328" s="240"/>
      <c r="E328" s="240"/>
      <c r="F328" s="240"/>
      <c r="G328" s="240"/>
      <c r="H328" s="240"/>
      <c r="I328" s="240"/>
      <c r="J328" s="240"/>
      <c r="K328" s="240"/>
      <c r="L328" s="240"/>
      <c r="M328" s="240"/>
      <c r="N328" s="240"/>
      <c r="O328" s="240"/>
      <c r="P328" s="240"/>
      <c r="Q328" s="240"/>
      <c r="R328" s="240"/>
      <c r="S328" s="240"/>
      <c r="T328" s="240"/>
      <c r="U328" s="240"/>
      <c r="V328" s="240"/>
      <c r="W328" s="240"/>
      <c r="X328" s="240"/>
      <c r="Y328" s="240"/>
      <c r="Z328" s="240"/>
    </row>
    <row r="329" spans="1:26" ht="15.75" customHeight="1" x14ac:dyDescent="0.55000000000000004">
      <c r="A329" s="240"/>
      <c r="B329" s="240"/>
      <c r="C329" s="240"/>
      <c r="D329" s="240"/>
      <c r="E329" s="240"/>
      <c r="F329" s="240"/>
      <c r="G329" s="240"/>
      <c r="H329" s="240"/>
      <c r="I329" s="240"/>
      <c r="J329" s="240"/>
      <c r="K329" s="240"/>
      <c r="L329" s="240"/>
      <c r="M329" s="240"/>
      <c r="N329" s="240"/>
      <c r="O329" s="240"/>
      <c r="P329" s="240"/>
      <c r="Q329" s="240"/>
      <c r="R329" s="240"/>
      <c r="S329" s="240"/>
      <c r="T329" s="240"/>
      <c r="U329" s="240"/>
      <c r="V329" s="240"/>
      <c r="W329" s="240"/>
      <c r="X329" s="240"/>
      <c r="Y329" s="240"/>
      <c r="Z329" s="240"/>
    </row>
    <row r="330" spans="1:26" ht="15.75" customHeight="1" x14ac:dyDescent="0.55000000000000004">
      <c r="A330" s="240"/>
      <c r="B330" s="240"/>
      <c r="C330" s="240"/>
      <c r="D330" s="240"/>
      <c r="E330" s="240"/>
      <c r="F330" s="240"/>
      <c r="G330" s="240"/>
      <c r="H330" s="240"/>
      <c r="I330" s="240"/>
      <c r="J330" s="240"/>
      <c r="K330" s="240"/>
      <c r="L330" s="240"/>
      <c r="M330" s="240"/>
      <c r="N330" s="240"/>
      <c r="O330" s="240"/>
      <c r="P330" s="240"/>
      <c r="Q330" s="240"/>
      <c r="R330" s="240"/>
      <c r="S330" s="240"/>
      <c r="T330" s="240"/>
      <c r="U330" s="240"/>
      <c r="V330" s="240"/>
      <c r="W330" s="240"/>
      <c r="X330" s="240"/>
      <c r="Y330" s="240"/>
      <c r="Z330" s="240"/>
    </row>
    <row r="331" spans="1:26" ht="15.75" customHeight="1" x14ac:dyDescent="0.55000000000000004">
      <c r="A331" s="240"/>
      <c r="B331" s="240"/>
      <c r="C331" s="240"/>
      <c r="D331" s="240"/>
      <c r="E331" s="240"/>
      <c r="F331" s="240"/>
      <c r="G331" s="240"/>
      <c r="H331" s="240"/>
      <c r="I331" s="240"/>
      <c r="J331" s="240"/>
      <c r="K331" s="240"/>
      <c r="L331" s="240"/>
      <c r="M331" s="240"/>
      <c r="N331" s="240"/>
      <c r="O331" s="240"/>
      <c r="P331" s="240"/>
      <c r="Q331" s="240"/>
      <c r="R331" s="240"/>
      <c r="S331" s="240"/>
      <c r="T331" s="240"/>
      <c r="U331" s="240"/>
      <c r="V331" s="240"/>
      <c r="W331" s="240"/>
      <c r="X331" s="240"/>
      <c r="Y331" s="240"/>
      <c r="Z331" s="240"/>
    </row>
    <row r="332" spans="1:26" ht="15.75" customHeight="1" x14ac:dyDescent="0.55000000000000004">
      <c r="A332" s="240"/>
      <c r="B332" s="240"/>
      <c r="C332" s="240"/>
      <c r="D332" s="240"/>
      <c r="E332" s="240"/>
      <c r="F332" s="240"/>
      <c r="G332" s="240"/>
      <c r="H332" s="240"/>
      <c r="I332" s="240"/>
      <c r="J332" s="240"/>
      <c r="K332" s="240"/>
      <c r="L332" s="240"/>
      <c r="M332" s="240"/>
      <c r="N332" s="240"/>
      <c r="O332" s="240"/>
      <c r="P332" s="240"/>
      <c r="Q332" s="240"/>
      <c r="R332" s="240"/>
      <c r="S332" s="240"/>
      <c r="T332" s="240"/>
      <c r="U332" s="240"/>
      <c r="V332" s="240"/>
      <c r="W332" s="240"/>
      <c r="X332" s="240"/>
      <c r="Y332" s="240"/>
      <c r="Z332" s="240"/>
    </row>
    <row r="333" spans="1:26" ht="15.75" customHeight="1" x14ac:dyDescent="0.55000000000000004">
      <c r="A333" s="240"/>
      <c r="B333" s="240"/>
      <c r="C333" s="240"/>
      <c r="D333" s="240"/>
      <c r="E333" s="240"/>
      <c r="F333" s="240"/>
      <c r="G333" s="240"/>
      <c r="H333" s="240"/>
      <c r="I333" s="240"/>
      <c r="J333" s="240"/>
      <c r="K333" s="240"/>
      <c r="L333" s="240"/>
      <c r="M333" s="240"/>
      <c r="N333" s="240"/>
      <c r="O333" s="240"/>
      <c r="P333" s="240"/>
      <c r="Q333" s="240"/>
      <c r="R333" s="240"/>
      <c r="S333" s="240"/>
      <c r="T333" s="240"/>
      <c r="U333" s="240"/>
      <c r="V333" s="240"/>
      <c r="W333" s="240"/>
      <c r="X333" s="240"/>
      <c r="Y333" s="240"/>
      <c r="Z333" s="240"/>
    </row>
    <row r="334" spans="1:26" ht="15.75" customHeight="1" x14ac:dyDescent="0.55000000000000004">
      <c r="A334" s="240"/>
      <c r="B334" s="240"/>
      <c r="C334" s="240"/>
      <c r="D334" s="240"/>
      <c r="E334" s="240"/>
      <c r="F334" s="240"/>
      <c r="G334" s="240"/>
      <c r="H334" s="240"/>
      <c r="I334" s="240"/>
      <c r="J334" s="240"/>
      <c r="K334" s="240"/>
      <c r="L334" s="240"/>
      <c r="M334" s="240"/>
      <c r="N334" s="240"/>
      <c r="O334" s="240"/>
      <c r="P334" s="240"/>
      <c r="Q334" s="240"/>
      <c r="R334" s="240"/>
      <c r="S334" s="240"/>
      <c r="T334" s="240"/>
      <c r="U334" s="240"/>
      <c r="V334" s="240"/>
      <c r="W334" s="240"/>
      <c r="X334" s="240"/>
      <c r="Y334" s="240"/>
      <c r="Z334" s="240"/>
    </row>
    <row r="335" spans="1:26" ht="15.75" customHeight="1" x14ac:dyDescent="0.55000000000000004">
      <c r="A335" s="240"/>
      <c r="B335" s="240"/>
      <c r="C335" s="240"/>
      <c r="D335" s="240"/>
      <c r="E335" s="240"/>
      <c r="F335" s="240"/>
      <c r="G335" s="240"/>
      <c r="H335" s="240"/>
      <c r="I335" s="240"/>
      <c r="J335" s="240"/>
      <c r="K335" s="240"/>
      <c r="L335" s="240"/>
      <c r="M335" s="240"/>
      <c r="N335" s="240"/>
      <c r="O335" s="240"/>
      <c r="P335" s="240"/>
      <c r="Q335" s="240"/>
      <c r="R335" s="240"/>
      <c r="S335" s="240"/>
      <c r="T335" s="240"/>
      <c r="U335" s="240"/>
      <c r="V335" s="240"/>
      <c r="W335" s="240"/>
      <c r="X335" s="240"/>
      <c r="Y335" s="240"/>
      <c r="Z335" s="240"/>
    </row>
    <row r="336" spans="1:26" ht="15.75" customHeight="1" x14ac:dyDescent="0.55000000000000004">
      <c r="A336" s="240"/>
      <c r="B336" s="240"/>
      <c r="C336" s="240"/>
      <c r="D336" s="240"/>
      <c r="E336" s="240"/>
      <c r="F336" s="240"/>
      <c r="G336" s="240"/>
      <c r="H336" s="240"/>
      <c r="I336" s="240"/>
      <c r="J336" s="240"/>
      <c r="K336" s="240"/>
      <c r="L336" s="240"/>
      <c r="M336" s="240"/>
      <c r="N336" s="240"/>
      <c r="O336" s="240"/>
      <c r="P336" s="240"/>
      <c r="Q336" s="240"/>
      <c r="R336" s="240"/>
      <c r="S336" s="240"/>
      <c r="T336" s="240"/>
      <c r="U336" s="240"/>
      <c r="V336" s="240"/>
      <c r="W336" s="240"/>
      <c r="X336" s="240"/>
      <c r="Y336" s="240"/>
      <c r="Z336" s="240"/>
    </row>
    <row r="337" spans="1:26" ht="15.75" customHeight="1" x14ac:dyDescent="0.55000000000000004">
      <c r="A337" s="240"/>
      <c r="B337" s="240"/>
      <c r="C337" s="240"/>
      <c r="D337" s="240"/>
      <c r="E337" s="240"/>
      <c r="F337" s="240"/>
      <c r="G337" s="240"/>
      <c r="H337" s="240"/>
      <c r="I337" s="240"/>
      <c r="J337" s="240"/>
      <c r="K337" s="240"/>
      <c r="L337" s="240"/>
      <c r="M337" s="240"/>
      <c r="N337" s="240"/>
      <c r="O337" s="240"/>
      <c r="P337" s="240"/>
      <c r="Q337" s="240"/>
      <c r="R337" s="240"/>
      <c r="S337" s="240"/>
      <c r="T337" s="240"/>
      <c r="U337" s="240"/>
      <c r="V337" s="240"/>
      <c r="W337" s="240"/>
      <c r="X337" s="240"/>
      <c r="Y337" s="240"/>
      <c r="Z337" s="240"/>
    </row>
    <row r="338" spans="1:26" ht="15.75" customHeight="1" x14ac:dyDescent="0.55000000000000004">
      <c r="A338" s="240"/>
      <c r="B338" s="240"/>
      <c r="C338" s="240"/>
      <c r="D338" s="240"/>
      <c r="E338" s="240"/>
      <c r="F338" s="240"/>
      <c r="G338" s="240"/>
      <c r="H338" s="240"/>
      <c r="I338" s="240"/>
      <c r="J338" s="240"/>
      <c r="K338" s="240"/>
      <c r="L338" s="240"/>
      <c r="M338" s="240"/>
      <c r="N338" s="240"/>
      <c r="O338" s="240"/>
      <c r="P338" s="240"/>
      <c r="Q338" s="240"/>
      <c r="R338" s="240"/>
      <c r="S338" s="240"/>
      <c r="T338" s="240"/>
      <c r="U338" s="240"/>
      <c r="V338" s="240"/>
      <c r="W338" s="240"/>
      <c r="X338" s="240"/>
      <c r="Y338" s="240"/>
      <c r="Z338" s="240"/>
    </row>
    <row r="339" spans="1:26" ht="15.75" customHeight="1" x14ac:dyDescent="0.55000000000000004">
      <c r="A339" s="240"/>
      <c r="B339" s="240"/>
      <c r="C339" s="240"/>
      <c r="D339" s="240"/>
      <c r="E339" s="240"/>
      <c r="F339" s="240"/>
      <c r="G339" s="240"/>
      <c r="H339" s="240"/>
      <c r="I339" s="240"/>
      <c r="J339" s="240"/>
      <c r="K339" s="240"/>
      <c r="L339" s="240"/>
      <c r="M339" s="240"/>
      <c r="N339" s="240"/>
      <c r="O339" s="240"/>
      <c r="P339" s="240"/>
      <c r="Q339" s="240"/>
      <c r="R339" s="240"/>
      <c r="S339" s="240"/>
      <c r="T339" s="240"/>
      <c r="U339" s="240"/>
      <c r="V339" s="240"/>
      <c r="W339" s="240"/>
      <c r="X339" s="240"/>
      <c r="Y339" s="240"/>
      <c r="Z339" s="240"/>
    </row>
    <row r="340" spans="1:26" ht="15.75" customHeight="1" x14ac:dyDescent="0.55000000000000004">
      <c r="A340" s="240"/>
      <c r="B340" s="240"/>
      <c r="C340" s="240"/>
      <c r="D340" s="240"/>
      <c r="E340" s="240"/>
      <c r="F340" s="240"/>
      <c r="G340" s="240"/>
      <c r="H340" s="240"/>
      <c r="I340" s="240"/>
      <c r="J340" s="240"/>
      <c r="K340" s="240"/>
      <c r="L340" s="240"/>
      <c r="M340" s="240"/>
      <c r="N340" s="240"/>
      <c r="O340" s="240"/>
      <c r="P340" s="240"/>
      <c r="Q340" s="240"/>
      <c r="R340" s="240"/>
      <c r="S340" s="240"/>
      <c r="T340" s="240"/>
      <c r="U340" s="240"/>
      <c r="V340" s="240"/>
      <c r="W340" s="240"/>
      <c r="X340" s="240"/>
      <c r="Y340" s="240"/>
      <c r="Z340" s="240"/>
    </row>
    <row r="341" spans="1:26" ht="15.75" customHeight="1" x14ac:dyDescent="0.55000000000000004">
      <c r="A341" s="240"/>
      <c r="B341" s="240"/>
      <c r="C341" s="240"/>
      <c r="D341" s="240"/>
      <c r="E341" s="240"/>
      <c r="F341" s="240"/>
      <c r="G341" s="240"/>
      <c r="H341" s="240"/>
      <c r="I341" s="240"/>
      <c r="J341" s="240"/>
      <c r="K341" s="240"/>
      <c r="L341" s="240"/>
      <c r="M341" s="240"/>
      <c r="N341" s="240"/>
      <c r="O341" s="240"/>
      <c r="P341" s="240"/>
      <c r="Q341" s="240"/>
      <c r="R341" s="240"/>
      <c r="S341" s="240"/>
      <c r="T341" s="240"/>
      <c r="U341" s="240"/>
      <c r="V341" s="240"/>
      <c r="W341" s="240"/>
      <c r="X341" s="240"/>
      <c r="Y341" s="240"/>
      <c r="Z341" s="240"/>
    </row>
    <row r="342" spans="1:26" ht="15.75" customHeight="1" x14ac:dyDescent="0.55000000000000004">
      <c r="A342" s="240"/>
      <c r="B342" s="240"/>
      <c r="C342" s="240"/>
      <c r="D342" s="240"/>
      <c r="E342" s="240"/>
      <c r="F342" s="240"/>
      <c r="G342" s="240"/>
      <c r="H342" s="240"/>
      <c r="I342" s="240"/>
      <c r="J342" s="240"/>
      <c r="K342" s="240"/>
      <c r="L342" s="240"/>
      <c r="M342" s="240"/>
      <c r="N342" s="240"/>
      <c r="O342" s="240"/>
      <c r="P342" s="240"/>
      <c r="Q342" s="240"/>
      <c r="R342" s="240"/>
      <c r="S342" s="240"/>
      <c r="T342" s="240"/>
      <c r="U342" s="240"/>
      <c r="V342" s="240"/>
      <c r="W342" s="240"/>
      <c r="X342" s="240"/>
      <c r="Y342" s="240"/>
      <c r="Z342" s="240"/>
    </row>
    <row r="343" spans="1:26" ht="15.75" customHeight="1" x14ac:dyDescent="0.55000000000000004">
      <c r="A343" s="240"/>
      <c r="B343" s="240"/>
      <c r="C343" s="240"/>
      <c r="D343" s="240"/>
      <c r="E343" s="240"/>
      <c r="F343" s="240"/>
      <c r="G343" s="240"/>
      <c r="H343" s="240"/>
      <c r="I343" s="240"/>
      <c r="J343" s="240"/>
      <c r="K343" s="240"/>
      <c r="L343" s="240"/>
      <c r="M343" s="240"/>
      <c r="N343" s="240"/>
      <c r="O343" s="240"/>
      <c r="P343" s="240"/>
      <c r="Q343" s="240"/>
      <c r="R343" s="240"/>
      <c r="S343" s="240"/>
      <c r="T343" s="240"/>
      <c r="U343" s="240"/>
      <c r="V343" s="240"/>
      <c r="W343" s="240"/>
      <c r="X343" s="240"/>
      <c r="Y343" s="240"/>
      <c r="Z343" s="240"/>
    </row>
    <row r="344" spans="1:26" ht="15.75" customHeight="1" x14ac:dyDescent="0.55000000000000004">
      <c r="A344" s="240"/>
      <c r="B344" s="240"/>
      <c r="C344" s="240"/>
      <c r="D344" s="240"/>
      <c r="E344" s="240"/>
      <c r="F344" s="240"/>
      <c r="G344" s="240"/>
      <c r="H344" s="240"/>
      <c r="I344" s="240"/>
      <c r="J344" s="240"/>
      <c r="K344" s="240"/>
      <c r="L344" s="240"/>
      <c r="M344" s="240"/>
      <c r="N344" s="240"/>
      <c r="O344" s="240"/>
      <c r="P344" s="240"/>
      <c r="Q344" s="240"/>
      <c r="R344" s="240"/>
      <c r="S344" s="240"/>
      <c r="T344" s="240"/>
      <c r="U344" s="240"/>
      <c r="V344" s="240"/>
      <c r="W344" s="240"/>
      <c r="X344" s="240"/>
      <c r="Y344" s="240"/>
      <c r="Z344" s="240"/>
    </row>
    <row r="345" spans="1:26" ht="15.75" customHeight="1" x14ac:dyDescent="0.55000000000000004">
      <c r="A345" s="240"/>
      <c r="B345" s="240"/>
      <c r="C345" s="240"/>
      <c r="D345" s="240"/>
      <c r="E345" s="240"/>
      <c r="F345" s="240"/>
      <c r="G345" s="240"/>
      <c r="H345" s="240"/>
      <c r="I345" s="240"/>
      <c r="J345" s="240"/>
      <c r="K345" s="240"/>
      <c r="L345" s="240"/>
      <c r="M345" s="240"/>
      <c r="N345" s="240"/>
      <c r="O345" s="240"/>
      <c r="P345" s="240"/>
      <c r="Q345" s="240"/>
      <c r="R345" s="240"/>
      <c r="S345" s="240"/>
      <c r="T345" s="240"/>
      <c r="U345" s="240"/>
      <c r="V345" s="240"/>
      <c r="W345" s="240"/>
      <c r="X345" s="240"/>
      <c r="Y345" s="240"/>
      <c r="Z345" s="240"/>
    </row>
    <row r="346" spans="1:26" ht="15.75" customHeight="1" x14ac:dyDescent="0.55000000000000004">
      <c r="A346" s="240"/>
      <c r="B346" s="240"/>
      <c r="C346" s="240"/>
      <c r="D346" s="240"/>
      <c r="E346" s="240"/>
      <c r="F346" s="240"/>
      <c r="G346" s="240"/>
      <c r="H346" s="240"/>
      <c r="I346" s="240"/>
      <c r="J346" s="240"/>
      <c r="K346" s="240"/>
      <c r="L346" s="240"/>
      <c r="M346" s="240"/>
      <c r="N346" s="240"/>
      <c r="O346" s="240"/>
      <c r="P346" s="240"/>
      <c r="Q346" s="240"/>
      <c r="R346" s="240"/>
      <c r="S346" s="240"/>
      <c r="T346" s="240"/>
      <c r="U346" s="240"/>
      <c r="V346" s="240"/>
      <c r="W346" s="240"/>
      <c r="X346" s="240"/>
      <c r="Y346" s="240"/>
      <c r="Z346" s="240"/>
    </row>
    <row r="347" spans="1:26" ht="15.75" customHeight="1" x14ac:dyDescent="0.55000000000000004">
      <c r="A347" s="240"/>
      <c r="B347" s="240"/>
      <c r="C347" s="240"/>
      <c r="D347" s="240"/>
      <c r="E347" s="240"/>
      <c r="F347" s="240"/>
      <c r="G347" s="240"/>
      <c r="H347" s="240"/>
      <c r="I347" s="240"/>
      <c r="J347" s="240"/>
      <c r="K347" s="240"/>
      <c r="L347" s="240"/>
      <c r="M347" s="240"/>
      <c r="N347" s="240"/>
      <c r="O347" s="240"/>
      <c r="P347" s="240"/>
      <c r="Q347" s="240"/>
      <c r="R347" s="240"/>
      <c r="S347" s="240"/>
      <c r="T347" s="240"/>
      <c r="U347" s="240"/>
      <c r="V347" s="240"/>
      <c r="W347" s="240"/>
      <c r="X347" s="240"/>
      <c r="Y347" s="240"/>
      <c r="Z347" s="240"/>
    </row>
    <row r="348" spans="1:26" ht="15.75" customHeight="1" x14ac:dyDescent="0.55000000000000004">
      <c r="A348" s="240"/>
      <c r="B348" s="240"/>
      <c r="C348" s="240"/>
      <c r="D348" s="240"/>
      <c r="E348" s="240"/>
      <c r="F348" s="240"/>
      <c r="G348" s="240"/>
      <c r="H348" s="240"/>
      <c r="I348" s="240"/>
      <c r="J348" s="240"/>
      <c r="K348" s="240"/>
      <c r="L348" s="240"/>
      <c r="M348" s="240"/>
      <c r="N348" s="240"/>
      <c r="O348" s="240"/>
      <c r="P348" s="240"/>
      <c r="Q348" s="240"/>
      <c r="R348" s="240"/>
      <c r="S348" s="240"/>
      <c r="T348" s="240"/>
      <c r="U348" s="240"/>
      <c r="V348" s="240"/>
      <c r="W348" s="240"/>
      <c r="X348" s="240"/>
      <c r="Y348" s="240"/>
      <c r="Z348" s="240"/>
    </row>
    <row r="349" spans="1:26" ht="15.75" customHeight="1" x14ac:dyDescent="0.55000000000000004">
      <c r="A349" s="240"/>
      <c r="B349" s="240"/>
      <c r="C349" s="240"/>
      <c r="D349" s="240"/>
      <c r="E349" s="240"/>
      <c r="F349" s="240"/>
      <c r="G349" s="240"/>
      <c r="H349" s="240"/>
      <c r="I349" s="240"/>
      <c r="J349" s="240"/>
      <c r="K349" s="240"/>
      <c r="L349" s="240"/>
      <c r="M349" s="240"/>
      <c r="N349" s="240"/>
      <c r="O349" s="240"/>
      <c r="P349" s="240"/>
      <c r="Q349" s="240"/>
      <c r="R349" s="240"/>
      <c r="S349" s="240"/>
      <c r="T349" s="240"/>
      <c r="U349" s="240"/>
      <c r="V349" s="240"/>
      <c r="W349" s="240"/>
      <c r="X349" s="240"/>
      <c r="Y349" s="240"/>
      <c r="Z349" s="240"/>
    </row>
    <row r="350" spans="1:26" ht="15.75" customHeight="1" x14ac:dyDescent="0.55000000000000004">
      <c r="A350" s="240"/>
      <c r="B350" s="240"/>
      <c r="C350" s="240"/>
      <c r="D350" s="240"/>
      <c r="E350" s="240"/>
      <c r="F350" s="240"/>
      <c r="G350" s="240"/>
      <c r="H350" s="240"/>
      <c r="I350" s="240"/>
      <c r="J350" s="240"/>
      <c r="K350" s="240"/>
      <c r="L350" s="240"/>
      <c r="M350" s="240"/>
      <c r="N350" s="240"/>
      <c r="O350" s="240"/>
      <c r="P350" s="240"/>
      <c r="Q350" s="240"/>
      <c r="R350" s="240"/>
      <c r="S350" s="240"/>
      <c r="T350" s="240"/>
      <c r="U350" s="240"/>
      <c r="V350" s="240"/>
      <c r="W350" s="240"/>
      <c r="X350" s="240"/>
      <c r="Y350" s="240"/>
      <c r="Z350" s="240"/>
    </row>
    <row r="351" spans="1:26" ht="15.75" customHeight="1" x14ac:dyDescent="0.55000000000000004">
      <c r="A351" s="240"/>
      <c r="B351" s="240"/>
      <c r="C351" s="240"/>
      <c r="D351" s="240"/>
      <c r="E351" s="240"/>
      <c r="F351" s="240"/>
      <c r="G351" s="240"/>
      <c r="H351" s="240"/>
      <c r="I351" s="240"/>
      <c r="J351" s="240"/>
      <c r="K351" s="240"/>
      <c r="L351" s="240"/>
      <c r="M351" s="240"/>
      <c r="N351" s="240"/>
      <c r="O351" s="240"/>
      <c r="P351" s="240"/>
      <c r="Q351" s="240"/>
      <c r="R351" s="240"/>
      <c r="S351" s="240"/>
      <c r="T351" s="240"/>
      <c r="U351" s="240"/>
      <c r="V351" s="240"/>
      <c r="W351" s="240"/>
      <c r="X351" s="240"/>
      <c r="Y351" s="240"/>
      <c r="Z351" s="240"/>
    </row>
    <row r="352" spans="1:26" ht="15.75" customHeight="1" x14ac:dyDescent="0.55000000000000004">
      <c r="A352" s="240"/>
      <c r="B352" s="240"/>
      <c r="C352" s="240"/>
      <c r="D352" s="240"/>
      <c r="E352" s="240"/>
      <c r="F352" s="240"/>
      <c r="G352" s="240"/>
      <c r="H352" s="240"/>
      <c r="I352" s="240"/>
      <c r="J352" s="240"/>
      <c r="K352" s="240"/>
      <c r="L352" s="240"/>
      <c r="M352" s="240"/>
      <c r="N352" s="240"/>
      <c r="O352" s="240"/>
      <c r="P352" s="240"/>
      <c r="Q352" s="240"/>
      <c r="R352" s="240"/>
      <c r="S352" s="240"/>
      <c r="T352" s="240"/>
      <c r="U352" s="240"/>
      <c r="V352" s="240"/>
      <c r="W352" s="240"/>
      <c r="X352" s="240"/>
      <c r="Y352" s="240"/>
      <c r="Z352" s="240"/>
    </row>
    <row r="353" spans="1:26" ht="15.75" customHeight="1" x14ac:dyDescent="0.55000000000000004">
      <c r="A353" s="240"/>
      <c r="B353" s="240"/>
      <c r="C353" s="240"/>
      <c r="D353" s="240"/>
      <c r="E353" s="240"/>
      <c r="F353" s="240"/>
      <c r="G353" s="240"/>
      <c r="H353" s="240"/>
      <c r="I353" s="240"/>
      <c r="J353" s="240"/>
      <c r="K353" s="240"/>
      <c r="L353" s="240"/>
      <c r="M353" s="240"/>
      <c r="N353" s="240"/>
      <c r="O353" s="240"/>
      <c r="P353" s="240"/>
      <c r="Q353" s="240"/>
      <c r="R353" s="240"/>
      <c r="S353" s="240"/>
      <c r="T353" s="240"/>
      <c r="U353" s="240"/>
      <c r="V353" s="240"/>
      <c r="W353" s="240"/>
      <c r="X353" s="240"/>
      <c r="Y353" s="240"/>
      <c r="Z353" s="240"/>
    </row>
    <row r="354" spans="1:26" ht="15.75" customHeight="1" x14ac:dyDescent="0.55000000000000004">
      <c r="A354" s="240"/>
      <c r="B354" s="240"/>
      <c r="C354" s="240"/>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row>
    <row r="355" spans="1:26" ht="15.75" customHeight="1" x14ac:dyDescent="0.55000000000000004">
      <c r="A355" s="240"/>
      <c r="B355" s="240"/>
      <c r="C355" s="240"/>
      <c r="D355" s="240"/>
      <c r="E355" s="240"/>
      <c r="F355" s="240"/>
      <c r="G355" s="240"/>
      <c r="H355" s="240"/>
      <c r="I355" s="240"/>
      <c r="J355" s="240"/>
      <c r="K355" s="240"/>
      <c r="L355" s="240"/>
      <c r="M355" s="240"/>
      <c r="N355" s="240"/>
      <c r="O355" s="240"/>
      <c r="P355" s="240"/>
      <c r="Q355" s="240"/>
      <c r="R355" s="240"/>
      <c r="S355" s="240"/>
      <c r="T355" s="240"/>
      <c r="U355" s="240"/>
      <c r="V355" s="240"/>
      <c r="W355" s="240"/>
      <c r="X355" s="240"/>
      <c r="Y355" s="240"/>
      <c r="Z355" s="240"/>
    </row>
    <row r="356" spans="1:26" ht="15.75" customHeight="1" x14ac:dyDescent="0.55000000000000004">
      <c r="A356" s="240"/>
      <c r="B356" s="240"/>
      <c r="C356" s="240"/>
      <c r="D356" s="240"/>
      <c r="E356" s="240"/>
      <c r="F356" s="240"/>
      <c r="G356" s="240"/>
      <c r="H356" s="240"/>
      <c r="I356" s="240"/>
      <c r="J356" s="240"/>
      <c r="K356" s="240"/>
      <c r="L356" s="240"/>
      <c r="M356" s="240"/>
      <c r="N356" s="240"/>
      <c r="O356" s="240"/>
      <c r="P356" s="240"/>
      <c r="Q356" s="240"/>
      <c r="R356" s="240"/>
      <c r="S356" s="240"/>
      <c r="T356" s="240"/>
      <c r="U356" s="240"/>
      <c r="V356" s="240"/>
      <c r="W356" s="240"/>
      <c r="X356" s="240"/>
      <c r="Y356" s="240"/>
      <c r="Z356" s="240"/>
    </row>
    <row r="357" spans="1:26" ht="15.75" customHeight="1" x14ac:dyDescent="0.55000000000000004">
      <c r="A357" s="240"/>
      <c r="B357" s="240"/>
      <c r="C357" s="240"/>
      <c r="D357" s="240"/>
      <c r="E357" s="240"/>
      <c r="F357" s="240"/>
      <c r="G357" s="240"/>
      <c r="H357" s="240"/>
      <c r="I357" s="240"/>
      <c r="J357" s="240"/>
      <c r="K357" s="240"/>
      <c r="L357" s="240"/>
      <c r="M357" s="240"/>
      <c r="N357" s="240"/>
      <c r="O357" s="240"/>
      <c r="P357" s="240"/>
      <c r="Q357" s="240"/>
      <c r="R357" s="240"/>
      <c r="S357" s="240"/>
      <c r="T357" s="240"/>
      <c r="U357" s="240"/>
      <c r="V357" s="240"/>
      <c r="W357" s="240"/>
      <c r="X357" s="240"/>
      <c r="Y357" s="240"/>
      <c r="Z357" s="240"/>
    </row>
    <row r="358" spans="1:26" ht="15.75" customHeight="1" x14ac:dyDescent="0.55000000000000004">
      <c r="A358" s="240"/>
      <c r="B358" s="240"/>
      <c r="C358" s="240"/>
      <c r="D358" s="240"/>
      <c r="E358" s="240"/>
      <c r="F358" s="240"/>
      <c r="G358" s="240"/>
      <c r="H358" s="240"/>
      <c r="I358" s="240"/>
      <c r="J358" s="240"/>
      <c r="K358" s="240"/>
      <c r="L358" s="240"/>
      <c r="M358" s="240"/>
      <c r="N358" s="240"/>
      <c r="O358" s="240"/>
      <c r="P358" s="240"/>
      <c r="Q358" s="240"/>
      <c r="R358" s="240"/>
      <c r="S358" s="240"/>
      <c r="T358" s="240"/>
      <c r="U358" s="240"/>
      <c r="V358" s="240"/>
      <c r="W358" s="240"/>
      <c r="X358" s="240"/>
      <c r="Y358" s="240"/>
      <c r="Z358" s="240"/>
    </row>
    <row r="359" spans="1:26" ht="15.75" customHeight="1" x14ac:dyDescent="0.55000000000000004">
      <c r="A359" s="240"/>
      <c r="B359" s="240"/>
      <c r="C359" s="240"/>
      <c r="D359" s="240"/>
      <c r="E359" s="240"/>
      <c r="F359" s="240"/>
      <c r="G359" s="240"/>
      <c r="H359" s="240"/>
      <c r="I359" s="240"/>
      <c r="J359" s="240"/>
      <c r="K359" s="240"/>
      <c r="L359" s="240"/>
      <c r="M359" s="240"/>
      <c r="N359" s="240"/>
      <c r="O359" s="240"/>
      <c r="P359" s="240"/>
      <c r="Q359" s="240"/>
      <c r="R359" s="240"/>
      <c r="S359" s="240"/>
      <c r="T359" s="240"/>
      <c r="U359" s="240"/>
      <c r="V359" s="240"/>
      <c r="W359" s="240"/>
      <c r="X359" s="240"/>
      <c r="Y359" s="240"/>
      <c r="Z359" s="240"/>
    </row>
    <row r="360" spans="1:26" ht="15.75" customHeight="1" x14ac:dyDescent="0.55000000000000004">
      <c r="A360" s="240"/>
      <c r="B360" s="240"/>
      <c r="C360" s="240"/>
      <c r="D360" s="240"/>
      <c r="E360" s="240"/>
      <c r="F360" s="240"/>
      <c r="G360" s="240"/>
      <c r="H360" s="240"/>
      <c r="I360" s="240"/>
      <c r="J360" s="240"/>
      <c r="K360" s="240"/>
      <c r="L360" s="240"/>
      <c r="M360" s="240"/>
      <c r="N360" s="240"/>
      <c r="O360" s="240"/>
      <c r="P360" s="240"/>
      <c r="Q360" s="240"/>
      <c r="R360" s="240"/>
      <c r="S360" s="240"/>
      <c r="T360" s="240"/>
      <c r="U360" s="240"/>
      <c r="V360" s="240"/>
      <c r="W360" s="240"/>
      <c r="X360" s="240"/>
      <c r="Y360" s="240"/>
      <c r="Z360" s="240"/>
    </row>
    <row r="361" spans="1:26" ht="15.75" customHeight="1" x14ac:dyDescent="0.55000000000000004">
      <c r="A361" s="240"/>
      <c r="B361" s="240"/>
      <c r="C361" s="240"/>
      <c r="D361" s="240"/>
      <c r="E361" s="240"/>
      <c r="F361" s="240"/>
      <c r="G361" s="240"/>
      <c r="H361" s="240"/>
      <c r="I361" s="240"/>
      <c r="J361" s="240"/>
      <c r="K361" s="240"/>
      <c r="L361" s="240"/>
      <c r="M361" s="240"/>
      <c r="N361" s="240"/>
      <c r="O361" s="240"/>
      <c r="P361" s="240"/>
      <c r="Q361" s="240"/>
      <c r="R361" s="240"/>
      <c r="S361" s="240"/>
      <c r="T361" s="240"/>
      <c r="U361" s="240"/>
      <c r="V361" s="240"/>
      <c r="W361" s="240"/>
      <c r="X361" s="240"/>
      <c r="Y361" s="240"/>
      <c r="Z361" s="240"/>
    </row>
    <row r="362" spans="1:26" ht="15.75" customHeight="1" x14ac:dyDescent="0.55000000000000004">
      <c r="A362" s="240"/>
      <c r="B362" s="240"/>
      <c r="C362" s="240"/>
      <c r="D362" s="240"/>
      <c r="E362" s="240"/>
      <c r="F362" s="240"/>
      <c r="G362" s="240"/>
      <c r="H362" s="240"/>
      <c r="I362" s="240"/>
      <c r="J362" s="240"/>
      <c r="K362" s="240"/>
      <c r="L362" s="240"/>
      <c r="M362" s="240"/>
      <c r="N362" s="240"/>
      <c r="O362" s="240"/>
      <c r="P362" s="240"/>
      <c r="Q362" s="240"/>
      <c r="R362" s="240"/>
      <c r="S362" s="240"/>
      <c r="T362" s="240"/>
      <c r="U362" s="240"/>
      <c r="V362" s="240"/>
      <c r="W362" s="240"/>
      <c r="X362" s="240"/>
      <c r="Y362" s="240"/>
      <c r="Z362" s="240"/>
    </row>
    <row r="363" spans="1:26" ht="15.75" customHeight="1" x14ac:dyDescent="0.55000000000000004">
      <c r="A363" s="240"/>
      <c r="B363" s="240"/>
      <c r="C363" s="240"/>
      <c r="D363" s="240"/>
      <c r="E363" s="240"/>
      <c r="F363" s="240"/>
      <c r="G363" s="240"/>
      <c r="H363" s="240"/>
      <c r="I363" s="240"/>
      <c r="J363" s="240"/>
      <c r="K363" s="240"/>
      <c r="L363" s="240"/>
      <c r="M363" s="240"/>
      <c r="N363" s="240"/>
      <c r="O363" s="240"/>
      <c r="P363" s="240"/>
      <c r="Q363" s="240"/>
      <c r="R363" s="240"/>
      <c r="S363" s="240"/>
      <c r="T363" s="240"/>
      <c r="U363" s="240"/>
      <c r="V363" s="240"/>
      <c r="W363" s="240"/>
      <c r="X363" s="240"/>
      <c r="Y363" s="240"/>
      <c r="Z363" s="240"/>
    </row>
    <row r="364" spans="1:26" ht="15.75" customHeight="1" x14ac:dyDescent="0.55000000000000004">
      <c r="A364" s="240"/>
      <c r="B364" s="240"/>
      <c r="C364" s="240"/>
      <c r="D364" s="240"/>
      <c r="E364" s="240"/>
      <c r="F364" s="240"/>
      <c r="G364" s="240"/>
      <c r="H364" s="240"/>
      <c r="I364" s="240"/>
      <c r="J364" s="240"/>
      <c r="K364" s="240"/>
      <c r="L364" s="240"/>
      <c r="M364" s="240"/>
      <c r="N364" s="240"/>
      <c r="O364" s="240"/>
      <c r="P364" s="240"/>
      <c r="Q364" s="240"/>
      <c r="R364" s="240"/>
      <c r="S364" s="240"/>
      <c r="T364" s="240"/>
      <c r="U364" s="240"/>
      <c r="V364" s="240"/>
      <c r="W364" s="240"/>
      <c r="X364" s="240"/>
      <c r="Y364" s="240"/>
      <c r="Z364" s="240"/>
    </row>
    <row r="365" spans="1:26" ht="15.75" customHeight="1" x14ac:dyDescent="0.55000000000000004">
      <c r="A365" s="240"/>
      <c r="B365" s="240"/>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row>
    <row r="366" spans="1:26" ht="15.75" customHeight="1" x14ac:dyDescent="0.55000000000000004">
      <c r="A366" s="240"/>
      <c r="B366" s="240"/>
      <c r="C366" s="240"/>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row>
    <row r="367" spans="1:26" ht="15.75" customHeight="1" x14ac:dyDescent="0.55000000000000004">
      <c r="A367" s="240"/>
      <c r="B367" s="240"/>
      <c r="C367" s="240"/>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row>
    <row r="368" spans="1:26" ht="15.75" customHeight="1" x14ac:dyDescent="0.55000000000000004">
      <c r="A368" s="240"/>
      <c r="B368" s="240"/>
      <c r="C368" s="240"/>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row>
    <row r="369" spans="1:26" ht="15.75" customHeight="1" x14ac:dyDescent="0.55000000000000004">
      <c r="A369" s="240"/>
      <c r="B369" s="240"/>
      <c r="C369" s="240"/>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row>
    <row r="370" spans="1:26" ht="15.75" customHeight="1" x14ac:dyDescent="0.55000000000000004">
      <c r="A370" s="240"/>
      <c r="B370" s="240"/>
      <c r="C370" s="240"/>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row>
    <row r="371" spans="1:26" ht="15.75" customHeight="1" x14ac:dyDescent="0.55000000000000004">
      <c r="A371" s="240"/>
      <c r="B371" s="240"/>
      <c r="C371" s="240"/>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row>
    <row r="372" spans="1:26" ht="15.75" customHeight="1" x14ac:dyDescent="0.55000000000000004">
      <c r="A372" s="240"/>
      <c r="B372" s="240"/>
      <c r="C372" s="240"/>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row>
    <row r="373" spans="1:26" ht="15.75" customHeight="1" x14ac:dyDescent="0.55000000000000004">
      <c r="A373" s="240"/>
      <c r="B373" s="240"/>
      <c r="C373" s="240"/>
      <c r="D373" s="240"/>
      <c r="E373" s="240"/>
      <c r="F373" s="240"/>
      <c r="G373" s="240"/>
      <c r="H373" s="240"/>
      <c r="I373" s="240"/>
      <c r="J373" s="240"/>
      <c r="K373" s="240"/>
      <c r="L373" s="240"/>
      <c r="M373" s="240"/>
      <c r="N373" s="240"/>
      <c r="O373" s="240"/>
      <c r="P373" s="240"/>
      <c r="Q373" s="240"/>
      <c r="R373" s="240"/>
      <c r="S373" s="240"/>
      <c r="T373" s="240"/>
      <c r="U373" s="240"/>
      <c r="V373" s="240"/>
      <c r="W373" s="240"/>
      <c r="X373" s="240"/>
      <c r="Y373" s="240"/>
      <c r="Z373" s="240"/>
    </row>
    <row r="374" spans="1:26" ht="15.75" customHeight="1" x14ac:dyDescent="0.55000000000000004">
      <c r="A374" s="240"/>
      <c r="B374" s="240"/>
      <c r="C374" s="240"/>
      <c r="D374" s="240"/>
      <c r="E374" s="240"/>
      <c r="F374" s="240"/>
      <c r="G374" s="240"/>
      <c r="H374" s="240"/>
      <c r="I374" s="240"/>
      <c r="J374" s="240"/>
      <c r="K374" s="240"/>
      <c r="L374" s="240"/>
      <c r="M374" s="240"/>
      <c r="N374" s="240"/>
      <c r="O374" s="240"/>
      <c r="P374" s="240"/>
      <c r="Q374" s="240"/>
      <c r="R374" s="240"/>
      <c r="S374" s="240"/>
      <c r="T374" s="240"/>
      <c r="U374" s="240"/>
      <c r="V374" s="240"/>
      <c r="W374" s="240"/>
      <c r="X374" s="240"/>
      <c r="Y374" s="240"/>
      <c r="Z374" s="240"/>
    </row>
    <row r="375" spans="1:26" ht="15.75" customHeight="1" x14ac:dyDescent="0.55000000000000004">
      <c r="A375" s="240"/>
      <c r="B375" s="240"/>
      <c r="C375" s="240"/>
      <c r="D375" s="240"/>
      <c r="E375" s="240"/>
      <c r="F375" s="240"/>
      <c r="G375" s="240"/>
      <c r="H375" s="240"/>
      <c r="I375" s="240"/>
      <c r="J375" s="240"/>
      <c r="K375" s="240"/>
      <c r="L375" s="240"/>
      <c r="M375" s="240"/>
      <c r="N375" s="240"/>
      <c r="O375" s="240"/>
      <c r="P375" s="240"/>
      <c r="Q375" s="240"/>
      <c r="R375" s="240"/>
      <c r="S375" s="240"/>
      <c r="T375" s="240"/>
      <c r="U375" s="240"/>
      <c r="V375" s="240"/>
      <c r="W375" s="240"/>
      <c r="X375" s="240"/>
      <c r="Y375" s="240"/>
      <c r="Z375" s="240"/>
    </row>
    <row r="376" spans="1:26" ht="15.75" customHeight="1" x14ac:dyDescent="0.55000000000000004">
      <c r="A376" s="240"/>
      <c r="B376" s="240"/>
      <c r="C376" s="240"/>
      <c r="D376" s="240"/>
      <c r="E376" s="240"/>
      <c r="F376" s="240"/>
      <c r="G376" s="240"/>
      <c r="H376" s="240"/>
      <c r="I376" s="240"/>
      <c r="J376" s="240"/>
      <c r="K376" s="240"/>
      <c r="L376" s="240"/>
      <c r="M376" s="240"/>
      <c r="N376" s="240"/>
      <c r="O376" s="240"/>
      <c r="P376" s="240"/>
      <c r="Q376" s="240"/>
      <c r="R376" s="240"/>
      <c r="S376" s="240"/>
      <c r="T376" s="240"/>
      <c r="U376" s="240"/>
      <c r="V376" s="240"/>
      <c r="W376" s="240"/>
      <c r="X376" s="240"/>
      <c r="Y376" s="240"/>
      <c r="Z376" s="240"/>
    </row>
    <row r="377" spans="1:26" ht="15.75" customHeight="1" x14ac:dyDescent="0.55000000000000004">
      <c r="A377" s="240"/>
      <c r="B377" s="240"/>
      <c r="C377" s="240"/>
      <c r="D377" s="240"/>
      <c r="E377" s="240"/>
      <c r="F377" s="240"/>
      <c r="G377" s="240"/>
      <c r="H377" s="240"/>
      <c r="I377" s="240"/>
      <c r="J377" s="240"/>
      <c r="K377" s="240"/>
      <c r="L377" s="240"/>
      <c r="M377" s="240"/>
      <c r="N377" s="240"/>
      <c r="O377" s="240"/>
      <c r="P377" s="240"/>
      <c r="Q377" s="240"/>
      <c r="R377" s="240"/>
      <c r="S377" s="240"/>
      <c r="T377" s="240"/>
      <c r="U377" s="240"/>
      <c r="V377" s="240"/>
      <c r="W377" s="240"/>
      <c r="X377" s="240"/>
      <c r="Y377" s="240"/>
      <c r="Z377" s="240"/>
    </row>
    <row r="378" spans="1:26" ht="15.75" customHeight="1" x14ac:dyDescent="0.55000000000000004">
      <c r="A378" s="240"/>
      <c r="B378" s="240"/>
      <c r="C378" s="240"/>
      <c r="D378" s="240"/>
      <c r="E378" s="240"/>
      <c r="F378" s="240"/>
      <c r="G378" s="240"/>
      <c r="H378" s="240"/>
      <c r="I378" s="240"/>
      <c r="J378" s="240"/>
      <c r="K378" s="240"/>
      <c r="L378" s="240"/>
      <c r="M378" s="240"/>
      <c r="N378" s="240"/>
      <c r="O378" s="240"/>
      <c r="P378" s="240"/>
      <c r="Q378" s="240"/>
      <c r="R378" s="240"/>
      <c r="S378" s="240"/>
      <c r="T378" s="240"/>
      <c r="U378" s="240"/>
      <c r="V378" s="240"/>
      <c r="W378" s="240"/>
      <c r="X378" s="240"/>
      <c r="Y378" s="240"/>
      <c r="Z378" s="240"/>
    </row>
    <row r="379" spans="1:26" ht="15.75" customHeight="1" x14ac:dyDescent="0.55000000000000004">
      <c r="A379" s="240"/>
      <c r="B379" s="240"/>
      <c r="C379" s="240"/>
      <c r="D379" s="240"/>
      <c r="E379" s="240"/>
      <c r="F379" s="240"/>
      <c r="G379" s="240"/>
      <c r="H379" s="240"/>
      <c r="I379" s="240"/>
      <c r="J379" s="240"/>
      <c r="K379" s="240"/>
      <c r="L379" s="240"/>
      <c r="M379" s="240"/>
      <c r="N379" s="240"/>
      <c r="O379" s="240"/>
      <c r="P379" s="240"/>
      <c r="Q379" s="240"/>
      <c r="R379" s="240"/>
      <c r="S379" s="240"/>
      <c r="T379" s="240"/>
      <c r="U379" s="240"/>
      <c r="V379" s="240"/>
      <c r="W379" s="240"/>
      <c r="X379" s="240"/>
      <c r="Y379" s="240"/>
      <c r="Z379" s="240"/>
    </row>
    <row r="380" spans="1:26" ht="15.75" customHeight="1" x14ac:dyDescent="0.55000000000000004">
      <c r="A380" s="240"/>
      <c r="B380" s="240"/>
      <c r="C380" s="240"/>
      <c r="D380" s="240"/>
      <c r="E380" s="240"/>
      <c r="F380" s="240"/>
      <c r="G380" s="240"/>
      <c r="H380" s="240"/>
      <c r="I380" s="240"/>
      <c r="J380" s="240"/>
      <c r="K380" s="240"/>
      <c r="L380" s="240"/>
      <c r="M380" s="240"/>
      <c r="N380" s="240"/>
      <c r="O380" s="240"/>
      <c r="P380" s="240"/>
      <c r="Q380" s="240"/>
      <c r="R380" s="240"/>
      <c r="S380" s="240"/>
      <c r="T380" s="240"/>
      <c r="U380" s="240"/>
      <c r="V380" s="240"/>
      <c r="W380" s="240"/>
      <c r="X380" s="240"/>
      <c r="Y380" s="240"/>
      <c r="Z380" s="240"/>
    </row>
    <row r="381" spans="1:26" ht="15.75" customHeight="1" x14ac:dyDescent="0.55000000000000004">
      <c r="A381" s="240"/>
      <c r="B381" s="240"/>
      <c r="C381" s="240"/>
      <c r="D381" s="240"/>
      <c r="E381" s="240"/>
      <c r="F381" s="240"/>
      <c r="G381" s="240"/>
      <c r="H381" s="240"/>
      <c r="I381" s="240"/>
      <c r="J381" s="240"/>
      <c r="K381" s="240"/>
      <c r="L381" s="240"/>
      <c r="M381" s="240"/>
      <c r="N381" s="240"/>
      <c r="O381" s="240"/>
      <c r="P381" s="240"/>
      <c r="Q381" s="240"/>
      <c r="R381" s="240"/>
      <c r="S381" s="240"/>
      <c r="T381" s="240"/>
      <c r="U381" s="240"/>
      <c r="V381" s="240"/>
      <c r="W381" s="240"/>
      <c r="X381" s="240"/>
      <c r="Y381" s="240"/>
      <c r="Z381" s="240"/>
    </row>
    <row r="382" spans="1:26" ht="15.75" customHeight="1" x14ac:dyDescent="0.55000000000000004">
      <c r="A382" s="240"/>
      <c r="B382" s="240"/>
      <c r="C382" s="240"/>
      <c r="D382" s="240"/>
      <c r="E382" s="240"/>
      <c r="F382" s="240"/>
      <c r="G382" s="240"/>
      <c r="H382" s="240"/>
      <c r="I382" s="240"/>
      <c r="J382" s="240"/>
      <c r="K382" s="240"/>
      <c r="L382" s="240"/>
      <c r="M382" s="240"/>
      <c r="N382" s="240"/>
      <c r="O382" s="240"/>
      <c r="P382" s="240"/>
      <c r="Q382" s="240"/>
      <c r="R382" s="240"/>
      <c r="S382" s="240"/>
      <c r="T382" s="240"/>
      <c r="U382" s="240"/>
      <c r="V382" s="240"/>
      <c r="W382" s="240"/>
      <c r="X382" s="240"/>
      <c r="Y382" s="240"/>
      <c r="Z382" s="240"/>
    </row>
    <row r="383" spans="1:26" ht="15.75" customHeight="1" x14ac:dyDescent="0.55000000000000004">
      <c r="A383" s="240"/>
      <c r="B383" s="240"/>
      <c r="C383" s="240"/>
      <c r="D383" s="240"/>
      <c r="E383" s="240"/>
      <c r="F383" s="240"/>
      <c r="G383" s="240"/>
      <c r="H383" s="240"/>
      <c r="I383" s="240"/>
      <c r="J383" s="240"/>
      <c r="K383" s="240"/>
      <c r="L383" s="240"/>
      <c r="M383" s="240"/>
      <c r="N383" s="240"/>
      <c r="O383" s="240"/>
      <c r="P383" s="240"/>
      <c r="Q383" s="240"/>
      <c r="R383" s="240"/>
      <c r="S383" s="240"/>
      <c r="T383" s="240"/>
      <c r="U383" s="240"/>
      <c r="V383" s="240"/>
      <c r="W383" s="240"/>
      <c r="X383" s="240"/>
      <c r="Y383" s="240"/>
      <c r="Z383" s="240"/>
    </row>
    <row r="384" spans="1:26" ht="15.75" customHeight="1" x14ac:dyDescent="0.55000000000000004">
      <c r="A384" s="240"/>
      <c r="B384" s="240"/>
      <c r="C384" s="240"/>
      <c r="D384" s="240"/>
      <c r="E384" s="240"/>
      <c r="F384" s="240"/>
      <c r="G384" s="240"/>
      <c r="H384" s="240"/>
      <c r="I384" s="240"/>
      <c r="J384" s="240"/>
      <c r="K384" s="240"/>
      <c r="L384" s="240"/>
      <c r="M384" s="240"/>
      <c r="N384" s="240"/>
      <c r="O384" s="240"/>
      <c r="P384" s="240"/>
      <c r="Q384" s="240"/>
      <c r="R384" s="240"/>
      <c r="S384" s="240"/>
      <c r="T384" s="240"/>
      <c r="U384" s="240"/>
      <c r="V384" s="240"/>
      <c r="W384" s="240"/>
      <c r="X384" s="240"/>
      <c r="Y384" s="240"/>
      <c r="Z384" s="240"/>
    </row>
    <row r="385" spans="1:26" ht="15.75" customHeight="1" x14ac:dyDescent="0.55000000000000004">
      <c r="A385" s="240"/>
      <c r="B385" s="240"/>
      <c r="C385" s="240"/>
      <c r="D385" s="240"/>
      <c r="E385" s="240"/>
      <c r="F385" s="240"/>
      <c r="G385" s="240"/>
      <c r="H385" s="240"/>
      <c r="I385" s="240"/>
      <c r="J385" s="240"/>
      <c r="K385" s="240"/>
      <c r="L385" s="240"/>
      <c r="M385" s="240"/>
      <c r="N385" s="240"/>
      <c r="O385" s="240"/>
      <c r="P385" s="240"/>
      <c r="Q385" s="240"/>
      <c r="R385" s="240"/>
      <c r="S385" s="240"/>
      <c r="T385" s="240"/>
      <c r="U385" s="240"/>
      <c r="V385" s="240"/>
      <c r="W385" s="240"/>
      <c r="X385" s="240"/>
      <c r="Y385" s="240"/>
      <c r="Z385" s="240"/>
    </row>
    <row r="386" spans="1:26" ht="15.75" customHeight="1" x14ac:dyDescent="0.55000000000000004">
      <c r="A386" s="240"/>
      <c r="B386" s="240"/>
      <c r="C386" s="240"/>
      <c r="D386" s="240"/>
      <c r="E386" s="240"/>
      <c r="F386" s="240"/>
      <c r="G386" s="240"/>
      <c r="H386" s="240"/>
      <c r="I386" s="240"/>
      <c r="J386" s="240"/>
      <c r="K386" s="240"/>
      <c r="L386" s="240"/>
      <c r="M386" s="240"/>
      <c r="N386" s="240"/>
      <c r="O386" s="240"/>
      <c r="P386" s="240"/>
      <c r="Q386" s="240"/>
      <c r="R386" s="240"/>
      <c r="S386" s="240"/>
      <c r="T386" s="240"/>
      <c r="U386" s="240"/>
      <c r="V386" s="240"/>
      <c r="W386" s="240"/>
      <c r="X386" s="240"/>
      <c r="Y386" s="240"/>
      <c r="Z386" s="240"/>
    </row>
    <row r="387" spans="1:26" ht="15.75" customHeight="1" x14ac:dyDescent="0.55000000000000004">
      <c r="A387" s="240"/>
      <c r="B387" s="240"/>
      <c r="C387" s="240"/>
      <c r="D387" s="240"/>
      <c r="E387" s="240"/>
      <c r="F387" s="240"/>
      <c r="G387" s="240"/>
      <c r="H387" s="240"/>
      <c r="I387" s="240"/>
      <c r="J387" s="240"/>
      <c r="K387" s="240"/>
      <c r="L387" s="240"/>
      <c r="M387" s="240"/>
      <c r="N387" s="240"/>
      <c r="O387" s="240"/>
      <c r="P387" s="240"/>
      <c r="Q387" s="240"/>
      <c r="R387" s="240"/>
      <c r="S387" s="240"/>
      <c r="T387" s="240"/>
      <c r="U387" s="240"/>
      <c r="V387" s="240"/>
      <c r="W387" s="240"/>
      <c r="X387" s="240"/>
      <c r="Y387" s="240"/>
      <c r="Z387" s="240"/>
    </row>
    <row r="388" spans="1:26" ht="15.75" customHeight="1" x14ac:dyDescent="0.55000000000000004">
      <c r="A388" s="240"/>
      <c r="B388" s="240"/>
      <c r="C388" s="240"/>
      <c r="D388" s="240"/>
      <c r="E388" s="240"/>
      <c r="F388" s="240"/>
      <c r="G388" s="240"/>
      <c r="H388" s="240"/>
      <c r="I388" s="240"/>
      <c r="J388" s="240"/>
      <c r="K388" s="240"/>
      <c r="L388" s="240"/>
      <c r="M388" s="240"/>
      <c r="N388" s="240"/>
      <c r="O388" s="240"/>
      <c r="P388" s="240"/>
      <c r="Q388" s="240"/>
      <c r="R388" s="240"/>
      <c r="S388" s="240"/>
      <c r="T388" s="240"/>
      <c r="U388" s="240"/>
      <c r="V388" s="240"/>
      <c r="W388" s="240"/>
      <c r="X388" s="240"/>
      <c r="Y388" s="240"/>
      <c r="Z388" s="240"/>
    </row>
    <row r="389" spans="1:26" ht="15.75" customHeight="1" x14ac:dyDescent="0.55000000000000004">
      <c r="A389" s="240"/>
      <c r="B389" s="240"/>
      <c r="C389" s="240"/>
      <c r="D389" s="240"/>
      <c r="E389" s="240"/>
      <c r="F389" s="240"/>
      <c r="G389" s="240"/>
      <c r="H389" s="240"/>
      <c r="I389" s="240"/>
      <c r="J389" s="240"/>
      <c r="K389" s="240"/>
      <c r="L389" s="240"/>
      <c r="M389" s="240"/>
      <c r="N389" s="240"/>
      <c r="O389" s="240"/>
      <c r="P389" s="240"/>
      <c r="Q389" s="240"/>
      <c r="R389" s="240"/>
      <c r="S389" s="240"/>
      <c r="T389" s="240"/>
      <c r="U389" s="240"/>
      <c r="V389" s="240"/>
      <c r="W389" s="240"/>
      <c r="X389" s="240"/>
      <c r="Y389" s="240"/>
      <c r="Z389" s="240"/>
    </row>
    <row r="390" spans="1:26" ht="15.75" customHeight="1" x14ac:dyDescent="0.55000000000000004">
      <c r="A390" s="240"/>
      <c r="B390" s="240"/>
      <c r="C390" s="240"/>
      <c r="D390" s="240"/>
      <c r="E390" s="240"/>
      <c r="F390" s="240"/>
      <c r="G390" s="240"/>
      <c r="H390" s="240"/>
      <c r="I390" s="240"/>
      <c r="J390" s="240"/>
      <c r="K390" s="240"/>
      <c r="L390" s="240"/>
      <c r="M390" s="240"/>
      <c r="N390" s="240"/>
      <c r="O390" s="240"/>
      <c r="P390" s="240"/>
      <c r="Q390" s="240"/>
      <c r="R390" s="240"/>
      <c r="S390" s="240"/>
      <c r="T390" s="240"/>
      <c r="U390" s="240"/>
      <c r="V390" s="240"/>
      <c r="W390" s="240"/>
      <c r="X390" s="240"/>
      <c r="Y390" s="240"/>
      <c r="Z390" s="240"/>
    </row>
    <row r="391" spans="1:26" ht="15.75" customHeight="1" x14ac:dyDescent="0.55000000000000004">
      <c r="A391" s="240"/>
      <c r="B391" s="240"/>
      <c r="C391" s="240"/>
      <c r="D391" s="240"/>
      <c r="E391" s="240"/>
      <c r="F391" s="240"/>
      <c r="G391" s="240"/>
      <c r="H391" s="240"/>
      <c r="I391" s="240"/>
      <c r="J391" s="240"/>
      <c r="K391" s="240"/>
      <c r="L391" s="240"/>
      <c r="M391" s="240"/>
      <c r="N391" s="240"/>
      <c r="O391" s="240"/>
      <c r="P391" s="240"/>
      <c r="Q391" s="240"/>
      <c r="R391" s="240"/>
      <c r="S391" s="240"/>
      <c r="T391" s="240"/>
      <c r="U391" s="240"/>
      <c r="V391" s="240"/>
      <c r="W391" s="240"/>
      <c r="X391" s="240"/>
      <c r="Y391" s="240"/>
      <c r="Z391" s="240"/>
    </row>
    <row r="392" spans="1:26" ht="15.75" customHeight="1" x14ac:dyDescent="0.55000000000000004">
      <c r="A392" s="240"/>
      <c r="B392" s="240"/>
      <c r="C392" s="240"/>
      <c r="D392" s="240"/>
      <c r="E392" s="240"/>
      <c r="F392" s="240"/>
      <c r="G392" s="240"/>
      <c r="H392" s="240"/>
      <c r="I392" s="240"/>
      <c r="J392" s="240"/>
      <c r="K392" s="240"/>
      <c r="L392" s="240"/>
      <c r="M392" s="240"/>
      <c r="N392" s="240"/>
      <c r="O392" s="240"/>
      <c r="P392" s="240"/>
      <c r="Q392" s="240"/>
      <c r="R392" s="240"/>
      <c r="S392" s="240"/>
      <c r="T392" s="240"/>
      <c r="U392" s="240"/>
      <c r="V392" s="240"/>
      <c r="W392" s="240"/>
      <c r="X392" s="240"/>
      <c r="Y392" s="240"/>
      <c r="Z392" s="240"/>
    </row>
    <row r="393" spans="1:26" ht="15.75" customHeight="1" x14ac:dyDescent="0.55000000000000004">
      <c r="A393" s="240"/>
      <c r="B393" s="240"/>
      <c r="C393" s="240"/>
      <c r="D393" s="240"/>
      <c r="E393" s="240"/>
      <c r="F393" s="240"/>
      <c r="G393" s="240"/>
      <c r="H393" s="240"/>
      <c r="I393" s="240"/>
      <c r="J393" s="240"/>
      <c r="K393" s="240"/>
      <c r="L393" s="240"/>
      <c r="M393" s="240"/>
      <c r="N393" s="240"/>
      <c r="O393" s="240"/>
      <c r="P393" s="240"/>
      <c r="Q393" s="240"/>
      <c r="R393" s="240"/>
      <c r="S393" s="240"/>
      <c r="T393" s="240"/>
      <c r="U393" s="240"/>
      <c r="V393" s="240"/>
      <c r="W393" s="240"/>
      <c r="X393" s="240"/>
      <c r="Y393" s="240"/>
      <c r="Z393" s="240"/>
    </row>
    <row r="394" spans="1:26" ht="15.75" customHeight="1" x14ac:dyDescent="0.55000000000000004">
      <c r="A394" s="240"/>
      <c r="B394" s="240"/>
      <c r="C394" s="240"/>
      <c r="D394" s="240"/>
      <c r="E394" s="240"/>
      <c r="F394" s="240"/>
      <c r="G394" s="240"/>
      <c r="H394" s="240"/>
      <c r="I394" s="240"/>
      <c r="J394" s="240"/>
      <c r="K394" s="240"/>
      <c r="L394" s="240"/>
      <c r="M394" s="240"/>
      <c r="N394" s="240"/>
      <c r="O394" s="240"/>
      <c r="P394" s="240"/>
      <c r="Q394" s="240"/>
      <c r="R394" s="240"/>
      <c r="S394" s="240"/>
      <c r="T394" s="240"/>
      <c r="U394" s="240"/>
      <c r="V394" s="240"/>
      <c r="W394" s="240"/>
      <c r="X394" s="240"/>
      <c r="Y394" s="240"/>
      <c r="Z394" s="240"/>
    </row>
    <row r="395" spans="1:26" ht="15.75" customHeight="1" x14ac:dyDescent="0.55000000000000004">
      <c r="A395" s="240"/>
      <c r="B395" s="240"/>
      <c r="C395" s="240"/>
      <c r="D395" s="240"/>
      <c r="E395" s="240"/>
      <c r="F395" s="240"/>
      <c r="G395" s="240"/>
      <c r="H395" s="240"/>
      <c r="I395" s="240"/>
      <c r="J395" s="240"/>
      <c r="K395" s="240"/>
      <c r="L395" s="240"/>
      <c r="M395" s="240"/>
      <c r="N395" s="240"/>
      <c r="O395" s="240"/>
      <c r="P395" s="240"/>
      <c r="Q395" s="240"/>
      <c r="R395" s="240"/>
      <c r="S395" s="240"/>
      <c r="T395" s="240"/>
      <c r="U395" s="240"/>
      <c r="V395" s="240"/>
      <c r="W395" s="240"/>
      <c r="X395" s="240"/>
      <c r="Y395" s="240"/>
      <c r="Z395" s="240"/>
    </row>
    <row r="396" spans="1:26" ht="15.75" customHeight="1" x14ac:dyDescent="0.55000000000000004">
      <c r="A396" s="240"/>
      <c r="B396" s="240"/>
      <c r="C396" s="240"/>
      <c r="D396" s="240"/>
      <c r="E396" s="240"/>
      <c r="F396" s="240"/>
      <c r="G396" s="240"/>
      <c r="H396" s="240"/>
      <c r="I396" s="240"/>
      <c r="J396" s="240"/>
      <c r="K396" s="240"/>
      <c r="L396" s="240"/>
      <c r="M396" s="240"/>
      <c r="N396" s="240"/>
      <c r="O396" s="240"/>
      <c r="P396" s="240"/>
      <c r="Q396" s="240"/>
      <c r="R396" s="240"/>
      <c r="S396" s="240"/>
      <c r="T396" s="240"/>
      <c r="U396" s="240"/>
      <c r="V396" s="240"/>
      <c r="W396" s="240"/>
      <c r="X396" s="240"/>
      <c r="Y396" s="240"/>
      <c r="Z396" s="240"/>
    </row>
    <row r="397" spans="1:26" ht="15.75" customHeight="1" x14ac:dyDescent="0.55000000000000004">
      <c r="A397" s="240"/>
      <c r="B397" s="240"/>
      <c r="C397" s="240"/>
      <c r="D397" s="240"/>
      <c r="E397" s="240"/>
      <c r="F397" s="240"/>
      <c r="G397" s="240"/>
      <c r="H397" s="240"/>
      <c r="I397" s="240"/>
      <c r="J397" s="240"/>
      <c r="K397" s="240"/>
      <c r="L397" s="240"/>
      <c r="M397" s="240"/>
      <c r="N397" s="240"/>
      <c r="O397" s="240"/>
      <c r="P397" s="240"/>
      <c r="Q397" s="240"/>
      <c r="R397" s="240"/>
      <c r="S397" s="240"/>
      <c r="T397" s="240"/>
      <c r="U397" s="240"/>
      <c r="V397" s="240"/>
      <c r="W397" s="240"/>
      <c r="X397" s="240"/>
      <c r="Y397" s="240"/>
      <c r="Z397" s="240"/>
    </row>
    <row r="398" spans="1:26" ht="15.75" customHeight="1" x14ac:dyDescent="0.55000000000000004">
      <c r="A398" s="240"/>
      <c r="B398" s="240"/>
      <c r="C398" s="240"/>
      <c r="D398" s="240"/>
      <c r="E398" s="240"/>
      <c r="F398" s="240"/>
      <c r="G398" s="240"/>
      <c r="H398" s="240"/>
      <c r="I398" s="240"/>
      <c r="J398" s="240"/>
      <c r="K398" s="240"/>
      <c r="L398" s="240"/>
      <c r="M398" s="240"/>
      <c r="N398" s="240"/>
      <c r="O398" s="240"/>
      <c r="P398" s="240"/>
      <c r="Q398" s="240"/>
      <c r="R398" s="240"/>
      <c r="S398" s="240"/>
      <c r="T398" s="240"/>
      <c r="U398" s="240"/>
      <c r="V398" s="240"/>
      <c r="W398" s="240"/>
      <c r="X398" s="240"/>
      <c r="Y398" s="240"/>
      <c r="Z398" s="240"/>
    </row>
    <row r="399" spans="1:26" ht="15.75" customHeight="1" x14ac:dyDescent="0.55000000000000004">
      <c r="A399" s="240"/>
      <c r="B399" s="240"/>
      <c r="C399" s="240"/>
      <c r="D399" s="240"/>
      <c r="E399" s="240"/>
      <c r="F399" s="240"/>
      <c r="G399" s="240"/>
      <c r="H399" s="240"/>
      <c r="I399" s="240"/>
      <c r="J399" s="240"/>
      <c r="K399" s="240"/>
      <c r="L399" s="240"/>
      <c r="M399" s="240"/>
      <c r="N399" s="240"/>
      <c r="O399" s="240"/>
      <c r="P399" s="240"/>
      <c r="Q399" s="240"/>
      <c r="R399" s="240"/>
      <c r="S399" s="240"/>
      <c r="T399" s="240"/>
      <c r="U399" s="240"/>
      <c r="V399" s="240"/>
      <c r="W399" s="240"/>
      <c r="X399" s="240"/>
      <c r="Y399" s="240"/>
      <c r="Z399" s="240"/>
    </row>
    <row r="400" spans="1:26" ht="15.75" customHeight="1" x14ac:dyDescent="0.55000000000000004">
      <c r="A400" s="240"/>
      <c r="B400" s="240"/>
      <c r="C400" s="240"/>
      <c r="D400" s="240"/>
      <c r="E400" s="240"/>
      <c r="F400" s="240"/>
      <c r="G400" s="240"/>
      <c r="H400" s="240"/>
      <c r="I400" s="240"/>
      <c r="J400" s="240"/>
      <c r="K400" s="240"/>
      <c r="L400" s="240"/>
      <c r="M400" s="240"/>
      <c r="N400" s="240"/>
      <c r="O400" s="240"/>
      <c r="P400" s="240"/>
      <c r="Q400" s="240"/>
      <c r="R400" s="240"/>
      <c r="S400" s="240"/>
      <c r="T400" s="240"/>
      <c r="U400" s="240"/>
      <c r="V400" s="240"/>
      <c r="W400" s="240"/>
      <c r="X400" s="240"/>
      <c r="Y400" s="240"/>
      <c r="Z400" s="240"/>
    </row>
    <row r="401" spans="1:26" ht="15.75" customHeight="1" x14ac:dyDescent="0.55000000000000004">
      <c r="A401" s="240"/>
      <c r="B401" s="240"/>
      <c r="C401" s="240"/>
      <c r="D401" s="240"/>
      <c r="E401" s="240"/>
      <c r="F401" s="240"/>
      <c r="G401" s="240"/>
      <c r="H401" s="240"/>
      <c r="I401" s="240"/>
      <c r="J401" s="240"/>
      <c r="K401" s="240"/>
      <c r="L401" s="240"/>
      <c r="M401" s="240"/>
      <c r="N401" s="240"/>
      <c r="O401" s="240"/>
      <c r="P401" s="240"/>
      <c r="Q401" s="240"/>
      <c r="R401" s="240"/>
      <c r="S401" s="240"/>
      <c r="T401" s="240"/>
      <c r="U401" s="240"/>
      <c r="V401" s="240"/>
      <c r="W401" s="240"/>
      <c r="X401" s="240"/>
      <c r="Y401" s="240"/>
      <c r="Z401" s="240"/>
    </row>
    <row r="402" spans="1:26" ht="15.75" customHeight="1" x14ac:dyDescent="0.55000000000000004">
      <c r="A402" s="240"/>
      <c r="B402" s="240"/>
      <c r="C402" s="240"/>
      <c r="D402" s="240"/>
      <c r="E402" s="240"/>
      <c r="F402" s="240"/>
      <c r="G402" s="240"/>
      <c r="H402" s="240"/>
      <c r="I402" s="240"/>
      <c r="J402" s="240"/>
      <c r="K402" s="240"/>
      <c r="L402" s="240"/>
      <c r="M402" s="240"/>
      <c r="N402" s="240"/>
      <c r="O402" s="240"/>
      <c r="P402" s="240"/>
      <c r="Q402" s="240"/>
      <c r="R402" s="240"/>
      <c r="S402" s="240"/>
      <c r="T402" s="240"/>
      <c r="U402" s="240"/>
      <c r="V402" s="240"/>
      <c r="W402" s="240"/>
      <c r="X402" s="240"/>
      <c r="Y402" s="240"/>
      <c r="Z402" s="240"/>
    </row>
    <row r="403" spans="1:26" ht="15.75" customHeight="1" x14ac:dyDescent="0.55000000000000004">
      <c r="A403" s="240"/>
      <c r="B403" s="240"/>
      <c r="C403" s="240"/>
      <c r="D403" s="240"/>
      <c r="E403" s="240"/>
      <c r="F403" s="240"/>
      <c r="G403" s="240"/>
      <c r="H403" s="240"/>
      <c r="I403" s="240"/>
      <c r="J403" s="240"/>
      <c r="K403" s="240"/>
      <c r="L403" s="240"/>
      <c r="M403" s="240"/>
      <c r="N403" s="240"/>
      <c r="O403" s="240"/>
      <c r="P403" s="240"/>
      <c r="Q403" s="240"/>
      <c r="R403" s="240"/>
      <c r="S403" s="240"/>
      <c r="T403" s="240"/>
      <c r="U403" s="240"/>
      <c r="V403" s="240"/>
      <c r="W403" s="240"/>
      <c r="X403" s="240"/>
      <c r="Y403" s="240"/>
      <c r="Z403" s="240"/>
    </row>
    <row r="404" spans="1:26" ht="15.75" customHeight="1" x14ac:dyDescent="0.55000000000000004">
      <c r="A404" s="240"/>
      <c r="B404" s="240"/>
      <c r="C404" s="240"/>
      <c r="D404" s="240"/>
      <c r="E404" s="240"/>
      <c r="F404" s="240"/>
      <c r="G404" s="240"/>
      <c r="H404" s="240"/>
      <c r="I404" s="240"/>
      <c r="J404" s="240"/>
      <c r="K404" s="240"/>
      <c r="L404" s="240"/>
      <c r="M404" s="240"/>
      <c r="N404" s="240"/>
      <c r="O404" s="240"/>
      <c r="P404" s="240"/>
      <c r="Q404" s="240"/>
      <c r="R404" s="240"/>
      <c r="S404" s="240"/>
      <c r="T404" s="240"/>
      <c r="U404" s="240"/>
      <c r="V404" s="240"/>
      <c r="W404" s="240"/>
      <c r="X404" s="240"/>
      <c r="Y404" s="240"/>
      <c r="Z404" s="240"/>
    </row>
    <row r="405" spans="1:26" ht="15.75" customHeight="1" x14ac:dyDescent="0.55000000000000004">
      <c r="A405" s="240"/>
      <c r="B405" s="240"/>
      <c r="C405" s="240"/>
      <c r="D405" s="240"/>
      <c r="E405" s="240"/>
      <c r="F405" s="240"/>
      <c r="G405" s="240"/>
      <c r="H405" s="240"/>
      <c r="I405" s="240"/>
      <c r="J405" s="240"/>
      <c r="K405" s="240"/>
      <c r="L405" s="240"/>
      <c r="M405" s="240"/>
      <c r="N405" s="240"/>
      <c r="O405" s="240"/>
      <c r="P405" s="240"/>
      <c r="Q405" s="240"/>
      <c r="R405" s="240"/>
      <c r="S405" s="240"/>
      <c r="T405" s="240"/>
      <c r="U405" s="240"/>
      <c r="V405" s="240"/>
      <c r="W405" s="240"/>
      <c r="X405" s="240"/>
      <c r="Y405" s="240"/>
      <c r="Z405" s="240"/>
    </row>
    <row r="406" spans="1:26" ht="15.75" customHeight="1" x14ac:dyDescent="0.55000000000000004">
      <c r="A406" s="240"/>
      <c r="B406" s="240"/>
      <c r="C406" s="240"/>
      <c r="D406" s="240"/>
      <c r="E406" s="240"/>
      <c r="F406" s="240"/>
      <c r="G406" s="240"/>
      <c r="H406" s="240"/>
      <c r="I406" s="240"/>
      <c r="J406" s="240"/>
      <c r="K406" s="240"/>
      <c r="L406" s="240"/>
      <c r="M406" s="240"/>
      <c r="N406" s="240"/>
      <c r="O406" s="240"/>
      <c r="P406" s="240"/>
      <c r="Q406" s="240"/>
      <c r="R406" s="240"/>
      <c r="S406" s="240"/>
      <c r="T406" s="240"/>
      <c r="U406" s="240"/>
      <c r="V406" s="240"/>
      <c r="W406" s="240"/>
      <c r="X406" s="240"/>
      <c r="Y406" s="240"/>
      <c r="Z406" s="240"/>
    </row>
    <row r="407" spans="1:26" ht="15.75" customHeight="1" x14ac:dyDescent="0.55000000000000004">
      <c r="A407" s="240"/>
      <c r="B407" s="240"/>
      <c r="C407" s="240"/>
      <c r="D407" s="240"/>
      <c r="E407" s="240"/>
      <c r="F407" s="240"/>
      <c r="G407" s="240"/>
      <c r="H407" s="240"/>
      <c r="I407" s="240"/>
      <c r="J407" s="240"/>
      <c r="K407" s="240"/>
      <c r="L407" s="240"/>
      <c r="M407" s="240"/>
      <c r="N407" s="240"/>
      <c r="O407" s="240"/>
      <c r="P407" s="240"/>
      <c r="Q407" s="240"/>
      <c r="R407" s="240"/>
      <c r="S407" s="240"/>
      <c r="T407" s="240"/>
      <c r="U407" s="240"/>
      <c r="V407" s="240"/>
      <c r="W407" s="240"/>
      <c r="X407" s="240"/>
      <c r="Y407" s="240"/>
      <c r="Z407" s="240"/>
    </row>
    <row r="408" spans="1:26" ht="15.75" customHeight="1" x14ac:dyDescent="0.55000000000000004">
      <c r="A408" s="240"/>
      <c r="B408" s="240"/>
      <c r="C408" s="240"/>
      <c r="D408" s="240"/>
      <c r="E408" s="240"/>
      <c r="F408" s="240"/>
      <c r="G408" s="240"/>
      <c r="H408" s="240"/>
      <c r="I408" s="240"/>
      <c r="J408" s="240"/>
      <c r="K408" s="240"/>
      <c r="L408" s="240"/>
      <c r="M408" s="240"/>
      <c r="N408" s="240"/>
      <c r="O408" s="240"/>
      <c r="P408" s="240"/>
      <c r="Q408" s="240"/>
      <c r="R408" s="240"/>
      <c r="S408" s="240"/>
      <c r="T408" s="240"/>
      <c r="U408" s="240"/>
      <c r="V408" s="240"/>
      <c r="W408" s="240"/>
      <c r="X408" s="240"/>
      <c r="Y408" s="240"/>
      <c r="Z408" s="240"/>
    </row>
    <row r="409" spans="1:26" ht="15.75" customHeight="1" x14ac:dyDescent="0.55000000000000004">
      <c r="A409" s="240"/>
      <c r="B409" s="240"/>
      <c r="C409" s="240"/>
      <c r="D409" s="240"/>
      <c r="E409" s="240"/>
      <c r="F409" s="240"/>
      <c r="G409" s="240"/>
      <c r="H409" s="240"/>
      <c r="I409" s="240"/>
      <c r="J409" s="240"/>
      <c r="K409" s="240"/>
      <c r="L409" s="240"/>
      <c r="M409" s="240"/>
      <c r="N409" s="240"/>
      <c r="O409" s="240"/>
      <c r="P409" s="240"/>
      <c r="Q409" s="240"/>
      <c r="R409" s="240"/>
      <c r="S409" s="240"/>
      <c r="T409" s="240"/>
      <c r="U409" s="240"/>
      <c r="V409" s="240"/>
      <c r="W409" s="240"/>
      <c r="X409" s="240"/>
      <c r="Y409" s="240"/>
      <c r="Z409" s="240"/>
    </row>
    <row r="410" spans="1:26" ht="15.75" customHeight="1" x14ac:dyDescent="0.55000000000000004">
      <c r="A410" s="240"/>
      <c r="B410" s="240"/>
      <c r="C410" s="240"/>
      <c r="D410" s="240"/>
      <c r="E410" s="240"/>
      <c r="F410" s="240"/>
      <c r="G410" s="240"/>
      <c r="H410" s="240"/>
      <c r="I410" s="240"/>
      <c r="J410" s="240"/>
      <c r="K410" s="240"/>
      <c r="L410" s="240"/>
      <c r="M410" s="240"/>
      <c r="N410" s="240"/>
      <c r="O410" s="240"/>
      <c r="P410" s="240"/>
      <c r="Q410" s="240"/>
      <c r="R410" s="240"/>
      <c r="S410" s="240"/>
      <c r="T410" s="240"/>
      <c r="U410" s="240"/>
      <c r="V410" s="240"/>
      <c r="W410" s="240"/>
      <c r="X410" s="240"/>
      <c r="Y410" s="240"/>
      <c r="Z410" s="240"/>
    </row>
    <row r="411" spans="1:26" ht="15.75" customHeight="1" x14ac:dyDescent="0.55000000000000004">
      <c r="A411" s="240"/>
      <c r="B411" s="240"/>
      <c r="C411" s="240"/>
      <c r="D411" s="240"/>
      <c r="E411" s="240"/>
      <c r="F411" s="240"/>
      <c r="G411" s="240"/>
      <c r="H411" s="240"/>
      <c r="I411" s="240"/>
      <c r="J411" s="240"/>
      <c r="K411" s="240"/>
      <c r="L411" s="240"/>
      <c r="M411" s="240"/>
      <c r="N411" s="240"/>
      <c r="O411" s="240"/>
      <c r="P411" s="240"/>
      <c r="Q411" s="240"/>
      <c r="R411" s="240"/>
      <c r="S411" s="240"/>
      <c r="T411" s="240"/>
      <c r="U411" s="240"/>
      <c r="V411" s="240"/>
      <c r="W411" s="240"/>
      <c r="X411" s="240"/>
      <c r="Y411" s="240"/>
      <c r="Z411" s="240"/>
    </row>
    <row r="412" spans="1:26" ht="15.75" customHeight="1" x14ac:dyDescent="0.55000000000000004">
      <c r="A412" s="240"/>
      <c r="B412" s="240"/>
      <c r="C412" s="240"/>
      <c r="D412" s="240"/>
      <c r="E412" s="240"/>
      <c r="F412" s="240"/>
      <c r="G412" s="240"/>
      <c r="H412" s="240"/>
      <c r="I412" s="240"/>
      <c r="J412" s="240"/>
      <c r="K412" s="240"/>
      <c r="L412" s="240"/>
      <c r="M412" s="240"/>
      <c r="N412" s="240"/>
      <c r="O412" s="240"/>
      <c r="P412" s="240"/>
      <c r="Q412" s="240"/>
      <c r="R412" s="240"/>
      <c r="S412" s="240"/>
      <c r="T412" s="240"/>
      <c r="U412" s="240"/>
      <c r="V412" s="240"/>
      <c r="W412" s="240"/>
      <c r="X412" s="240"/>
      <c r="Y412" s="240"/>
      <c r="Z412" s="240"/>
    </row>
    <row r="413" spans="1:26" ht="15.75" customHeight="1" x14ac:dyDescent="0.55000000000000004">
      <c r="A413" s="240"/>
      <c r="B413" s="240"/>
      <c r="C413" s="240"/>
      <c r="D413" s="240"/>
      <c r="E413" s="240"/>
      <c r="F413" s="240"/>
      <c r="G413" s="240"/>
      <c r="H413" s="240"/>
      <c r="I413" s="240"/>
      <c r="J413" s="240"/>
      <c r="K413" s="240"/>
      <c r="L413" s="240"/>
      <c r="M413" s="240"/>
      <c r="N413" s="240"/>
      <c r="O413" s="240"/>
      <c r="P413" s="240"/>
      <c r="Q413" s="240"/>
      <c r="R413" s="240"/>
      <c r="S413" s="240"/>
      <c r="T413" s="240"/>
      <c r="U413" s="240"/>
      <c r="V413" s="240"/>
      <c r="W413" s="240"/>
      <c r="X413" s="240"/>
      <c r="Y413" s="240"/>
      <c r="Z413" s="240"/>
    </row>
    <row r="414" spans="1:26" ht="15.75" customHeight="1" x14ac:dyDescent="0.55000000000000004">
      <c r="A414" s="240"/>
      <c r="B414" s="240"/>
      <c r="C414" s="240"/>
      <c r="D414" s="240"/>
      <c r="E414" s="240"/>
      <c r="F414" s="240"/>
      <c r="G414" s="240"/>
      <c r="H414" s="240"/>
      <c r="I414" s="240"/>
      <c r="J414" s="240"/>
      <c r="K414" s="240"/>
      <c r="L414" s="240"/>
      <c r="M414" s="240"/>
      <c r="N414" s="240"/>
      <c r="O414" s="240"/>
      <c r="P414" s="240"/>
      <c r="Q414" s="240"/>
      <c r="R414" s="240"/>
      <c r="S414" s="240"/>
      <c r="T414" s="240"/>
      <c r="U414" s="240"/>
      <c r="V414" s="240"/>
      <c r="W414" s="240"/>
      <c r="X414" s="240"/>
      <c r="Y414" s="240"/>
      <c r="Z414" s="240"/>
    </row>
    <row r="415" spans="1:26" ht="15.75" customHeight="1" x14ac:dyDescent="0.55000000000000004">
      <c r="A415" s="240"/>
      <c r="B415" s="240"/>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row>
    <row r="416" spans="1:26" ht="15.75" customHeight="1" x14ac:dyDescent="0.55000000000000004">
      <c r="A416" s="240"/>
      <c r="B416" s="240"/>
      <c r="C416" s="240"/>
      <c r="D416" s="240"/>
      <c r="E416" s="240"/>
      <c r="F416" s="240"/>
      <c r="G416" s="240"/>
      <c r="H416" s="240"/>
      <c r="I416" s="240"/>
      <c r="J416" s="240"/>
      <c r="K416" s="240"/>
      <c r="L416" s="240"/>
      <c r="M416" s="240"/>
      <c r="N416" s="240"/>
      <c r="O416" s="240"/>
      <c r="P416" s="240"/>
      <c r="Q416" s="240"/>
      <c r="R416" s="240"/>
      <c r="S416" s="240"/>
      <c r="T416" s="240"/>
      <c r="U416" s="240"/>
      <c r="V416" s="240"/>
      <c r="W416" s="240"/>
      <c r="X416" s="240"/>
      <c r="Y416" s="240"/>
      <c r="Z416" s="240"/>
    </row>
    <row r="417" spans="1:26" ht="15.75" customHeight="1" x14ac:dyDescent="0.55000000000000004">
      <c r="A417" s="240"/>
      <c r="B417" s="240"/>
      <c r="C417" s="240"/>
      <c r="D417" s="240"/>
      <c r="E417" s="240"/>
      <c r="F417" s="240"/>
      <c r="G417" s="240"/>
      <c r="H417" s="240"/>
      <c r="I417" s="240"/>
      <c r="J417" s="240"/>
      <c r="K417" s="240"/>
      <c r="L417" s="240"/>
      <c r="M417" s="240"/>
      <c r="N417" s="240"/>
      <c r="O417" s="240"/>
      <c r="P417" s="240"/>
      <c r="Q417" s="240"/>
      <c r="R417" s="240"/>
      <c r="S417" s="240"/>
      <c r="T417" s="240"/>
      <c r="U417" s="240"/>
      <c r="V417" s="240"/>
      <c r="W417" s="240"/>
      <c r="X417" s="240"/>
      <c r="Y417" s="240"/>
      <c r="Z417" s="240"/>
    </row>
    <row r="418" spans="1:26" ht="15.75" customHeight="1" x14ac:dyDescent="0.55000000000000004">
      <c r="A418" s="240"/>
      <c r="B418" s="240"/>
      <c r="C418" s="240"/>
      <c r="D418" s="240"/>
      <c r="E418" s="240"/>
      <c r="F418" s="240"/>
      <c r="G418" s="240"/>
      <c r="H418" s="240"/>
      <c r="I418" s="240"/>
      <c r="J418" s="240"/>
      <c r="K418" s="240"/>
      <c r="L418" s="240"/>
      <c r="M418" s="240"/>
      <c r="N418" s="240"/>
      <c r="O418" s="240"/>
      <c r="P418" s="240"/>
      <c r="Q418" s="240"/>
      <c r="R418" s="240"/>
      <c r="S418" s="240"/>
      <c r="T418" s="240"/>
      <c r="U418" s="240"/>
      <c r="V418" s="240"/>
      <c r="W418" s="240"/>
      <c r="X418" s="240"/>
      <c r="Y418" s="240"/>
      <c r="Z418" s="240"/>
    </row>
    <row r="419" spans="1:26" ht="15.75" customHeight="1" x14ac:dyDescent="0.55000000000000004">
      <c r="A419" s="240"/>
      <c r="B419" s="240"/>
      <c r="C419" s="240"/>
      <c r="D419" s="240"/>
      <c r="E419" s="240"/>
      <c r="F419" s="240"/>
      <c r="G419" s="240"/>
      <c r="H419" s="240"/>
      <c r="I419" s="240"/>
      <c r="J419" s="240"/>
      <c r="K419" s="240"/>
      <c r="L419" s="240"/>
      <c r="M419" s="240"/>
      <c r="N419" s="240"/>
      <c r="O419" s="240"/>
      <c r="P419" s="240"/>
      <c r="Q419" s="240"/>
      <c r="R419" s="240"/>
      <c r="S419" s="240"/>
      <c r="T419" s="240"/>
      <c r="U419" s="240"/>
      <c r="V419" s="240"/>
      <c r="W419" s="240"/>
      <c r="X419" s="240"/>
      <c r="Y419" s="240"/>
      <c r="Z419" s="240"/>
    </row>
    <row r="420" spans="1:26" ht="15.75" customHeight="1" x14ac:dyDescent="0.55000000000000004">
      <c r="A420" s="240"/>
      <c r="B420" s="240"/>
      <c r="C420" s="240"/>
      <c r="D420" s="240"/>
      <c r="E420" s="240"/>
      <c r="F420" s="240"/>
      <c r="G420" s="240"/>
      <c r="H420" s="240"/>
      <c r="I420" s="240"/>
      <c r="J420" s="240"/>
      <c r="K420" s="240"/>
      <c r="L420" s="240"/>
      <c r="M420" s="240"/>
      <c r="N420" s="240"/>
      <c r="O420" s="240"/>
      <c r="P420" s="240"/>
      <c r="Q420" s="240"/>
      <c r="R420" s="240"/>
      <c r="S420" s="240"/>
      <c r="T420" s="240"/>
      <c r="U420" s="240"/>
      <c r="V420" s="240"/>
      <c r="W420" s="240"/>
      <c r="X420" s="240"/>
      <c r="Y420" s="240"/>
      <c r="Z420" s="240"/>
    </row>
    <row r="421" spans="1:26" ht="15.75" customHeight="1" x14ac:dyDescent="0.55000000000000004">
      <c r="A421" s="240"/>
      <c r="B421" s="240"/>
      <c r="C421" s="240"/>
      <c r="D421" s="240"/>
      <c r="E421" s="240"/>
      <c r="F421" s="240"/>
      <c r="G421" s="240"/>
      <c r="H421" s="240"/>
      <c r="I421" s="240"/>
      <c r="J421" s="240"/>
      <c r="K421" s="240"/>
      <c r="L421" s="240"/>
      <c r="M421" s="240"/>
      <c r="N421" s="240"/>
      <c r="O421" s="240"/>
      <c r="P421" s="240"/>
      <c r="Q421" s="240"/>
      <c r="R421" s="240"/>
      <c r="S421" s="240"/>
      <c r="T421" s="240"/>
      <c r="U421" s="240"/>
      <c r="V421" s="240"/>
      <c r="W421" s="240"/>
      <c r="X421" s="240"/>
      <c r="Y421" s="240"/>
      <c r="Z421" s="240"/>
    </row>
    <row r="422" spans="1:26" ht="15.75" customHeight="1" x14ac:dyDescent="0.55000000000000004">
      <c r="A422" s="240"/>
      <c r="B422" s="240"/>
      <c r="C422" s="240"/>
      <c r="D422" s="240"/>
      <c r="E422" s="240"/>
      <c r="F422" s="240"/>
      <c r="G422" s="240"/>
      <c r="H422" s="240"/>
      <c r="I422" s="240"/>
      <c r="J422" s="240"/>
      <c r="K422" s="240"/>
      <c r="L422" s="240"/>
      <c r="M422" s="240"/>
      <c r="N422" s="240"/>
      <c r="O422" s="240"/>
      <c r="P422" s="240"/>
      <c r="Q422" s="240"/>
      <c r="R422" s="240"/>
      <c r="S422" s="240"/>
      <c r="T422" s="240"/>
      <c r="U422" s="240"/>
      <c r="V422" s="240"/>
      <c r="W422" s="240"/>
      <c r="X422" s="240"/>
      <c r="Y422" s="240"/>
      <c r="Z422" s="240"/>
    </row>
    <row r="423" spans="1:26" ht="15.75" customHeight="1" x14ac:dyDescent="0.55000000000000004">
      <c r="A423" s="240"/>
      <c r="B423" s="240"/>
      <c r="C423" s="240"/>
      <c r="D423" s="240"/>
      <c r="E423" s="240"/>
      <c r="F423" s="240"/>
      <c r="G423" s="240"/>
      <c r="H423" s="240"/>
      <c r="I423" s="240"/>
      <c r="J423" s="240"/>
      <c r="K423" s="240"/>
      <c r="L423" s="240"/>
      <c r="M423" s="240"/>
      <c r="N423" s="240"/>
      <c r="O423" s="240"/>
      <c r="P423" s="240"/>
      <c r="Q423" s="240"/>
      <c r="R423" s="240"/>
      <c r="S423" s="240"/>
      <c r="T423" s="240"/>
      <c r="U423" s="240"/>
      <c r="V423" s="240"/>
      <c r="W423" s="240"/>
      <c r="X423" s="240"/>
      <c r="Y423" s="240"/>
      <c r="Z423" s="240"/>
    </row>
    <row r="424" spans="1:26" ht="15.75" customHeight="1" x14ac:dyDescent="0.55000000000000004">
      <c r="A424" s="240"/>
      <c r="B424" s="240"/>
      <c r="C424" s="240"/>
      <c r="D424" s="240"/>
      <c r="E424" s="240"/>
      <c r="F424" s="240"/>
      <c r="G424" s="240"/>
      <c r="H424" s="240"/>
      <c r="I424" s="240"/>
      <c r="J424" s="240"/>
      <c r="K424" s="240"/>
      <c r="L424" s="240"/>
      <c r="M424" s="240"/>
      <c r="N424" s="240"/>
      <c r="O424" s="240"/>
      <c r="P424" s="240"/>
      <c r="Q424" s="240"/>
      <c r="R424" s="240"/>
      <c r="S424" s="240"/>
      <c r="T424" s="240"/>
      <c r="U424" s="240"/>
      <c r="V424" s="240"/>
      <c r="W424" s="240"/>
      <c r="X424" s="240"/>
      <c r="Y424" s="240"/>
      <c r="Z424" s="240"/>
    </row>
    <row r="425" spans="1:26" ht="15.75" customHeight="1" x14ac:dyDescent="0.55000000000000004">
      <c r="A425" s="240"/>
      <c r="B425" s="240"/>
      <c r="C425" s="240"/>
      <c r="D425" s="240"/>
      <c r="E425" s="240"/>
      <c r="F425" s="240"/>
      <c r="G425" s="240"/>
      <c r="H425" s="240"/>
      <c r="I425" s="240"/>
      <c r="J425" s="240"/>
      <c r="K425" s="240"/>
      <c r="L425" s="240"/>
      <c r="M425" s="240"/>
      <c r="N425" s="240"/>
      <c r="O425" s="240"/>
      <c r="P425" s="240"/>
      <c r="Q425" s="240"/>
      <c r="R425" s="240"/>
      <c r="S425" s="240"/>
      <c r="T425" s="240"/>
      <c r="U425" s="240"/>
      <c r="V425" s="240"/>
      <c r="W425" s="240"/>
      <c r="X425" s="240"/>
      <c r="Y425" s="240"/>
      <c r="Z425" s="240"/>
    </row>
    <row r="426" spans="1:26" ht="15.75" customHeight="1" x14ac:dyDescent="0.55000000000000004">
      <c r="A426" s="240"/>
      <c r="B426" s="240"/>
      <c r="C426" s="240"/>
      <c r="D426" s="240"/>
      <c r="E426" s="240"/>
      <c r="F426" s="240"/>
      <c r="G426" s="240"/>
      <c r="H426" s="240"/>
      <c r="I426" s="240"/>
      <c r="J426" s="240"/>
      <c r="K426" s="240"/>
      <c r="L426" s="240"/>
      <c r="M426" s="240"/>
      <c r="N426" s="240"/>
      <c r="O426" s="240"/>
      <c r="P426" s="240"/>
      <c r="Q426" s="240"/>
      <c r="R426" s="240"/>
      <c r="S426" s="240"/>
      <c r="T426" s="240"/>
      <c r="U426" s="240"/>
      <c r="V426" s="240"/>
      <c r="W426" s="240"/>
      <c r="X426" s="240"/>
      <c r="Y426" s="240"/>
      <c r="Z426" s="240"/>
    </row>
    <row r="427" spans="1:26" ht="15.75" customHeight="1" x14ac:dyDescent="0.55000000000000004">
      <c r="A427" s="240"/>
      <c r="B427" s="240"/>
      <c r="C427" s="240"/>
      <c r="D427" s="240"/>
      <c r="E427" s="240"/>
      <c r="F427" s="240"/>
      <c r="G427" s="240"/>
      <c r="H427" s="240"/>
      <c r="I427" s="240"/>
      <c r="J427" s="240"/>
      <c r="K427" s="240"/>
      <c r="L427" s="240"/>
      <c r="M427" s="240"/>
      <c r="N427" s="240"/>
      <c r="O427" s="240"/>
      <c r="P427" s="240"/>
      <c r="Q427" s="240"/>
      <c r="R427" s="240"/>
      <c r="S427" s="240"/>
      <c r="T427" s="240"/>
      <c r="U427" s="240"/>
      <c r="V427" s="240"/>
      <c r="W427" s="240"/>
      <c r="X427" s="240"/>
      <c r="Y427" s="240"/>
      <c r="Z427" s="240"/>
    </row>
    <row r="428" spans="1:26" ht="15.75" customHeight="1" x14ac:dyDescent="0.55000000000000004">
      <c r="A428" s="240"/>
      <c r="B428" s="240"/>
      <c r="C428" s="240"/>
      <c r="D428" s="240"/>
      <c r="E428" s="240"/>
      <c r="F428" s="240"/>
      <c r="G428" s="240"/>
      <c r="H428" s="240"/>
      <c r="I428" s="240"/>
      <c r="J428" s="240"/>
      <c r="K428" s="240"/>
      <c r="L428" s="240"/>
      <c r="M428" s="240"/>
      <c r="N428" s="240"/>
      <c r="O428" s="240"/>
      <c r="P428" s="240"/>
      <c r="Q428" s="240"/>
      <c r="R428" s="240"/>
      <c r="S428" s="240"/>
      <c r="T428" s="240"/>
      <c r="U428" s="240"/>
      <c r="V428" s="240"/>
      <c r="W428" s="240"/>
      <c r="X428" s="240"/>
      <c r="Y428" s="240"/>
      <c r="Z428" s="240"/>
    </row>
    <row r="429" spans="1:26" ht="15.75" customHeight="1" x14ac:dyDescent="0.55000000000000004">
      <c r="A429" s="240"/>
      <c r="B429" s="240"/>
      <c r="C429" s="240"/>
      <c r="D429" s="240"/>
      <c r="E429" s="240"/>
      <c r="F429" s="240"/>
      <c r="G429" s="240"/>
      <c r="H429" s="240"/>
      <c r="I429" s="240"/>
      <c r="J429" s="240"/>
      <c r="K429" s="240"/>
      <c r="L429" s="240"/>
      <c r="M429" s="240"/>
      <c r="N429" s="240"/>
      <c r="O429" s="240"/>
      <c r="P429" s="240"/>
      <c r="Q429" s="240"/>
      <c r="R429" s="240"/>
      <c r="S429" s="240"/>
      <c r="T429" s="240"/>
      <c r="U429" s="240"/>
      <c r="V429" s="240"/>
      <c r="W429" s="240"/>
      <c r="X429" s="240"/>
      <c r="Y429" s="240"/>
      <c r="Z429" s="240"/>
    </row>
    <row r="430" spans="1:26" ht="15.75" customHeight="1" x14ac:dyDescent="0.55000000000000004">
      <c r="A430" s="240"/>
      <c r="B430" s="240"/>
      <c r="C430" s="240"/>
      <c r="D430" s="240"/>
      <c r="E430" s="240"/>
      <c r="F430" s="240"/>
      <c r="G430" s="240"/>
      <c r="H430" s="240"/>
      <c r="I430" s="240"/>
      <c r="J430" s="240"/>
      <c r="K430" s="240"/>
      <c r="L430" s="240"/>
      <c r="M430" s="240"/>
      <c r="N430" s="240"/>
      <c r="O430" s="240"/>
      <c r="P430" s="240"/>
      <c r="Q430" s="240"/>
      <c r="R430" s="240"/>
      <c r="S430" s="240"/>
      <c r="T430" s="240"/>
      <c r="U430" s="240"/>
      <c r="V430" s="240"/>
      <c r="W430" s="240"/>
      <c r="X430" s="240"/>
      <c r="Y430" s="240"/>
      <c r="Z430" s="240"/>
    </row>
    <row r="431" spans="1:26" ht="15.75" customHeight="1" x14ac:dyDescent="0.55000000000000004">
      <c r="A431" s="240"/>
      <c r="B431" s="240"/>
      <c r="C431" s="240"/>
      <c r="D431" s="240"/>
      <c r="E431" s="240"/>
      <c r="F431" s="240"/>
      <c r="G431" s="240"/>
      <c r="H431" s="240"/>
      <c r="I431" s="240"/>
      <c r="J431" s="240"/>
      <c r="K431" s="240"/>
      <c r="L431" s="240"/>
      <c r="M431" s="240"/>
      <c r="N431" s="240"/>
      <c r="O431" s="240"/>
      <c r="P431" s="240"/>
      <c r="Q431" s="240"/>
      <c r="R431" s="240"/>
      <c r="S431" s="240"/>
      <c r="T431" s="240"/>
      <c r="U431" s="240"/>
      <c r="V431" s="240"/>
      <c r="W431" s="240"/>
      <c r="X431" s="240"/>
      <c r="Y431" s="240"/>
      <c r="Z431" s="240"/>
    </row>
    <row r="432" spans="1:26" ht="15.75" customHeight="1" x14ac:dyDescent="0.55000000000000004">
      <c r="A432" s="240"/>
      <c r="B432" s="240"/>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row>
    <row r="433" spans="1:26" ht="15.75" customHeight="1" x14ac:dyDescent="0.55000000000000004">
      <c r="A433" s="240"/>
      <c r="B433" s="240"/>
      <c r="C433" s="240"/>
      <c r="D433" s="240"/>
      <c r="E433" s="240"/>
      <c r="F433" s="240"/>
      <c r="G433" s="240"/>
      <c r="H433" s="240"/>
      <c r="I433" s="240"/>
      <c r="J433" s="240"/>
      <c r="K433" s="240"/>
      <c r="L433" s="240"/>
      <c r="M433" s="240"/>
      <c r="N433" s="240"/>
      <c r="O433" s="240"/>
      <c r="P433" s="240"/>
      <c r="Q433" s="240"/>
      <c r="R433" s="240"/>
      <c r="S433" s="240"/>
      <c r="T433" s="240"/>
      <c r="U433" s="240"/>
      <c r="V433" s="240"/>
      <c r="W433" s="240"/>
      <c r="X433" s="240"/>
      <c r="Y433" s="240"/>
      <c r="Z433" s="240"/>
    </row>
    <row r="434" spans="1:26" ht="15.75" customHeight="1" x14ac:dyDescent="0.55000000000000004">
      <c r="A434" s="240"/>
      <c r="B434" s="240"/>
      <c r="C434" s="240"/>
      <c r="D434" s="240"/>
      <c r="E434" s="240"/>
      <c r="F434" s="240"/>
      <c r="G434" s="240"/>
      <c r="H434" s="240"/>
      <c r="I434" s="240"/>
      <c r="J434" s="240"/>
      <c r="K434" s="240"/>
      <c r="L434" s="240"/>
      <c r="M434" s="240"/>
      <c r="N434" s="240"/>
      <c r="O434" s="240"/>
      <c r="P434" s="240"/>
      <c r="Q434" s="240"/>
      <c r="R434" s="240"/>
      <c r="S434" s="240"/>
      <c r="T434" s="240"/>
      <c r="U434" s="240"/>
      <c r="V434" s="240"/>
      <c r="W434" s="240"/>
      <c r="X434" s="240"/>
      <c r="Y434" s="240"/>
      <c r="Z434" s="240"/>
    </row>
    <row r="435" spans="1:26" ht="15.75" customHeight="1" x14ac:dyDescent="0.55000000000000004">
      <c r="A435" s="240"/>
      <c r="B435" s="240"/>
      <c r="C435" s="240"/>
      <c r="D435" s="240"/>
      <c r="E435" s="240"/>
      <c r="F435" s="240"/>
      <c r="G435" s="240"/>
      <c r="H435" s="240"/>
      <c r="I435" s="240"/>
      <c r="J435" s="240"/>
      <c r="K435" s="240"/>
      <c r="L435" s="240"/>
      <c r="M435" s="240"/>
      <c r="N435" s="240"/>
      <c r="O435" s="240"/>
      <c r="P435" s="240"/>
      <c r="Q435" s="240"/>
      <c r="R435" s="240"/>
      <c r="S435" s="240"/>
      <c r="T435" s="240"/>
      <c r="U435" s="240"/>
      <c r="V435" s="240"/>
      <c r="W435" s="240"/>
      <c r="X435" s="240"/>
      <c r="Y435" s="240"/>
      <c r="Z435" s="240"/>
    </row>
    <row r="436" spans="1:26" ht="15.75" customHeight="1" x14ac:dyDescent="0.55000000000000004">
      <c r="A436" s="240"/>
      <c r="B436" s="240"/>
      <c r="C436" s="240"/>
      <c r="D436" s="240"/>
      <c r="E436" s="240"/>
      <c r="F436" s="240"/>
      <c r="G436" s="240"/>
      <c r="H436" s="240"/>
      <c r="I436" s="240"/>
      <c r="J436" s="240"/>
      <c r="K436" s="240"/>
      <c r="L436" s="240"/>
      <c r="M436" s="240"/>
      <c r="N436" s="240"/>
      <c r="O436" s="240"/>
      <c r="P436" s="240"/>
      <c r="Q436" s="240"/>
      <c r="R436" s="240"/>
      <c r="S436" s="240"/>
      <c r="T436" s="240"/>
      <c r="U436" s="240"/>
      <c r="V436" s="240"/>
      <c r="W436" s="240"/>
      <c r="X436" s="240"/>
      <c r="Y436" s="240"/>
      <c r="Z436" s="240"/>
    </row>
    <row r="437" spans="1:26" ht="15.75" customHeight="1" x14ac:dyDescent="0.55000000000000004">
      <c r="A437" s="240"/>
      <c r="B437" s="240"/>
      <c r="C437" s="240"/>
      <c r="D437" s="240"/>
      <c r="E437" s="240"/>
      <c r="F437" s="240"/>
      <c r="G437" s="240"/>
      <c r="H437" s="240"/>
      <c r="I437" s="240"/>
      <c r="J437" s="240"/>
      <c r="K437" s="240"/>
      <c r="L437" s="240"/>
      <c r="M437" s="240"/>
      <c r="N437" s="240"/>
      <c r="O437" s="240"/>
      <c r="P437" s="240"/>
      <c r="Q437" s="240"/>
      <c r="R437" s="240"/>
      <c r="S437" s="240"/>
      <c r="T437" s="240"/>
      <c r="U437" s="240"/>
      <c r="V437" s="240"/>
      <c r="W437" s="240"/>
      <c r="X437" s="240"/>
      <c r="Y437" s="240"/>
      <c r="Z437" s="240"/>
    </row>
    <row r="438" spans="1:26" ht="15.75" customHeight="1" x14ac:dyDescent="0.55000000000000004">
      <c r="A438" s="240"/>
      <c r="B438" s="240"/>
      <c r="C438" s="240"/>
      <c r="D438" s="240"/>
      <c r="E438" s="240"/>
      <c r="F438" s="240"/>
      <c r="G438" s="240"/>
      <c r="H438" s="240"/>
      <c r="I438" s="240"/>
      <c r="J438" s="240"/>
      <c r="K438" s="240"/>
      <c r="L438" s="240"/>
      <c r="M438" s="240"/>
      <c r="N438" s="240"/>
      <c r="O438" s="240"/>
      <c r="P438" s="240"/>
      <c r="Q438" s="240"/>
      <c r="R438" s="240"/>
      <c r="S438" s="240"/>
      <c r="T438" s="240"/>
      <c r="U438" s="240"/>
      <c r="V438" s="240"/>
      <c r="W438" s="240"/>
      <c r="X438" s="240"/>
      <c r="Y438" s="240"/>
      <c r="Z438" s="240"/>
    </row>
    <row r="439" spans="1:26" ht="15.75" customHeight="1" x14ac:dyDescent="0.55000000000000004">
      <c r="A439" s="240"/>
      <c r="B439" s="240"/>
      <c r="C439" s="240"/>
      <c r="D439" s="240"/>
      <c r="E439" s="240"/>
      <c r="F439" s="240"/>
      <c r="G439" s="240"/>
      <c r="H439" s="240"/>
      <c r="I439" s="240"/>
      <c r="J439" s="240"/>
      <c r="K439" s="240"/>
      <c r="L439" s="240"/>
      <c r="M439" s="240"/>
      <c r="N439" s="240"/>
      <c r="O439" s="240"/>
      <c r="P439" s="240"/>
      <c r="Q439" s="240"/>
      <c r="R439" s="240"/>
      <c r="S439" s="240"/>
      <c r="T439" s="240"/>
      <c r="U439" s="240"/>
      <c r="V439" s="240"/>
      <c r="W439" s="240"/>
      <c r="X439" s="240"/>
      <c r="Y439" s="240"/>
      <c r="Z439" s="240"/>
    </row>
    <row r="440" spans="1:26" ht="15.75" customHeight="1" x14ac:dyDescent="0.55000000000000004">
      <c r="A440" s="240"/>
      <c r="B440" s="240"/>
      <c r="C440" s="240"/>
      <c r="D440" s="240"/>
      <c r="E440" s="240"/>
      <c r="F440" s="240"/>
      <c r="G440" s="240"/>
      <c r="H440" s="240"/>
      <c r="I440" s="240"/>
      <c r="J440" s="240"/>
      <c r="K440" s="240"/>
      <c r="L440" s="240"/>
      <c r="M440" s="240"/>
      <c r="N440" s="240"/>
      <c r="O440" s="240"/>
      <c r="P440" s="240"/>
      <c r="Q440" s="240"/>
      <c r="R440" s="240"/>
      <c r="S440" s="240"/>
      <c r="T440" s="240"/>
      <c r="U440" s="240"/>
      <c r="V440" s="240"/>
      <c r="W440" s="240"/>
      <c r="X440" s="240"/>
      <c r="Y440" s="240"/>
      <c r="Z440" s="240"/>
    </row>
    <row r="441" spans="1:26" ht="15.75" customHeight="1" x14ac:dyDescent="0.55000000000000004">
      <c r="A441" s="240"/>
      <c r="B441" s="240"/>
      <c r="C441" s="240"/>
      <c r="D441" s="240"/>
      <c r="E441" s="240"/>
      <c r="F441" s="240"/>
      <c r="G441" s="240"/>
      <c r="H441" s="240"/>
      <c r="I441" s="240"/>
      <c r="J441" s="240"/>
      <c r="K441" s="240"/>
      <c r="L441" s="240"/>
      <c r="M441" s="240"/>
      <c r="N441" s="240"/>
      <c r="O441" s="240"/>
      <c r="P441" s="240"/>
      <c r="Q441" s="240"/>
      <c r="R441" s="240"/>
      <c r="S441" s="240"/>
      <c r="T441" s="240"/>
      <c r="U441" s="240"/>
      <c r="V441" s="240"/>
      <c r="W441" s="240"/>
      <c r="X441" s="240"/>
      <c r="Y441" s="240"/>
      <c r="Z441" s="240"/>
    </row>
    <row r="442" spans="1:26" ht="15.75" customHeight="1" x14ac:dyDescent="0.55000000000000004">
      <c r="A442" s="240"/>
      <c r="B442" s="240"/>
      <c r="C442" s="240"/>
      <c r="D442" s="240"/>
      <c r="E442" s="240"/>
      <c r="F442" s="240"/>
      <c r="G442" s="240"/>
      <c r="H442" s="240"/>
      <c r="I442" s="240"/>
      <c r="J442" s="240"/>
      <c r="K442" s="240"/>
      <c r="L442" s="240"/>
      <c r="M442" s="240"/>
      <c r="N442" s="240"/>
      <c r="O442" s="240"/>
      <c r="P442" s="240"/>
      <c r="Q442" s="240"/>
      <c r="R442" s="240"/>
      <c r="S442" s="240"/>
      <c r="T442" s="240"/>
      <c r="U442" s="240"/>
      <c r="V442" s="240"/>
      <c r="W442" s="240"/>
      <c r="X442" s="240"/>
      <c r="Y442" s="240"/>
      <c r="Z442" s="240"/>
    </row>
    <row r="443" spans="1:26" ht="15.75" customHeight="1" x14ac:dyDescent="0.55000000000000004">
      <c r="A443" s="240"/>
      <c r="B443" s="240"/>
      <c r="C443" s="240"/>
      <c r="D443" s="240"/>
      <c r="E443" s="240"/>
      <c r="F443" s="240"/>
      <c r="G443" s="240"/>
      <c r="H443" s="240"/>
      <c r="I443" s="240"/>
      <c r="J443" s="240"/>
      <c r="K443" s="240"/>
      <c r="L443" s="240"/>
      <c r="M443" s="240"/>
      <c r="N443" s="240"/>
      <c r="O443" s="240"/>
      <c r="P443" s="240"/>
      <c r="Q443" s="240"/>
      <c r="R443" s="240"/>
      <c r="S443" s="240"/>
      <c r="T443" s="240"/>
      <c r="U443" s="240"/>
      <c r="V443" s="240"/>
      <c r="W443" s="240"/>
      <c r="X443" s="240"/>
      <c r="Y443" s="240"/>
      <c r="Z443" s="240"/>
    </row>
    <row r="444" spans="1:26" ht="15.75" customHeight="1" x14ac:dyDescent="0.55000000000000004">
      <c r="A444" s="240"/>
      <c r="B444" s="240"/>
      <c r="C444" s="240"/>
      <c r="D444" s="240"/>
      <c r="E444" s="240"/>
      <c r="F444" s="240"/>
      <c r="G444" s="240"/>
      <c r="H444" s="240"/>
      <c r="I444" s="240"/>
      <c r="J444" s="240"/>
      <c r="K444" s="240"/>
      <c r="L444" s="240"/>
      <c r="M444" s="240"/>
      <c r="N444" s="240"/>
      <c r="O444" s="240"/>
      <c r="P444" s="240"/>
      <c r="Q444" s="240"/>
      <c r="R444" s="240"/>
      <c r="S444" s="240"/>
      <c r="T444" s="240"/>
      <c r="U444" s="240"/>
      <c r="V444" s="240"/>
      <c r="W444" s="240"/>
      <c r="X444" s="240"/>
      <c r="Y444" s="240"/>
      <c r="Z444" s="240"/>
    </row>
    <row r="445" spans="1:26" ht="15.75" customHeight="1" x14ac:dyDescent="0.55000000000000004">
      <c r="A445" s="240"/>
      <c r="B445" s="240"/>
      <c r="C445" s="240"/>
      <c r="D445" s="240"/>
      <c r="E445" s="240"/>
      <c r="F445" s="240"/>
      <c r="G445" s="240"/>
      <c r="H445" s="240"/>
      <c r="I445" s="240"/>
      <c r="J445" s="240"/>
      <c r="K445" s="240"/>
      <c r="L445" s="240"/>
      <c r="M445" s="240"/>
      <c r="N445" s="240"/>
      <c r="O445" s="240"/>
      <c r="P445" s="240"/>
      <c r="Q445" s="240"/>
      <c r="R445" s="240"/>
      <c r="S445" s="240"/>
      <c r="T445" s="240"/>
      <c r="U445" s="240"/>
      <c r="V445" s="240"/>
      <c r="W445" s="240"/>
      <c r="X445" s="240"/>
      <c r="Y445" s="240"/>
      <c r="Z445" s="240"/>
    </row>
    <row r="446" spans="1:26" ht="15.75" customHeight="1" x14ac:dyDescent="0.55000000000000004">
      <c r="A446" s="240"/>
      <c r="B446" s="240"/>
      <c r="C446" s="240"/>
      <c r="D446" s="240"/>
      <c r="E446" s="240"/>
      <c r="F446" s="240"/>
      <c r="G446" s="240"/>
      <c r="H446" s="240"/>
      <c r="I446" s="240"/>
      <c r="J446" s="240"/>
      <c r="K446" s="240"/>
      <c r="L446" s="240"/>
      <c r="M446" s="240"/>
      <c r="N446" s="240"/>
      <c r="O446" s="240"/>
      <c r="P446" s="240"/>
      <c r="Q446" s="240"/>
      <c r="R446" s="240"/>
      <c r="S446" s="240"/>
      <c r="T446" s="240"/>
      <c r="U446" s="240"/>
      <c r="V446" s="240"/>
      <c r="W446" s="240"/>
      <c r="X446" s="240"/>
      <c r="Y446" s="240"/>
      <c r="Z446" s="240"/>
    </row>
    <row r="447" spans="1:26" ht="15.75" customHeight="1" x14ac:dyDescent="0.55000000000000004">
      <c r="A447" s="240"/>
      <c r="B447" s="240"/>
      <c r="C447" s="240"/>
      <c r="D447" s="240"/>
      <c r="E447" s="240"/>
      <c r="F447" s="240"/>
      <c r="G447" s="240"/>
      <c r="H447" s="240"/>
      <c r="I447" s="240"/>
      <c r="J447" s="240"/>
      <c r="K447" s="240"/>
      <c r="L447" s="240"/>
      <c r="M447" s="240"/>
      <c r="N447" s="240"/>
      <c r="O447" s="240"/>
      <c r="P447" s="240"/>
      <c r="Q447" s="240"/>
      <c r="R447" s="240"/>
      <c r="S447" s="240"/>
      <c r="T447" s="240"/>
      <c r="U447" s="240"/>
      <c r="V447" s="240"/>
      <c r="W447" s="240"/>
      <c r="X447" s="240"/>
      <c r="Y447" s="240"/>
      <c r="Z447" s="240"/>
    </row>
    <row r="448" spans="1:26" ht="15.75" customHeight="1" x14ac:dyDescent="0.55000000000000004">
      <c r="A448" s="240"/>
      <c r="B448" s="240"/>
      <c r="C448" s="240"/>
      <c r="D448" s="240"/>
      <c r="E448" s="240"/>
      <c r="F448" s="240"/>
      <c r="G448" s="240"/>
      <c r="H448" s="240"/>
      <c r="I448" s="240"/>
      <c r="J448" s="240"/>
      <c r="K448" s="240"/>
      <c r="L448" s="240"/>
      <c r="M448" s="240"/>
      <c r="N448" s="240"/>
      <c r="O448" s="240"/>
      <c r="P448" s="240"/>
      <c r="Q448" s="240"/>
      <c r="R448" s="240"/>
      <c r="S448" s="240"/>
      <c r="T448" s="240"/>
      <c r="U448" s="240"/>
      <c r="V448" s="240"/>
      <c r="W448" s="240"/>
      <c r="X448" s="240"/>
      <c r="Y448" s="240"/>
      <c r="Z448" s="240"/>
    </row>
    <row r="449" spans="1:26" ht="15.75" customHeight="1" x14ac:dyDescent="0.55000000000000004">
      <c r="A449" s="240"/>
      <c r="B449" s="240"/>
      <c r="C449" s="240"/>
      <c r="D449" s="240"/>
      <c r="E449" s="240"/>
      <c r="F449" s="240"/>
      <c r="G449" s="240"/>
      <c r="H449" s="240"/>
      <c r="I449" s="240"/>
      <c r="J449" s="240"/>
      <c r="K449" s="240"/>
      <c r="L449" s="240"/>
      <c r="M449" s="240"/>
      <c r="N449" s="240"/>
      <c r="O449" s="240"/>
      <c r="P449" s="240"/>
      <c r="Q449" s="240"/>
      <c r="R449" s="240"/>
      <c r="S449" s="240"/>
      <c r="T449" s="240"/>
      <c r="U449" s="240"/>
      <c r="V449" s="240"/>
      <c r="W449" s="240"/>
      <c r="X449" s="240"/>
      <c r="Y449" s="240"/>
      <c r="Z449" s="240"/>
    </row>
    <row r="450" spans="1:26" ht="15.75" customHeight="1" x14ac:dyDescent="0.55000000000000004">
      <c r="A450" s="240"/>
      <c r="B450" s="240"/>
      <c r="C450" s="240"/>
      <c r="D450" s="240"/>
      <c r="E450" s="240"/>
      <c r="F450" s="240"/>
      <c r="G450" s="240"/>
      <c r="H450" s="240"/>
      <c r="I450" s="240"/>
      <c r="J450" s="240"/>
      <c r="K450" s="240"/>
      <c r="L450" s="240"/>
      <c r="M450" s="240"/>
      <c r="N450" s="240"/>
      <c r="O450" s="240"/>
      <c r="P450" s="240"/>
      <c r="Q450" s="240"/>
      <c r="R450" s="240"/>
      <c r="S450" s="240"/>
      <c r="T450" s="240"/>
      <c r="U450" s="240"/>
      <c r="V450" s="240"/>
      <c r="W450" s="240"/>
      <c r="X450" s="240"/>
      <c r="Y450" s="240"/>
      <c r="Z450" s="240"/>
    </row>
    <row r="451" spans="1:26" ht="15.75" customHeight="1" x14ac:dyDescent="0.55000000000000004">
      <c r="A451" s="240"/>
      <c r="B451" s="240"/>
      <c r="C451" s="240"/>
      <c r="D451" s="240"/>
      <c r="E451" s="240"/>
      <c r="F451" s="240"/>
      <c r="G451" s="240"/>
      <c r="H451" s="240"/>
      <c r="I451" s="240"/>
      <c r="J451" s="240"/>
      <c r="K451" s="240"/>
      <c r="L451" s="240"/>
      <c r="M451" s="240"/>
      <c r="N451" s="240"/>
      <c r="O451" s="240"/>
      <c r="P451" s="240"/>
      <c r="Q451" s="240"/>
      <c r="R451" s="240"/>
      <c r="S451" s="240"/>
      <c r="T451" s="240"/>
      <c r="U451" s="240"/>
      <c r="V451" s="240"/>
      <c r="W451" s="240"/>
      <c r="X451" s="240"/>
      <c r="Y451" s="240"/>
      <c r="Z451" s="240"/>
    </row>
    <row r="452" spans="1:26" ht="15.75" customHeight="1" x14ac:dyDescent="0.55000000000000004">
      <c r="A452" s="240"/>
      <c r="B452" s="240"/>
      <c r="C452" s="240"/>
      <c r="D452" s="240"/>
      <c r="E452" s="240"/>
      <c r="F452" s="240"/>
      <c r="G452" s="240"/>
      <c r="H452" s="240"/>
      <c r="I452" s="240"/>
      <c r="J452" s="240"/>
      <c r="K452" s="240"/>
      <c r="L452" s="240"/>
      <c r="M452" s="240"/>
      <c r="N452" s="240"/>
      <c r="O452" s="240"/>
      <c r="P452" s="240"/>
      <c r="Q452" s="240"/>
      <c r="R452" s="240"/>
      <c r="S452" s="240"/>
      <c r="T452" s="240"/>
      <c r="U452" s="240"/>
      <c r="V452" s="240"/>
      <c r="W452" s="240"/>
      <c r="X452" s="240"/>
      <c r="Y452" s="240"/>
      <c r="Z452" s="240"/>
    </row>
    <row r="453" spans="1:26" ht="15.75" customHeight="1" x14ac:dyDescent="0.55000000000000004">
      <c r="A453" s="240"/>
      <c r="B453" s="240"/>
      <c r="C453" s="240"/>
      <c r="D453" s="240"/>
      <c r="E453" s="240"/>
      <c r="F453" s="240"/>
      <c r="G453" s="240"/>
      <c r="H453" s="240"/>
      <c r="I453" s="240"/>
      <c r="J453" s="240"/>
      <c r="K453" s="240"/>
      <c r="L453" s="240"/>
      <c r="M453" s="240"/>
      <c r="N453" s="240"/>
      <c r="O453" s="240"/>
      <c r="P453" s="240"/>
      <c r="Q453" s="240"/>
      <c r="R453" s="240"/>
      <c r="S453" s="240"/>
      <c r="T453" s="240"/>
      <c r="U453" s="240"/>
      <c r="V453" s="240"/>
      <c r="W453" s="240"/>
      <c r="X453" s="240"/>
      <c r="Y453" s="240"/>
      <c r="Z453" s="240"/>
    </row>
    <row r="454" spans="1:26" ht="15.75" customHeight="1" x14ac:dyDescent="0.55000000000000004">
      <c r="A454" s="240"/>
      <c r="B454" s="240"/>
      <c r="C454" s="240"/>
      <c r="D454" s="240"/>
      <c r="E454" s="240"/>
      <c r="F454" s="240"/>
      <c r="G454" s="240"/>
      <c r="H454" s="240"/>
      <c r="I454" s="240"/>
      <c r="J454" s="240"/>
      <c r="K454" s="240"/>
      <c r="L454" s="240"/>
      <c r="M454" s="240"/>
      <c r="N454" s="240"/>
      <c r="O454" s="240"/>
      <c r="P454" s="240"/>
      <c r="Q454" s="240"/>
      <c r="R454" s="240"/>
      <c r="S454" s="240"/>
      <c r="T454" s="240"/>
      <c r="U454" s="240"/>
      <c r="V454" s="240"/>
      <c r="W454" s="240"/>
      <c r="X454" s="240"/>
      <c r="Y454" s="240"/>
      <c r="Z454" s="240"/>
    </row>
    <row r="455" spans="1:26" ht="15.75" customHeight="1" x14ac:dyDescent="0.55000000000000004">
      <c r="A455" s="240"/>
      <c r="B455" s="240"/>
      <c r="C455" s="240"/>
      <c r="D455" s="240"/>
      <c r="E455" s="240"/>
      <c r="F455" s="240"/>
      <c r="G455" s="240"/>
      <c r="H455" s="240"/>
      <c r="I455" s="240"/>
      <c r="J455" s="240"/>
      <c r="K455" s="240"/>
      <c r="L455" s="240"/>
      <c r="M455" s="240"/>
      <c r="N455" s="240"/>
      <c r="O455" s="240"/>
      <c r="P455" s="240"/>
      <c r="Q455" s="240"/>
      <c r="R455" s="240"/>
      <c r="S455" s="240"/>
      <c r="T455" s="240"/>
      <c r="U455" s="240"/>
      <c r="V455" s="240"/>
      <c r="W455" s="240"/>
      <c r="X455" s="240"/>
      <c r="Y455" s="240"/>
      <c r="Z455" s="240"/>
    </row>
    <row r="456" spans="1:26" ht="15.75" customHeight="1" x14ac:dyDescent="0.55000000000000004">
      <c r="A456" s="240"/>
      <c r="B456" s="240"/>
      <c r="C456" s="240"/>
      <c r="D456" s="240"/>
      <c r="E456" s="240"/>
      <c r="F456" s="240"/>
      <c r="G456" s="240"/>
      <c r="H456" s="240"/>
      <c r="I456" s="240"/>
      <c r="J456" s="240"/>
      <c r="K456" s="240"/>
      <c r="L456" s="240"/>
      <c r="M456" s="240"/>
      <c r="N456" s="240"/>
      <c r="O456" s="240"/>
      <c r="P456" s="240"/>
      <c r="Q456" s="240"/>
      <c r="R456" s="240"/>
      <c r="S456" s="240"/>
      <c r="T456" s="240"/>
      <c r="U456" s="240"/>
      <c r="V456" s="240"/>
      <c r="W456" s="240"/>
      <c r="X456" s="240"/>
      <c r="Y456" s="240"/>
      <c r="Z456" s="240"/>
    </row>
    <row r="457" spans="1:26" ht="15.75" customHeight="1" x14ac:dyDescent="0.55000000000000004">
      <c r="A457" s="240"/>
      <c r="B457" s="240"/>
      <c r="C457" s="240"/>
      <c r="D457" s="240"/>
      <c r="E457" s="240"/>
      <c r="F457" s="240"/>
      <c r="G457" s="240"/>
      <c r="H457" s="240"/>
      <c r="I457" s="240"/>
      <c r="J457" s="240"/>
      <c r="K457" s="240"/>
      <c r="L457" s="240"/>
      <c r="M457" s="240"/>
      <c r="N457" s="240"/>
      <c r="O457" s="240"/>
      <c r="P457" s="240"/>
      <c r="Q457" s="240"/>
      <c r="R457" s="240"/>
      <c r="S457" s="240"/>
      <c r="T457" s="240"/>
      <c r="U457" s="240"/>
      <c r="V457" s="240"/>
      <c r="W457" s="240"/>
      <c r="X457" s="240"/>
      <c r="Y457" s="240"/>
      <c r="Z457" s="240"/>
    </row>
    <row r="458" spans="1:26" ht="15.75" customHeight="1" x14ac:dyDescent="0.55000000000000004">
      <c r="A458" s="240"/>
      <c r="B458" s="240"/>
      <c r="C458" s="240"/>
      <c r="D458" s="240"/>
      <c r="E458" s="240"/>
      <c r="F458" s="240"/>
      <c r="G458" s="240"/>
      <c r="H458" s="240"/>
      <c r="I458" s="240"/>
      <c r="J458" s="240"/>
      <c r="K458" s="240"/>
      <c r="L458" s="240"/>
      <c r="M458" s="240"/>
      <c r="N458" s="240"/>
      <c r="O458" s="240"/>
      <c r="P458" s="240"/>
      <c r="Q458" s="240"/>
      <c r="R458" s="240"/>
      <c r="S458" s="240"/>
      <c r="T458" s="240"/>
      <c r="U458" s="240"/>
      <c r="V458" s="240"/>
      <c r="W458" s="240"/>
      <c r="X458" s="240"/>
      <c r="Y458" s="240"/>
      <c r="Z458" s="240"/>
    </row>
    <row r="459" spans="1:26" ht="15.75" customHeight="1" x14ac:dyDescent="0.55000000000000004">
      <c r="A459" s="240"/>
      <c r="B459" s="240"/>
      <c r="C459" s="240"/>
      <c r="D459" s="240"/>
      <c r="E459" s="240"/>
      <c r="F459" s="240"/>
      <c r="G459" s="240"/>
      <c r="H459" s="240"/>
      <c r="I459" s="240"/>
      <c r="J459" s="240"/>
      <c r="K459" s="240"/>
      <c r="L459" s="240"/>
      <c r="M459" s="240"/>
      <c r="N459" s="240"/>
      <c r="O459" s="240"/>
      <c r="P459" s="240"/>
      <c r="Q459" s="240"/>
      <c r="R459" s="240"/>
      <c r="S459" s="240"/>
      <c r="T459" s="240"/>
      <c r="U459" s="240"/>
      <c r="V459" s="240"/>
      <c r="W459" s="240"/>
      <c r="X459" s="240"/>
      <c r="Y459" s="240"/>
      <c r="Z459" s="240"/>
    </row>
    <row r="460" spans="1:26" ht="15.75" customHeight="1" x14ac:dyDescent="0.55000000000000004">
      <c r="A460" s="240"/>
      <c r="B460" s="240"/>
      <c r="C460" s="240"/>
      <c r="D460" s="240"/>
      <c r="E460" s="240"/>
      <c r="F460" s="240"/>
      <c r="G460" s="240"/>
      <c r="H460" s="240"/>
      <c r="I460" s="240"/>
      <c r="J460" s="240"/>
      <c r="K460" s="240"/>
      <c r="L460" s="240"/>
      <c r="M460" s="240"/>
      <c r="N460" s="240"/>
      <c r="O460" s="240"/>
      <c r="P460" s="240"/>
      <c r="Q460" s="240"/>
      <c r="R460" s="240"/>
      <c r="S460" s="240"/>
      <c r="T460" s="240"/>
      <c r="U460" s="240"/>
      <c r="V460" s="240"/>
      <c r="W460" s="240"/>
      <c r="X460" s="240"/>
      <c r="Y460" s="240"/>
      <c r="Z460" s="240"/>
    </row>
    <row r="461" spans="1:26" ht="15.75" customHeight="1" x14ac:dyDescent="0.55000000000000004">
      <c r="A461" s="240"/>
      <c r="B461" s="240"/>
      <c r="C461" s="240"/>
      <c r="D461" s="240"/>
      <c r="E461" s="240"/>
      <c r="F461" s="240"/>
      <c r="G461" s="240"/>
      <c r="H461" s="240"/>
      <c r="I461" s="240"/>
      <c r="J461" s="240"/>
      <c r="K461" s="240"/>
      <c r="L461" s="240"/>
      <c r="M461" s="240"/>
      <c r="N461" s="240"/>
      <c r="O461" s="240"/>
      <c r="P461" s="240"/>
      <c r="Q461" s="240"/>
      <c r="R461" s="240"/>
      <c r="S461" s="240"/>
      <c r="T461" s="240"/>
      <c r="U461" s="240"/>
      <c r="V461" s="240"/>
      <c r="W461" s="240"/>
      <c r="X461" s="240"/>
      <c r="Y461" s="240"/>
      <c r="Z461" s="240"/>
    </row>
    <row r="462" spans="1:26" ht="15.75" customHeight="1" x14ac:dyDescent="0.55000000000000004">
      <c r="A462" s="240"/>
      <c r="B462" s="240"/>
      <c r="C462" s="240"/>
      <c r="D462" s="240"/>
      <c r="E462" s="240"/>
      <c r="F462" s="240"/>
      <c r="G462" s="240"/>
      <c r="H462" s="240"/>
      <c r="I462" s="240"/>
      <c r="J462" s="240"/>
      <c r="K462" s="240"/>
      <c r="L462" s="240"/>
      <c r="M462" s="240"/>
      <c r="N462" s="240"/>
      <c r="O462" s="240"/>
      <c r="P462" s="240"/>
      <c r="Q462" s="240"/>
      <c r="R462" s="240"/>
      <c r="S462" s="240"/>
      <c r="T462" s="240"/>
      <c r="U462" s="240"/>
      <c r="V462" s="240"/>
      <c r="W462" s="240"/>
      <c r="X462" s="240"/>
      <c r="Y462" s="240"/>
      <c r="Z462" s="240"/>
    </row>
    <row r="463" spans="1:26" ht="15.75" customHeight="1" x14ac:dyDescent="0.55000000000000004">
      <c r="A463" s="240"/>
      <c r="B463" s="240"/>
      <c r="C463" s="240"/>
      <c r="D463" s="240"/>
      <c r="E463" s="240"/>
      <c r="F463" s="240"/>
      <c r="G463" s="240"/>
      <c r="H463" s="240"/>
      <c r="I463" s="240"/>
      <c r="J463" s="240"/>
      <c r="K463" s="240"/>
      <c r="L463" s="240"/>
      <c r="M463" s="240"/>
      <c r="N463" s="240"/>
      <c r="O463" s="240"/>
      <c r="P463" s="240"/>
      <c r="Q463" s="240"/>
      <c r="R463" s="240"/>
      <c r="S463" s="240"/>
      <c r="T463" s="240"/>
      <c r="U463" s="240"/>
      <c r="V463" s="240"/>
      <c r="W463" s="240"/>
      <c r="X463" s="240"/>
      <c r="Y463" s="240"/>
      <c r="Z463" s="240"/>
    </row>
    <row r="464" spans="1:26" ht="15.75" customHeight="1" x14ac:dyDescent="0.55000000000000004">
      <c r="A464" s="240"/>
      <c r="B464" s="240"/>
      <c r="C464" s="240"/>
      <c r="D464" s="240"/>
      <c r="E464" s="240"/>
      <c r="F464" s="240"/>
      <c r="G464" s="240"/>
      <c r="H464" s="240"/>
      <c r="I464" s="240"/>
      <c r="J464" s="240"/>
      <c r="K464" s="240"/>
      <c r="L464" s="240"/>
      <c r="M464" s="240"/>
      <c r="N464" s="240"/>
      <c r="O464" s="240"/>
      <c r="P464" s="240"/>
      <c r="Q464" s="240"/>
      <c r="R464" s="240"/>
      <c r="S464" s="240"/>
      <c r="T464" s="240"/>
      <c r="U464" s="240"/>
      <c r="V464" s="240"/>
      <c r="W464" s="240"/>
      <c r="X464" s="240"/>
      <c r="Y464" s="240"/>
      <c r="Z464" s="240"/>
    </row>
    <row r="465" spans="1:26" ht="15.75" customHeight="1" x14ac:dyDescent="0.55000000000000004">
      <c r="A465" s="240"/>
      <c r="B465" s="240"/>
      <c r="C465" s="240"/>
      <c r="D465" s="240"/>
      <c r="E465" s="240"/>
      <c r="F465" s="240"/>
      <c r="G465" s="240"/>
      <c r="H465" s="240"/>
      <c r="I465" s="240"/>
      <c r="J465" s="240"/>
      <c r="K465" s="240"/>
      <c r="L465" s="240"/>
      <c r="M465" s="240"/>
      <c r="N465" s="240"/>
      <c r="O465" s="240"/>
      <c r="P465" s="240"/>
      <c r="Q465" s="240"/>
      <c r="R465" s="240"/>
      <c r="S465" s="240"/>
      <c r="T465" s="240"/>
      <c r="U465" s="240"/>
      <c r="V465" s="240"/>
      <c r="W465" s="240"/>
      <c r="X465" s="240"/>
      <c r="Y465" s="240"/>
      <c r="Z465" s="240"/>
    </row>
    <row r="466" spans="1:26" ht="15.75" customHeight="1" x14ac:dyDescent="0.55000000000000004">
      <c r="A466" s="240"/>
      <c r="B466" s="240"/>
      <c r="C466" s="240"/>
      <c r="D466" s="240"/>
      <c r="E466" s="240"/>
      <c r="F466" s="240"/>
      <c r="G466" s="240"/>
      <c r="H466" s="240"/>
      <c r="I466" s="240"/>
      <c r="J466" s="240"/>
      <c r="K466" s="240"/>
      <c r="L466" s="240"/>
      <c r="M466" s="240"/>
      <c r="N466" s="240"/>
      <c r="O466" s="240"/>
      <c r="P466" s="240"/>
      <c r="Q466" s="240"/>
      <c r="R466" s="240"/>
      <c r="S466" s="240"/>
      <c r="T466" s="240"/>
      <c r="U466" s="240"/>
      <c r="V466" s="240"/>
      <c r="W466" s="240"/>
      <c r="X466" s="240"/>
      <c r="Y466" s="240"/>
      <c r="Z466" s="240"/>
    </row>
    <row r="467" spans="1:26" ht="15.75" customHeight="1" x14ac:dyDescent="0.55000000000000004">
      <c r="A467" s="240"/>
      <c r="B467" s="240"/>
      <c r="C467" s="240"/>
      <c r="D467" s="240"/>
      <c r="E467" s="240"/>
      <c r="F467" s="240"/>
      <c r="G467" s="240"/>
      <c r="H467" s="240"/>
      <c r="I467" s="240"/>
      <c r="J467" s="240"/>
      <c r="K467" s="240"/>
      <c r="L467" s="240"/>
      <c r="M467" s="240"/>
      <c r="N467" s="240"/>
      <c r="O467" s="240"/>
      <c r="P467" s="240"/>
      <c r="Q467" s="240"/>
      <c r="R467" s="240"/>
      <c r="S467" s="240"/>
      <c r="T467" s="240"/>
      <c r="U467" s="240"/>
      <c r="V467" s="240"/>
      <c r="W467" s="240"/>
      <c r="X467" s="240"/>
      <c r="Y467" s="240"/>
      <c r="Z467" s="240"/>
    </row>
    <row r="468" spans="1:26" ht="15.75" customHeight="1" x14ac:dyDescent="0.55000000000000004">
      <c r="A468" s="240"/>
      <c r="B468" s="240"/>
      <c r="C468" s="240"/>
      <c r="D468" s="240"/>
      <c r="E468" s="240"/>
      <c r="F468" s="240"/>
      <c r="G468" s="240"/>
      <c r="H468" s="240"/>
      <c r="I468" s="240"/>
      <c r="J468" s="240"/>
      <c r="K468" s="240"/>
      <c r="L468" s="240"/>
      <c r="M468" s="240"/>
      <c r="N468" s="240"/>
      <c r="O468" s="240"/>
      <c r="P468" s="240"/>
      <c r="Q468" s="240"/>
      <c r="R468" s="240"/>
      <c r="S468" s="240"/>
      <c r="T468" s="240"/>
      <c r="U468" s="240"/>
      <c r="V468" s="240"/>
      <c r="W468" s="240"/>
      <c r="X468" s="240"/>
      <c r="Y468" s="240"/>
      <c r="Z468" s="240"/>
    </row>
    <row r="469" spans="1:26" ht="15.75" customHeight="1" x14ac:dyDescent="0.55000000000000004">
      <c r="A469" s="240"/>
      <c r="B469" s="240"/>
      <c r="C469" s="240"/>
      <c r="D469" s="240"/>
      <c r="E469" s="240"/>
      <c r="F469" s="240"/>
      <c r="G469" s="240"/>
      <c r="H469" s="240"/>
      <c r="I469" s="240"/>
      <c r="J469" s="240"/>
      <c r="K469" s="240"/>
      <c r="L469" s="240"/>
      <c r="M469" s="240"/>
      <c r="N469" s="240"/>
      <c r="O469" s="240"/>
      <c r="P469" s="240"/>
      <c r="Q469" s="240"/>
      <c r="R469" s="240"/>
      <c r="S469" s="240"/>
      <c r="T469" s="240"/>
      <c r="U469" s="240"/>
      <c r="V469" s="240"/>
      <c r="W469" s="240"/>
      <c r="X469" s="240"/>
      <c r="Y469" s="240"/>
      <c r="Z469" s="240"/>
    </row>
    <row r="470" spans="1:26" ht="15.75" customHeight="1" x14ac:dyDescent="0.55000000000000004">
      <c r="A470" s="240"/>
      <c r="B470" s="240"/>
      <c r="C470" s="240"/>
      <c r="D470" s="240"/>
      <c r="E470" s="240"/>
      <c r="F470" s="240"/>
      <c r="G470" s="240"/>
      <c r="H470" s="240"/>
      <c r="I470" s="240"/>
      <c r="J470" s="240"/>
      <c r="K470" s="240"/>
      <c r="L470" s="240"/>
      <c r="M470" s="240"/>
      <c r="N470" s="240"/>
      <c r="O470" s="240"/>
      <c r="P470" s="240"/>
      <c r="Q470" s="240"/>
      <c r="R470" s="240"/>
      <c r="S470" s="240"/>
      <c r="T470" s="240"/>
      <c r="U470" s="240"/>
      <c r="V470" s="240"/>
      <c r="W470" s="240"/>
      <c r="X470" s="240"/>
      <c r="Y470" s="240"/>
      <c r="Z470" s="240"/>
    </row>
    <row r="471" spans="1:26" ht="15.75" customHeight="1" x14ac:dyDescent="0.55000000000000004">
      <c r="A471" s="240"/>
      <c r="B471" s="240"/>
      <c r="C471" s="240"/>
      <c r="D471" s="240"/>
      <c r="E471" s="240"/>
      <c r="F471" s="240"/>
      <c r="G471" s="240"/>
      <c r="H471" s="240"/>
      <c r="I471" s="240"/>
      <c r="J471" s="240"/>
      <c r="K471" s="240"/>
      <c r="L471" s="240"/>
      <c r="M471" s="240"/>
      <c r="N471" s="240"/>
      <c r="O471" s="240"/>
      <c r="P471" s="240"/>
      <c r="Q471" s="240"/>
      <c r="R471" s="240"/>
      <c r="S471" s="240"/>
      <c r="T471" s="240"/>
      <c r="U471" s="240"/>
      <c r="V471" s="240"/>
      <c r="W471" s="240"/>
      <c r="X471" s="240"/>
      <c r="Y471" s="240"/>
      <c r="Z471" s="240"/>
    </row>
    <row r="472" spans="1:26" ht="15.75" customHeight="1" x14ac:dyDescent="0.55000000000000004">
      <c r="A472" s="240"/>
      <c r="B472" s="240"/>
      <c r="C472" s="240"/>
      <c r="D472" s="240"/>
      <c r="E472" s="240"/>
      <c r="F472" s="240"/>
      <c r="G472" s="240"/>
      <c r="H472" s="240"/>
      <c r="I472" s="240"/>
      <c r="J472" s="240"/>
      <c r="K472" s="240"/>
      <c r="L472" s="240"/>
      <c r="M472" s="240"/>
      <c r="N472" s="240"/>
      <c r="O472" s="240"/>
      <c r="P472" s="240"/>
      <c r="Q472" s="240"/>
      <c r="R472" s="240"/>
      <c r="S472" s="240"/>
      <c r="T472" s="240"/>
      <c r="U472" s="240"/>
      <c r="V472" s="240"/>
      <c r="W472" s="240"/>
      <c r="X472" s="240"/>
      <c r="Y472" s="240"/>
      <c r="Z472" s="240"/>
    </row>
    <row r="473" spans="1:26" ht="15.75" customHeight="1" x14ac:dyDescent="0.55000000000000004">
      <c r="A473" s="240"/>
      <c r="B473" s="240"/>
      <c r="C473" s="240"/>
      <c r="D473" s="240"/>
      <c r="E473" s="240"/>
      <c r="F473" s="240"/>
      <c r="G473" s="240"/>
      <c r="H473" s="240"/>
      <c r="I473" s="240"/>
      <c r="J473" s="240"/>
      <c r="K473" s="240"/>
      <c r="L473" s="240"/>
      <c r="M473" s="240"/>
      <c r="N473" s="240"/>
      <c r="O473" s="240"/>
      <c r="P473" s="240"/>
      <c r="Q473" s="240"/>
      <c r="R473" s="240"/>
      <c r="S473" s="240"/>
      <c r="T473" s="240"/>
      <c r="U473" s="240"/>
      <c r="V473" s="240"/>
      <c r="W473" s="240"/>
      <c r="X473" s="240"/>
      <c r="Y473" s="240"/>
      <c r="Z473" s="240"/>
    </row>
    <row r="474" spans="1:26" ht="15.75" customHeight="1" x14ac:dyDescent="0.55000000000000004">
      <c r="A474" s="240"/>
      <c r="B474" s="240"/>
      <c r="C474" s="240"/>
      <c r="D474" s="240"/>
      <c r="E474" s="240"/>
      <c r="F474" s="240"/>
      <c r="G474" s="240"/>
      <c r="H474" s="240"/>
      <c r="I474" s="240"/>
      <c r="J474" s="240"/>
      <c r="K474" s="240"/>
      <c r="L474" s="240"/>
      <c r="M474" s="240"/>
      <c r="N474" s="240"/>
      <c r="O474" s="240"/>
      <c r="P474" s="240"/>
      <c r="Q474" s="240"/>
      <c r="R474" s="240"/>
      <c r="S474" s="240"/>
      <c r="T474" s="240"/>
      <c r="U474" s="240"/>
      <c r="V474" s="240"/>
      <c r="W474" s="240"/>
      <c r="X474" s="240"/>
      <c r="Y474" s="240"/>
      <c r="Z474" s="240"/>
    </row>
    <row r="475" spans="1:26" ht="15.75" customHeight="1" x14ac:dyDescent="0.55000000000000004">
      <c r="A475" s="240"/>
      <c r="B475" s="240"/>
      <c r="C475" s="240"/>
      <c r="D475" s="240"/>
      <c r="E475" s="240"/>
      <c r="F475" s="240"/>
      <c r="G475" s="240"/>
      <c r="H475" s="240"/>
      <c r="I475" s="240"/>
      <c r="J475" s="240"/>
      <c r="K475" s="240"/>
      <c r="L475" s="240"/>
      <c r="M475" s="240"/>
      <c r="N475" s="240"/>
      <c r="O475" s="240"/>
      <c r="P475" s="240"/>
      <c r="Q475" s="240"/>
      <c r="R475" s="240"/>
      <c r="S475" s="240"/>
      <c r="T475" s="240"/>
      <c r="U475" s="240"/>
      <c r="V475" s="240"/>
      <c r="W475" s="240"/>
      <c r="X475" s="240"/>
      <c r="Y475" s="240"/>
      <c r="Z475" s="240"/>
    </row>
    <row r="476" spans="1:26" ht="15.75" customHeight="1" x14ac:dyDescent="0.55000000000000004">
      <c r="A476" s="240"/>
      <c r="B476" s="240"/>
      <c r="C476" s="240"/>
      <c r="D476" s="240"/>
      <c r="E476" s="240"/>
      <c r="F476" s="240"/>
      <c r="G476" s="240"/>
      <c r="H476" s="240"/>
      <c r="I476" s="240"/>
      <c r="J476" s="240"/>
      <c r="K476" s="240"/>
      <c r="L476" s="240"/>
      <c r="M476" s="240"/>
      <c r="N476" s="240"/>
      <c r="O476" s="240"/>
      <c r="P476" s="240"/>
      <c r="Q476" s="240"/>
      <c r="R476" s="240"/>
      <c r="S476" s="240"/>
      <c r="T476" s="240"/>
      <c r="U476" s="240"/>
      <c r="V476" s="240"/>
      <c r="W476" s="240"/>
      <c r="X476" s="240"/>
      <c r="Y476" s="240"/>
      <c r="Z476" s="240"/>
    </row>
    <row r="477" spans="1:26" ht="15.75" customHeight="1" x14ac:dyDescent="0.55000000000000004">
      <c r="A477" s="240"/>
      <c r="B477" s="240"/>
      <c r="C477" s="240"/>
      <c r="D477" s="240"/>
      <c r="E477" s="240"/>
      <c r="F477" s="240"/>
      <c r="G477" s="240"/>
      <c r="H477" s="240"/>
      <c r="I477" s="240"/>
      <c r="J477" s="240"/>
      <c r="K477" s="240"/>
      <c r="L477" s="240"/>
      <c r="M477" s="240"/>
      <c r="N477" s="240"/>
      <c r="O477" s="240"/>
      <c r="P477" s="240"/>
      <c r="Q477" s="240"/>
      <c r="R477" s="240"/>
      <c r="S477" s="240"/>
      <c r="T477" s="240"/>
      <c r="U477" s="240"/>
      <c r="V477" s="240"/>
      <c r="W477" s="240"/>
      <c r="X477" s="240"/>
      <c r="Y477" s="240"/>
      <c r="Z477" s="240"/>
    </row>
    <row r="478" spans="1:26" ht="15.75" customHeight="1" x14ac:dyDescent="0.55000000000000004">
      <c r="A478" s="240"/>
      <c r="B478" s="240"/>
      <c r="C478" s="240"/>
      <c r="D478" s="240"/>
      <c r="E478" s="240"/>
      <c r="F478" s="240"/>
      <c r="G478" s="240"/>
      <c r="H478" s="240"/>
      <c r="I478" s="240"/>
      <c r="J478" s="240"/>
      <c r="K478" s="240"/>
      <c r="L478" s="240"/>
      <c r="M478" s="240"/>
      <c r="N478" s="240"/>
      <c r="O478" s="240"/>
      <c r="P478" s="240"/>
      <c r="Q478" s="240"/>
      <c r="R478" s="240"/>
      <c r="S478" s="240"/>
      <c r="T478" s="240"/>
      <c r="U478" s="240"/>
      <c r="V478" s="240"/>
      <c r="W478" s="240"/>
      <c r="X478" s="240"/>
      <c r="Y478" s="240"/>
      <c r="Z478" s="240"/>
    </row>
    <row r="479" spans="1:26" ht="15.75" customHeight="1" x14ac:dyDescent="0.55000000000000004">
      <c r="A479" s="240"/>
      <c r="B479" s="240"/>
      <c r="C479" s="240"/>
      <c r="D479" s="240"/>
      <c r="E479" s="240"/>
      <c r="F479" s="240"/>
      <c r="G479" s="240"/>
      <c r="H479" s="240"/>
      <c r="I479" s="240"/>
      <c r="J479" s="240"/>
      <c r="K479" s="240"/>
      <c r="L479" s="240"/>
      <c r="M479" s="240"/>
      <c r="N479" s="240"/>
      <c r="O479" s="240"/>
      <c r="P479" s="240"/>
      <c r="Q479" s="240"/>
      <c r="R479" s="240"/>
      <c r="S479" s="240"/>
      <c r="T479" s="240"/>
      <c r="U479" s="240"/>
      <c r="V479" s="240"/>
      <c r="W479" s="240"/>
      <c r="X479" s="240"/>
      <c r="Y479" s="240"/>
      <c r="Z479" s="240"/>
    </row>
    <row r="480" spans="1:26" ht="15.75" customHeight="1" x14ac:dyDescent="0.55000000000000004">
      <c r="A480" s="240"/>
      <c r="B480" s="240"/>
      <c r="C480" s="240"/>
      <c r="D480" s="240"/>
      <c r="E480" s="240"/>
      <c r="F480" s="240"/>
      <c r="G480" s="240"/>
      <c r="H480" s="240"/>
      <c r="I480" s="240"/>
      <c r="J480" s="240"/>
      <c r="K480" s="240"/>
      <c r="L480" s="240"/>
      <c r="M480" s="240"/>
      <c r="N480" s="240"/>
      <c r="O480" s="240"/>
      <c r="P480" s="240"/>
      <c r="Q480" s="240"/>
      <c r="R480" s="240"/>
      <c r="S480" s="240"/>
      <c r="T480" s="240"/>
      <c r="U480" s="240"/>
      <c r="V480" s="240"/>
      <c r="W480" s="240"/>
      <c r="X480" s="240"/>
      <c r="Y480" s="240"/>
      <c r="Z480" s="240"/>
    </row>
    <row r="481" spans="1:26" ht="15.75" customHeight="1" x14ac:dyDescent="0.55000000000000004">
      <c r="A481" s="240"/>
      <c r="B481" s="240"/>
      <c r="C481" s="240"/>
      <c r="D481" s="240"/>
      <c r="E481" s="240"/>
      <c r="F481" s="240"/>
      <c r="G481" s="240"/>
      <c r="H481" s="240"/>
      <c r="I481" s="240"/>
      <c r="J481" s="240"/>
      <c r="K481" s="240"/>
      <c r="L481" s="240"/>
      <c r="M481" s="240"/>
      <c r="N481" s="240"/>
      <c r="O481" s="240"/>
      <c r="P481" s="240"/>
      <c r="Q481" s="240"/>
      <c r="R481" s="240"/>
      <c r="S481" s="240"/>
      <c r="T481" s="240"/>
      <c r="U481" s="240"/>
      <c r="V481" s="240"/>
      <c r="W481" s="240"/>
      <c r="X481" s="240"/>
      <c r="Y481" s="240"/>
      <c r="Z481" s="240"/>
    </row>
    <row r="482" spans="1:26" ht="15.75" customHeight="1" x14ac:dyDescent="0.55000000000000004">
      <c r="A482" s="240"/>
      <c r="B482" s="240"/>
      <c r="C482" s="240"/>
      <c r="D482" s="240"/>
      <c r="E482" s="240"/>
      <c r="F482" s="240"/>
      <c r="G482" s="240"/>
      <c r="H482" s="240"/>
      <c r="I482" s="240"/>
      <c r="J482" s="240"/>
      <c r="K482" s="240"/>
      <c r="L482" s="240"/>
      <c r="M482" s="240"/>
      <c r="N482" s="240"/>
      <c r="O482" s="240"/>
      <c r="P482" s="240"/>
      <c r="Q482" s="240"/>
      <c r="R482" s="240"/>
      <c r="S482" s="240"/>
      <c r="T482" s="240"/>
      <c r="U482" s="240"/>
      <c r="V482" s="240"/>
      <c r="W482" s="240"/>
      <c r="X482" s="240"/>
      <c r="Y482" s="240"/>
      <c r="Z482" s="240"/>
    </row>
    <row r="483" spans="1:26" ht="15.75" customHeight="1" x14ac:dyDescent="0.55000000000000004">
      <c r="A483" s="240"/>
      <c r="B483" s="240"/>
      <c r="C483" s="240"/>
      <c r="D483" s="240"/>
      <c r="E483" s="240"/>
      <c r="F483" s="240"/>
      <c r="G483" s="240"/>
      <c r="H483" s="240"/>
      <c r="I483" s="240"/>
      <c r="J483" s="240"/>
      <c r="K483" s="240"/>
      <c r="L483" s="240"/>
      <c r="M483" s="240"/>
      <c r="N483" s="240"/>
      <c r="O483" s="240"/>
      <c r="P483" s="240"/>
      <c r="Q483" s="240"/>
      <c r="R483" s="240"/>
      <c r="S483" s="240"/>
      <c r="T483" s="240"/>
      <c r="U483" s="240"/>
      <c r="V483" s="240"/>
      <c r="W483" s="240"/>
      <c r="X483" s="240"/>
      <c r="Y483" s="240"/>
      <c r="Z483" s="240"/>
    </row>
    <row r="484" spans="1:26" ht="15.75" customHeight="1" x14ac:dyDescent="0.55000000000000004">
      <c r="A484" s="240"/>
      <c r="B484" s="240"/>
      <c r="C484" s="240"/>
      <c r="D484" s="240"/>
      <c r="E484" s="240"/>
      <c r="F484" s="240"/>
      <c r="G484" s="240"/>
      <c r="H484" s="240"/>
      <c r="I484" s="240"/>
      <c r="J484" s="240"/>
      <c r="K484" s="240"/>
      <c r="L484" s="240"/>
      <c r="M484" s="240"/>
      <c r="N484" s="240"/>
      <c r="O484" s="240"/>
      <c r="P484" s="240"/>
      <c r="Q484" s="240"/>
      <c r="R484" s="240"/>
      <c r="S484" s="240"/>
      <c r="T484" s="240"/>
      <c r="U484" s="240"/>
      <c r="V484" s="240"/>
      <c r="W484" s="240"/>
      <c r="X484" s="240"/>
      <c r="Y484" s="240"/>
      <c r="Z484" s="240"/>
    </row>
    <row r="485" spans="1:26" ht="15.75" customHeight="1" x14ac:dyDescent="0.55000000000000004">
      <c r="A485" s="240"/>
      <c r="B485" s="240"/>
      <c r="C485" s="240"/>
      <c r="D485" s="240"/>
      <c r="E485" s="240"/>
      <c r="F485" s="240"/>
      <c r="G485" s="240"/>
      <c r="H485" s="240"/>
      <c r="I485" s="240"/>
      <c r="J485" s="240"/>
      <c r="K485" s="240"/>
      <c r="L485" s="240"/>
      <c r="M485" s="240"/>
      <c r="N485" s="240"/>
      <c r="O485" s="240"/>
      <c r="P485" s="240"/>
      <c r="Q485" s="240"/>
      <c r="R485" s="240"/>
      <c r="S485" s="240"/>
      <c r="T485" s="240"/>
      <c r="U485" s="240"/>
      <c r="V485" s="240"/>
      <c r="W485" s="240"/>
      <c r="X485" s="240"/>
      <c r="Y485" s="240"/>
      <c r="Z485" s="240"/>
    </row>
    <row r="486" spans="1:26" ht="15.75" customHeight="1" x14ac:dyDescent="0.55000000000000004">
      <c r="A486" s="240"/>
      <c r="B486" s="240"/>
      <c r="C486" s="240"/>
      <c r="D486" s="240"/>
      <c r="E486" s="240"/>
      <c r="F486" s="240"/>
      <c r="G486" s="240"/>
      <c r="H486" s="240"/>
      <c r="I486" s="240"/>
      <c r="J486" s="240"/>
      <c r="K486" s="240"/>
      <c r="L486" s="240"/>
      <c r="M486" s="240"/>
      <c r="N486" s="240"/>
      <c r="O486" s="240"/>
      <c r="P486" s="240"/>
      <c r="Q486" s="240"/>
      <c r="R486" s="240"/>
      <c r="S486" s="240"/>
      <c r="T486" s="240"/>
      <c r="U486" s="240"/>
      <c r="V486" s="240"/>
      <c r="W486" s="240"/>
      <c r="X486" s="240"/>
      <c r="Y486" s="240"/>
      <c r="Z486" s="240"/>
    </row>
    <row r="487" spans="1:26" ht="15.75" customHeight="1" x14ac:dyDescent="0.55000000000000004">
      <c r="A487" s="240"/>
      <c r="B487" s="240"/>
      <c r="C487" s="240"/>
      <c r="D487" s="240"/>
      <c r="E487" s="240"/>
      <c r="F487" s="240"/>
      <c r="G487" s="240"/>
      <c r="H487" s="240"/>
      <c r="I487" s="240"/>
      <c r="J487" s="240"/>
      <c r="K487" s="240"/>
      <c r="L487" s="240"/>
      <c r="M487" s="240"/>
      <c r="N487" s="240"/>
      <c r="O487" s="240"/>
      <c r="P487" s="240"/>
      <c r="Q487" s="240"/>
      <c r="R487" s="240"/>
      <c r="S487" s="240"/>
      <c r="T487" s="240"/>
      <c r="U487" s="240"/>
      <c r="V487" s="240"/>
      <c r="W487" s="240"/>
      <c r="X487" s="240"/>
      <c r="Y487" s="240"/>
      <c r="Z487" s="240"/>
    </row>
    <row r="488" spans="1:26" ht="15.75" customHeight="1" x14ac:dyDescent="0.55000000000000004">
      <c r="A488" s="240"/>
      <c r="B488" s="240"/>
      <c r="C488" s="240"/>
      <c r="D488" s="240"/>
      <c r="E488" s="240"/>
      <c r="F488" s="240"/>
      <c r="G488" s="240"/>
      <c r="H488" s="240"/>
      <c r="I488" s="240"/>
      <c r="J488" s="240"/>
      <c r="K488" s="240"/>
      <c r="L488" s="240"/>
      <c r="M488" s="240"/>
      <c r="N488" s="240"/>
      <c r="O488" s="240"/>
      <c r="P488" s="240"/>
      <c r="Q488" s="240"/>
      <c r="R488" s="240"/>
      <c r="S488" s="240"/>
      <c r="T488" s="240"/>
      <c r="U488" s="240"/>
      <c r="V488" s="240"/>
      <c r="W488" s="240"/>
      <c r="X488" s="240"/>
      <c r="Y488" s="240"/>
      <c r="Z488" s="240"/>
    </row>
    <row r="489" spans="1:26" ht="15.75" customHeight="1" x14ac:dyDescent="0.55000000000000004">
      <c r="A489" s="240"/>
      <c r="B489" s="240"/>
      <c r="C489" s="240"/>
      <c r="D489" s="240"/>
      <c r="E489" s="240"/>
      <c r="F489" s="240"/>
      <c r="G489" s="240"/>
      <c r="H489" s="240"/>
      <c r="I489" s="240"/>
      <c r="J489" s="240"/>
      <c r="K489" s="240"/>
      <c r="L489" s="240"/>
      <c r="M489" s="240"/>
      <c r="N489" s="240"/>
      <c r="O489" s="240"/>
      <c r="P489" s="240"/>
      <c r="Q489" s="240"/>
      <c r="R489" s="240"/>
      <c r="S489" s="240"/>
      <c r="T489" s="240"/>
      <c r="U489" s="240"/>
      <c r="V489" s="240"/>
      <c r="W489" s="240"/>
      <c r="X489" s="240"/>
      <c r="Y489" s="240"/>
      <c r="Z489" s="240"/>
    </row>
    <row r="490" spans="1:26" ht="15.75" customHeight="1" x14ac:dyDescent="0.55000000000000004">
      <c r="A490" s="240"/>
      <c r="B490" s="240"/>
      <c r="C490" s="240"/>
      <c r="D490" s="240"/>
      <c r="E490" s="240"/>
      <c r="F490" s="240"/>
      <c r="G490" s="240"/>
      <c r="H490" s="240"/>
      <c r="I490" s="240"/>
      <c r="J490" s="240"/>
      <c r="K490" s="240"/>
      <c r="L490" s="240"/>
      <c r="M490" s="240"/>
      <c r="N490" s="240"/>
      <c r="O490" s="240"/>
      <c r="P490" s="240"/>
      <c r="Q490" s="240"/>
      <c r="R490" s="240"/>
      <c r="S490" s="240"/>
      <c r="T490" s="240"/>
      <c r="U490" s="240"/>
      <c r="V490" s="240"/>
      <c r="W490" s="240"/>
      <c r="X490" s="240"/>
      <c r="Y490" s="240"/>
      <c r="Z490" s="240"/>
    </row>
    <row r="491" spans="1:26" ht="15.75" customHeight="1" x14ac:dyDescent="0.55000000000000004">
      <c r="A491" s="240"/>
      <c r="B491" s="240"/>
      <c r="C491" s="240"/>
      <c r="D491" s="240"/>
      <c r="E491" s="240"/>
      <c r="F491" s="240"/>
      <c r="G491" s="240"/>
      <c r="H491" s="240"/>
      <c r="I491" s="240"/>
      <c r="J491" s="240"/>
      <c r="K491" s="240"/>
      <c r="L491" s="240"/>
      <c r="M491" s="240"/>
      <c r="N491" s="240"/>
      <c r="O491" s="240"/>
      <c r="P491" s="240"/>
      <c r="Q491" s="240"/>
      <c r="R491" s="240"/>
      <c r="S491" s="240"/>
      <c r="T491" s="240"/>
      <c r="U491" s="240"/>
      <c r="V491" s="240"/>
      <c r="W491" s="240"/>
      <c r="X491" s="240"/>
      <c r="Y491" s="240"/>
      <c r="Z491" s="240"/>
    </row>
    <row r="492" spans="1:26" ht="15.75" customHeight="1" x14ac:dyDescent="0.55000000000000004">
      <c r="A492" s="240"/>
      <c r="B492" s="240"/>
      <c r="C492" s="240"/>
      <c r="D492" s="240"/>
      <c r="E492" s="240"/>
      <c r="F492" s="240"/>
      <c r="G492" s="240"/>
      <c r="H492" s="240"/>
      <c r="I492" s="240"/>
      <c r="J492" s="240"/>
      <c r="K492" s="240"/>
      <c r="L492" s="240"/>
      <c r="M492" s="240"/>
      <c r="N492" s="240"/>
      <c r="O492" s="240"/>
      <c r="P492" s="240"/>
      <c r="Q492" s="240"/>
      <c r="R492" s="240"/>
      <c r="S492" s="240"/>
      <c r="T492" s="240"/>
      <c r="U492" s="240"/>
      <c r="V492" s="240"/>
      <c r="W492" s="240"/>
      <c r="X492" s="240"/>
      <c r="Y492" s="240"/>
      <c r="Z492" s="240"/>
    </row>
    <row r="493" spans="1:26" ht="15.75" customHeight="1" x14ac:dyDescent="0.55000000000000004">
      <c r="A493" s="240"/>
      <c r="B493" s="240"/>
      <c r="C493" s="240"/>
      <c r="D493" s="240"/>
      <c r="E493" s="240"/>
      <c r="F493" s="240"/>
      <c r="G493" s="240"/>
      <c r="H493" s="240"/>
      <c r="I493" s="240"/>
      <c r="J493" s="240"/>
      <c r="K493" s="240"/>
      <c r="L493" s="240"/>
      <c r="M493" s="240"/>
      <c r="N493" s="240"/>
      <c r="O493" s="240"/>
      <c r="P493" s="240"/>
      <c r="Q493" s="240"/>
      <c r="R493" s="240"/>
      <c r="S493" s="240"/>
      <c r="T493" s="240"/>
      <c r="U493" s="240"/>
      <c r="V493" s="240"/>
      <c r="W493" s="240"/>
      <c r="X493" s="240"/>
      <c r="Y493" s="240"/>
      <c r="Z493" s="240"/>
    </row>
    <row r="494" spans="1:26" ht="15.75" customHeight="1" x14ac:dyDescent="0.55000000000000004">
      <c r="A494" s="240"/>
      <c r="B494" s="240"/>
      <c r="C494" s="240"/>
      <c r="D494" s="240"/>
      <c r="E494" s="240"/>
      <c r="F494" s="240"/>
      <c r="G494" s="240"/>
      <c r="H494" s="240"/>
      <c r="I494" s="240"/>
      <c r="J494" s="240"/>
      <c r="K494" s="240"/>
      <c r="L494" s="240"/>
      <c r="M494" s="240"/>
      <c r="N494" s="240"/>
      <c r="O494" s="240"/>
      <c r="P494" s="240"/>
      <c r="Q494" s="240"/>
      <c r="R494" s="240"/>
      <c r="S494" s="240"/>
      <c r="T494" s="240"/>
      <c r="U494" s="240"/>
      <c r="V494" s="240"/>
      <c r="W494" s="240"/>
      <c r="X494" s="240"/>
      <c r="Y494" s="240"/>
      <c r="Z494" s="240"/>
    </row>
    <row r="495" spans="1:26" ht="15.75" customHeight="1" x14ac:dyDescent="0.55000000000000004">
      <c r="A495" s="240"/>
      <c r="B495" s="240"/>
      <c r="C495" s="240"/>
      <c r="D495" s="240"/>
      <c r="E495" s="240"/>
      <c r="F495" s="240"/>
      <c r="G495" s="240"/>
      <c r="H495" s="240"/>
      <c r="I495" s="240"/>
      <c r="J495" s="240"/>
      <c r="K495" s="240"/>
      <c r="L495" s="240"/>
      <c r="M495" s="240"/>
      <c r="N495" s="240"/>
      <c r="O495" s="240"/>
      <c r="P495" s="240"/>
      <c r="Q495" s="240"/>
      <c r="R495" s="240"/>
      <c r="S495" s="240"/>
      <c r="T495" s="240"/>
      <c r="U495" s="240"/>
      <c r="V495" s="240"/>
      <c r="W495" s="240"/>
      <c r="X495" s="240"/>
      <c r="Y495" s="240"/>
      <c r="Z495" s="240"/>
    </row>
    <row r="496" spans="1:26" ht="15.75" customHeight="1" x14ac:dyDescent="0.55000000000000004">
      <c r="A496" s="240"/>
      <c r="B496" s="240"/>
      <c r="C496" s="240"/>
      <c r="D496" s="240"/>
      <c r="E496" s="240"/>
      <c r="F496" s="240"/>
      <c r="G496" s="240"/>
      <c r="H496" s="240"/>
      <c r="I496" s="240"/>
      <c r="J496" s="240"/>
      <c r="K496" s="240"/>
      <c r="L496" s="240"/>
      <c r="M496" s="240"/>
      <c r="N496" s="240"/>
      <c r="O496" s="240"/>
      <c r="P496" s="240"/>
      <c r="Q496" s="240"/>
      <c r="R496" s="240"/>
      <c r="S496" s="240"/>
      <c r="T496" s="240"/>
      <c r="U496" s="240"/>
      <c r="V496" s="240"/>
      <c r="W496" s="240"/>
      <c r="X496" s="240"/>
      <c r="Y496" s="240"/>
      <c r="Z496" s="240"/>
    </row>
    <row r="497" spans="1:26" ht="15.75" customHeight="1" x14ac:dyDescent="0.55000000000000004">
      <c r="A497" s="240"/>
      <c r="B497" s="240"/>
      <c r="C497" s="240"/>
      <c r="D497" s="240"/>
      <c r="E497" s="240"/>
      <c r="F497" s="240"/>
      <c r="G497" s="240"/>
      <c r="H497" s="240"/>
      <c r="I497" s="240"/>
      <c r="J497" s="240"/>
      <c r="K497" s="240"/>
      <c r="L497" s="240"/>
      <c r="M497" s="240"/>
      <c r="N497" s="240"/>
      <c r="O497" s="240"/>
      <c r="P497" s="240"/>
      <c r="Q497" s="240"/>
      <c r="R497" s="240"/>
      <c r="S497" s="240"/>
      <c r="T497" s="240"/>
      <c r="U497" s="240"/>
      <c r="V497" s="240"/>
      <c r="W497" s="240"/>
      <c r="X497" s="240"/>
      <c r="Y497" s="240"/>
      <c r="Z497" s="240"/>
    </row>
    <row r="498" spans="1:26" ht="15.75" customHeight="1" x14ac:dyDescent="0.55000000000000004">
      <c r="A498" s="240"/>
      <c r="B498" s="240"/>
      <c r="C498" s="240"/>
      <c r="D498" s="240"/>
      <c r="E498" s="240"/>
      <c r="F498" s="240"/>
      <c r="G498" s="240"/>
      <c r="H498" s="240"/>
      <c r="I498" s="240"/>
      <c r="J498" s="240"/>
      <c r="K498" s="240"/>
      <c r="L498" s="240"/>
      <c r="M498" s="240"/>
      <c r="N498" s="240"/>
      <c r="O498" s="240"/>
      <c r="P498" s="240"/>
      <c r="Q498" s="240"/>
      <c r="R498" s="240"/>
      <c r="S498" s="240"/>
      <c r="T498" s="240"/>
      <c r="U498" s="240"/>
      <c r="V498" s="240"/>
      <c r="W498" s="240"/>
      <c r="X498" s="240"/>
      <c r="Y498" s="240"/>
      <c r="Z498" s="240"/>
    </row>
    <row r="499" spans="1:26" ht="15.75" customHeight="1" x14ac:dyDescent="0.55000000000000004">
      <c r="A499" s="240"/>
      <c r="B499" s="240"/>
      <c r="C499" s="240"/>
      <c r="D499" s="240"/>
      <c r="E499" s="240"/>
      <c r="F499" s="240"/>
      <c r="G499" s="240"/>
      <c r="H499" s="240"/>
      <c r="I499" s="240"/>
      <c r="J499" s="240"/>
      <c r="K499" s="240"/>
      <c r="L499" s="240"/>
      <c r="M499" s="240"/>
      <c r="N499" s="240"/>
      <c r="O499" s="240"/>
      <c r="P499" s="240"/>
      <c r="Q499" s="240"/>
      <c r="R499" s="240"/>
      <c r="S499" s="240"/>
      <c r="T499" s="240"/>
      <c r="U499" s="240"/>
      <c r="V499" s="240"/>
      <c r="W499" s="240"/>
      <c r="X499" s="240"/>
      <c r="Y499" s="240"/>
      <c r="Z499" s="240"/>
    </row>
    <row r="500" spans="1:26" ht="15.75" customHeight="1" x14ac:dyDescent="0.55000000000000004">
      <c r="A500" s="240"/>
      <c r="B500" s="240"/>
      <c r="C500" s="240"/>
      <c r="D500" s="240"/>
      <c r="E500" s="240"/>
      <c r="F500" s="240"/>
      <c r="G500" s="240"/>
      <c r="H500" s="240"/>
      <c r="I500" s="240"/>
      <c r="J500" s="240"/>
      <c r="K500" s="240"/>
      <c r="L500" s="240"/>
      <c r="M500" s="240"/>
      <c r="N500" s="240"/>
      <c r="O500" s="240"/>
      <c r="P500" s="240"/>
      <c r="Q500" s="240"/>
      <c r="R500" s="240"/>
      <c r="S500" s="240"/>
      <c r="T500" s="240"/>
      <c r="U500" s="240"/>
      <c r="V500" s="240"/>
      <c r="W500" s="240"/>
      <c r="X500" s="240"/>
      <c r="Y500" s="240"/>
      <c r="Z500" s="240"/>
    </row>
    <row r="501" spans="1:26" ht="15.75" customHeight="1" x14ac:dyDescent="0.55000000000000004">
      <c r="A501" s="240"/>
      <c r="B501" s="240"/>
      <c r="C501" s="240"/>
      <c r="D501" s="240"/>
      <c r="E501" s="240"/>
      <c r="F501" s="240"/>
      <c r="G501" s="240"/>
      <c r="H501" s="240"/>
      <c r="I501" s="240"/>
      <c r="J501" s="240"/>
      <c r="K501" s="240"/>
      <c r="L501" s="240"/>
      <c r="M501" s="240"/>
      <c r="N501" s="240"/>
      <c r="O501" s="240"/>
      <c r="P501" s="240"/>
      <c r="Q501" s="240"/>
      <c r="R501" s="240"/>
      <c r="S501" s="240"/>
      <c r="T501" s="240"/>
      <c r="U501" s="240"/>
      <c r="V501" s="240"/>
      <c r="W501" s="240"/>
      <c r="X501" s="240"/>
      <c r="Y501" s="240"/>
      <c r="Z501" s="240"/>
    </row>
    <row r="502" spans="1:26" ht="15.75" customHeight="1" x14ac:dyDescent="0.55000000000000004">
      <c r="A502" s="240"/>
      <c r="B502" s="240"/>
      <c r="C502" s="240"/>
      <c r="D502" s="240"/>
      <c r="E502" s="240"/>
      <c r="F502" s="240"/>
      <c r="G502" s="240"/>
      <c r="H502" s="240"/>
      <c r="I502" s="240"/>
      <c r="J502" s="240"/>
      <c r="K502" s="240"/>
      <c r="L502" s="240"/>
      <c r="M502" s="240"/>
      <c r="N502" s="240"/>
      <c r="O502" s="240"/>
      <c r="P502" s="240"/>
      <c r="Q502" s="240"/>
      <c r="R502" s="240"/>
      <c r="S502" s="240"/>
      <c r="T502" s="240"/>
      <c r="U502" s="240"/>
      <c r="V502" s="240"/>
      <c r="W502" s="240"/>
      <c r="X502" s="240"/>
      <c r="Y502" s="240"/>
      <c r="Z502" s="240"/>
    </row>
    <row r="503" spans="1:26" ht="15.75" customHeight="1" x14ac:dyDescent="0.55000000000000004">
      <c r="A503" s="240"/>
      <c r="B503" s="240"/>
      <c r="C503" s="240"/>
      <c r="D503" s="240"/>
      <c r="E503" s="240"/>
      <c r="F503" s="240"/>
      <c r="G503" s="240"/>
      <c r="H503" s="240"/>
      <c r="I503" s="240"/>
      <c r="J503" s="240"/>
      <c r="K503" s="240"/>
      <c r="L503" s="240"/>
      <c r="M503" s="240"/>
      <c r="N503" s="240"/>
      <c r="O503" s="240"/>
      <c r="P503" s="240"/>
      <c r="Q503" s="240"/>
      <c r="R503" s="240"/>
      <c r="S503" s="240"/>
      <c r="T503" s="240"/>
      <c r="U503" s="240"/>
      <c r="V503" s="240"/>
      <c r="W503" s="240"/>
      <c r="X503" s="240"/>
      <c r="Y503" s="240"/>
      <c r="Z503" s="240"/>
    </row>
    <row r="504" spans="1:26" ht="15.75" customHeight="1" x14ac:dyDescent="0.55000000000000004">
      <c r="A504" s="240"/>
      <c r="B504" s="240"/>
      <c r="C504" s="240"/>
      <c r="D504" s="240"/>
      <c r="E504" s="240"/>
      <c r="F504" s="240"/>
      <c r="G504" s="240"/>
      <c r="H504" s="240"/>
      <c r="I504" s="240"/>
      <c r="J504" s="240"/>
      <c r="K504" s="240"/>
      <c r="L504" s="240"/>
      <c r="M504" s="240"/>
      <c r="N504" s="240"/>
      <c r="O504" s="240"/>
      <c r="P504" s="240"/>
      <c r="Q504" s="240"/>
      <c r="R504" s="240"/>
      <c r="S504" s="240"/>
      <c r="T504" s="240"/>
      <c r="U504" s="240"/>
      <c r="V504" s="240"/>
      <c r="W504" s="240"/>
      <c r="X504" s="240"/>
      <c r="Y504" s="240"/>
      <c r="Z504" s="240"/>
    </row>
    <row r="505" spans="1:26" ht="15.75" customHeight="1" x14ac:dyDescent="0.55000000000000004">
      <c r="A505" s="240"/>
      <c r="B505" s="240"/>
      <c r="C505" s="240"/>
      <c r="D505" s="240"/>
      <c r="E505" s="240"/>
      <c r="F505" s="240"/>
      <c r="G505" s="240"/>
      <c r="H505" s="240"/>
      <c r="I505" s="240"/>
      <c r="J505" s="240"/>
      <c r="K505" s="240"/>
      <c r="L505" s="240"/>
      <c r="M505" s="240"/>
      <c r="N505" s="240"/>
      <c r="O505" s="240"/>
      <c r="P505" s="240"/>
      <c r="Q505" s="240"/>
      <c r="R505" s="240"/>
      <c r="S505" s="240"/>
      <c r="T505" s="240"/>
      <c r="U505" s="240"/>
      <c r="V505" s="240"/>
      <c r="W505" s="240"/>
      <c r="X505" s="240"/>
      <c r="Y505" s="240"/>
      <c r="Z505" s="240"/>
    </row>
    <row r="506" spans="1:26" ht="15.75" customHeight="1" x14ac:dyDescent="0.55000000000000004">
      <c r="A506" s="240"/>
      <c r="B506" s="240"/>
      <c r="C506" s="240"/>
      <c r="D506" s="240"/>
      <c r="E506" s="240"/>
      <c r="F506" s="240"/>
      <c r="G506" s="240"/>
      <c r="H506" s="240"/>
      <c r="I506" s="240"/>
      <c r="J506" s="240"/>
      <c r="K506" s="240"/>
      <c r="L506" s="240"/>
      <c r="M506" s="240"/>
      <c r="N506" s="240"/>
      <c r="O506" s="240"/>
      <c r="P506" s="240"/>
      <c r="Q506" s="240"/>
      <c r="R506" s="240"/>
      <c r="S506" s="240"/>
      <c r="T506" s="240"/>
      <c r="U506" s="240"/>
      <c r="V506" s="240"/>
      <c r="W506" s="240"/>
      <c r="X506" s="240"/>
      <c r="Y506" s="240"/>
      <c r="Z506" s="240"/>
    </row>
    <row r="507" spans="1:26" ht="15.75" customHeight="1" x14ac:dyDescent="0.55000000000000004">
      <c r="A507" s="240"/>
      <c r="B507" s="240"/>
      <c r="C507" s="240"/>
      <c r="D507" s="240"/>
      <c r="E507" s="240"/>
      <c r="F507" s="240"/>
      <c r="G507" s="240"/>
      <c r="H507" s="240"/>
      <c r="I507" s="240"/>
      <c r="J507" s="240"/>
      <c r="K507" s="240"/>
      <c r="L507" s="240"/>
      <c r="M507" s="240"/>
      <c r="N507" s="240"/>
      <c r="O507" s="240"/>
      <c r="P507" s="240"/>
      <c r="Q507" s="240"/>
      <c r="R507" s="240"/>
      <c r="S507" s="240"/>
      <c r="T507" s="240"/>
      <c r="U507" s="240"/>
      <c r="V507" s="240"/>
      <c r="W507" s="240"/>
      <c r="X507" s="240"/>
      <c r="Y507" s="240"/>
      <c r="Z507" s="240"/>
    </row>
    <row r="508" spans="1:26" ht="15.75" customHeight="1" x14ac:dyDescent="0.55000000000000004">
      <c r="A508" s="240"/>
      <c r="B508" s="240"/>
      <c r="C508" s="240"/>
      <c r="D508" s="240"/>
      <c r="E508" s="240"/>
      <c r="F508" s="240"/>
      <c r="G508" s="240"/>
      <c r="H508" s="240"/>
      <c r="I508" s="240"/>
      <c r="J508" s="240"/>
      <c r="K508" s="240"/>
      <c r="L508" s="240"/>
      <c r="M508" s="240"/>
      <c r="N508" s="240"/>
      <c r="O508" s="240"/>
      <c r="P508" s="240"/>
      <c r="Q508" s="240"/>
      <c r="R508" s="240"/>
      <c r="S508" s="240"/>
      <c r="T508" s="240"/>
      <c r="U508" s="240"/>
      <c r="V508" s="240"/>
      <c r="W508" s="240"/>
      <c r="X508" s="240"/>
      <c r="Y508" s="240"/>
      <c r="Z508" s="240"/>
    </row>
    <row r="509" spans="1:26" ht="15.75" customHeight="1" x14ac:dyDescent="0.55000000000000004">
      <c r="A509" s="240"/>
      <c r="B509" s="240"/>
      <c r="C509" s="240"/>
      <c r="D509" s="240"/>
      <c r="E509" s="240"/>
      <c r="F509" s="240"/>
      <c r="G509" s="240"/>
      <c r="H509" s="240"/>
      <c r="I509" s="240"/>
      <c r="J509" s="240"/>
      <c r="K509" s="240"/>
      <c r="L509" s="240"/>
      <c r="M509" s="240"/>
      <c r="N509" s="240"/>
      <c r="O509" s="240"/>
      <c r="P509" s="240"/>
      <c r="Q509" s="240"/>
      <c r="R509" s="240"/>
      <c r="S509" s="240"/>
      <c r="T509" s="240"/>
      <c r="U509" s="240"/>
      <c r="V509" s="240"/>
      <c r="W509" s="240"/>
      <c r="X509" s="240"/>
      <c r="Y509" s="240"/>
      <c r="Z509" s="240"/>
    </row>
    <row r="510" spans="1:26" ht="15.75" customHeight="1" x14ac:dyDescent="0.55000000000000004">
      <c r="A510" s="240"/>
      <c r="B510" s="240"/>
      <c r="C510" s="240"/>
      <c r="D510" s="240"/>
      <c r="E510" s="240"/>
      <c r="F510" s="240"/>
      <c r="G510" s="240"/>
      <c r="H510" s="240"/>
      <c r="I510" s="240"/>
      <c r="J510" s="240"/>
      <c r="K510" s="240"/>
      <c r="L510" s="240"/>
      <c r="M510" s="240"/>
      <c r="N510" s="240"/>
      <c r="O510" s="240"/>
      <c r="P510" s="240"/>
      <c r="Q510" s="240"/>
      <c r="R510" s="240"/>
      <c r="S510" s="240"/>
      <c r="T510" s="240"/>
      <c r="U510" s="240"/>
      <c r="V510" s="240"/>
      <c r="W510" s="240"/>
      <c r="X510" s="240"/>
      <c r="Y510" s="240"/>
      <c r="Z510" s="240"/>
    </row>
    <row r="511" spans="1:26" ht="15.75" customHeight="1" x14ac:dyDescent="0.55000000000000004">
      <c r="A511" s="240"/>
      <c r="B511" s="240"/>
      <c r="C511" s="240"/>
      <c r="D511" s="240"/>
      <c r="E511" s="240"/>
      <c r="F511" s="240"/>
      <c r="G511" s="240"/>
      <c r="H511" s="240"/>
      <c r="I511" s="240"/>
      <c r="J511" s="240"/>
      <c r="K511" s="240"/>
      <c r="L511" s="240"/>
      <c r="M511" s="240"/>
      <c r="N511" s="240"/>
      <c r="O511" s="240"/>
      <c r="P511" s="240"/>
      <c r="Q511" s="240"/>
      <c r="R511" s="240"/>
      <c r="S511" s="240"/>
      <c r="T511" s="240"/>
      <c r="U511" s="240"/>
      <c r="V511" s="240"/>
      <c r="W511" s="240"/>
      <c r="X511" s="240"/>
      <c r="Y511" s="240"/>
      <c r="Z511" s="240"/>
    </row>
    <row r="512" spans="1:26" ht="15.75" customHeight="1" x14ac:dyDescent="0.55000000000000004">
      <c r="A512" s="240"/>
      <c r="B512" s="240"/>
      <c r="C512" s="240"/>
      <c r="D512" s="240"/>
      <c r="E512" s="240"/>
      <c r="F512" s="240"/>
      <c r="G512" s="240"/>
      <c r="H512" s="240"/>
      <c r="I512" s="240"/>
      <c r="J512" s="240"/>
      <c r="K512" s="240"/>
      <c r="L512" s="240"/>
      <c r="M512" s="240"/>
      <c r="N512" s="240"/>
      <c r="O512" s="240"/>
      <c r="P512" s="240"/>
      <c r="Q512" s="240"/>
      <c r="R512" s="240"/>
      <c r="S512" s="240"/>
      <c r="T512" s="240"/>
      <c r="U512" s="240"/>
      <c r="V512" s="240"/>
      <c r="W512" s="240"/>
      <c r="X512" s="240"/>
      <c r="Y512" s="240"/>
      <c r="Z512" s="240"/>
    </row>
    <row r="513" spans="1:26" ht="15.75" customHeight="1" x14ac:dyDescent="0.55000000000000004">
      <c r="A513" s="240"/>
      <c r="B513" s="240"/>
      <c r="C513" s="240"/>
      <c r="D513" s="240"/>
      <c r="E513" s="240"/>
      <c r="F513" s="240"/>
      <c r="G513" s="240"/>
      <c r="H513" s="240"/>
      <c r="I513" s="240"/>
      <c r="J513" s="240"/>
      <c r="K513" s="240"/>
      <c r="L513" s="240"/>
      <c r="M513" s="240"/>
      <c r="N513" s="240"/>
      <c r="O513" s="240"/>
      <c r="P513" s="240"/>
      <c r="Q513" s="240"/>
      <c r="R513" s="240"/>
      <c r="S513" s="240"/>
      <c r="T513" s="240"/>
      <c r="U513" s="240"/>
      <c r="V513" s="240"/>
      <c r="W513" s="240"/>
      <c r="X513" s="240"/>
      <c r="Y513" s="240"/>
      <c r="Z513" s="240"/>
    </row>
    <row r="514" spans="1:26" ht="15.75" customHeight="1" x14ac:dyDescent="0.55000000000000004">
      <c r="A514" s="240"/>
      <c r="B514" s="240"/>
      <c r="C514" s="240"/>
      <c r="D514" s="240"/>
      <c r="E514" s="240"/>
      <c r="F514" s="240"/>
      <c r="G514" s="240"/>
      <c r="H514" s="240"/>
      <c r="I514" s="240"/>
      <c r="J514" s="240"/>
      <c r="K514" s="240"/>
      <c r="L514" s="240"/>
      <c r="M514" s="240"/>
      <c r="N514" s="240"/>
      <c r="O514" s="240"/>
      <c r="P514" s="240"/>
      <c r="Q514" s="240"/>
      <c r="R514" s="240"/>
      <c r="S514" s="240"/>
      <c r="T514" s="240"/>
      <c r="U514" s="240"/>
      <c r="V514" s="240"/>
      <c r="W514" s="240"/>
      <c r="X514" s="240"/>
      <c r="Y514" s="240"/>
      <c r="Z514" s="240"/>
    </row>
    <row r="515" spans="1:26" ht="15.75" customHeight="1" x14ac:dyDescent="0.55000000000000004">
      <c r="A515" s="240"/>
      <c r="B515" s="240"/>
      <c r="C515" s="240"/>
      <c r="D515" s="240"/>
      <c r="E515" s="240"/>
      <c r="F515" s="240"/>
      <c r="G515" s="240"/>
      <c r="H515" s="240"/>
      <c r="I515" s="240"/>
      <c r="J515" s="240"/>
      <c r="K515" s="240"/>
      <c r="L515" s="240"/>
      <c r="M515" s="240"/>
      <c r="N515" s="240"/>
      <c r="O515" s="240"/>
      <c r="P515" s="240"/>
      <c r="Q515" s="240"/>
      <c r="R515" s="240"/>
      <c r="S515" s="240"/>
      <c r="T515" s="240"/>
      <c r="U515" s="240"/>
      <c r="V515" s="240"/>
      <c r="W515" s="240"/>
      <c r="X515" s="240"/>
      <c r="Y515" s="240"/>
      <c r="Z515" s="240"/>
    </row>
    <row r="516" spans="1:26" ht="15.75" customHeight="1" x14ac:dyDescent="0.55000000000000004">
      <c r="A516" s="240"/>
      <c r="B516" s="240"/>
      <c r="C516" s="240"/>
      <c r="D516" s="240"/>
      <c r="E516" s="240"/>
      <c r="F516" s="240"/>
      <c r="G516" s="240"/>
      <c r="H516" s="240"/>
      <c r="I516" s="240"/>
      <c r="J516" s="240"/>
      <c r="K516" s="240"/>
      <c r="L516" s="240"/>
      <c r="M516" s="240"/>
      <c r="N516" s="240"/>
      <c r="O516" s="240"/>
      <c r="P516" s="240"/>
      <c r="Q516" s="240"/>
      <c r="R516" s="240"/>
      <c r="S516" s="240"/>
      <c r="T516" s="240"/>
      <c r="U516" s="240"/>
      <c r="V516" s="240"/>
      <c r="W516" s="240"/>
      <c r="X516" s="240"/>
      <c r="Y516" s="240"/>
      <c r="Z516" s="240"/>
    </row>
    <row r="517" spans="1:26" ht="15.75" customHeight="1" x14ac:dyDescent="0.55000000000000004">
      <c r="A517" s="240"/>
      <c r="B517" s="240"/>
      <c r="C517" s="240"/>
      <c r="D517" s="240"/>
      <c r="E517" s="240"/>
      <c r="F517" s="240"/>
      <c r="G517" s="240"/>
      <c r="H517" s="240"/>
      <c r="I517" s="240"/>
      <c r="J517" s="240"/>
      <c r="K517" s="240"/>
      <c r="L517" s="240"/>
      <c r="M517" s="240"/>
      <c r="N517" s="240"/>
      <c r="O517" s="240"/>
      <c r="P517" s="240"/>
      <c r="Q517" s="240"/>
      <c r="R517" s="240"/>
      <c r="S517" s="240"/>
      <c r="T517" s="240"/>
      <c r="U517" s="240"/>
      <c r="V517" s="240"/>
      <c r="W517" s="240"/>
      <c r="X517" s="240"/>
      <c r="Y517" s="240"/>
      <c r="Z517" s="240"/>
    </row>
    <row r="518" spans="1:26" ht="15.75" customHeight="1" x14ac:dyDescent="0.55000000000000004">
      <c r="A518" s="240"/>
      <c r="B518" s="240"/>
      <c r="C518" s="240"/>
      <c r="D518" s="240"/>
      <c r="E518" s="240"/>
      <c r="F518" s="240"/>
      <c r="G518" s="240"/>
      <c r="H518" s="240"/>
      <c r="I518" s="240"/>
      <c r="J518" s="240"/>
      <c r="K518" s="240"/>
      <c r="L518" s="240"/>
      <c r="M518" s="240"/>
      <c r="N518" s="240"/>
      <c r="O518" s="240"/>
      <c r="P518" s="240"/>
      <c r="Q518" s="240"/>
      <c r="R518" s="240"/>
      <c r="S518" s="240"/>
      <c r="T518" s="240"/>
      <c r="U518" s="240"/>
      <c r="V518" s="240"/>
      <c r="W518" s="240"/>
      <c r="X518" s="240"/>
      <c r="Y518" s="240"/>
      <c r="Z518" s="240"/>
    </row>
    <row r="519" spans="1:26" ht="15.75" customHeight="1" x14ac:dyDescent="0.55000000000000004">
      <c r="A519" s="240"/>
      <c r="B519" s="240"/>
      <c r="C519" s="240"/>
      <c r="D519" s="240"/>
      <c r="E519" s="240"/>
      <c r="F519" s="240"/>
      <c r="G519" s="240"/>
      <c r="H519" s="240"/>
      <c r="I519" s="240"/>
      <c r="J519" s="240"/>
      <c r="K519" s="240"/>
      <c r="L519" s="240"/>
      <c r="M519" s="240"/>
      <c r="N519" s="240"/>
      <c r="O519" s="240"/>
      <c r="P519" s="240"/>
      <c r="Q519" s="240"/>
      <c r="R519" s="240"/>
      <c r="S519" s="240"/>
      <c r="T519" s="240"/>
      <c r="U519" s="240"/>
      <c r="V519" s="240"/>
      <c r="W519" s="240"/>
      <c r="X519" s="240"/>
      <c r="Y519" s="240"/>
      <c r="Z519" s="240"/>
    </row>
    <row r="520" spans="1:26" ht="15.75" customHeight="1" x14ac:dyDescent="0.55000000000000004">
      <c r="A520" s="240"/>
      <c r="B520" s="240"/>
      <c r="C520" s="240"/>
      <c r="D520" s="240"/>
      <c r="E520" s="240"/>
      <c r="F520" s="240"/>
      <c r="G520" s="240"/>
      <c r="H520" s="240"/>
      <c r="I520" s="240"/>
      <c r="J520" s="240"/>
      <c r="K520" s="240"/>
      <c r="L520" s="240"/>
      <c r="M520" s="240"/>
      <c r="N520" s="240"/>
      <c r="O520" s="240"/>
      <c r="P520" s="240"/>
      <c r="Q520" s="240"/>
      <c r="R520" s="240"/>
      <c r="S520" s="240"/>
      <c r="T520" s="240"/>
      <c r="U520" s="240"/>
      <c r="V520" s="240"/>
      <c r="W520" s="240"/>
      <c r="X520" s="240"/>
      <c r="Y520" s="240"/>
      <c r="Z520" s="240"/>
    </row>
    <row r="521" spans="1:26" ht="15.75" customHeight="1" x14ac:dyDescent="0.55000000000000004">
      <c r="A521" s="240"/>
      <c r="B521" s="240"/>
      <c r="C521" s="240"/>
      <c r="D521" s="240"/>
      <c r="E521" s="240"/>
      <c r="F521" s="240"/>
      <c r="G521" s="240"/>
      <c r="H521" s="240"/>
      <c r="I521" s="240"/>
      <c r="J521" s="240"/>
      <c r="K521" s="240"/>
      <c r="L521" s="240"/>
      <c r="M521" s="240"/>
      <c r="N521" s="240"/>
      <c r="O521" s="240"/>
      <c r="P521" s="240"/>
      <c r="Q521" s="240"/>
      <c r="R521" s="240"/>
      <c r="S521" s="240"/>
      <c r="T521" s="240"/>
      <c r="U521" s="240"/>
      <c r="V521" s="240"/>
      <c r="W521" s="240"/>
      <c r="X521" s="240"/>
      <c r="Y521" s="240"/>
      <c r="Z521" s="240"/>
    </row>
    <row r="522" spans="1:26" ht="15.75" customHeight="1" x14ac:dyDescent="0.55000000000000004">
      <c r="A522" s="240"/>
      <c r="B522" s="240"/>
      <c r="C522" s="240"/>
      <c r="D522" s="240"/>
      <c r="E522" s="240"/>
      <c r="F522" s="240"/>
      <c r="G522" s="240"/>
      <c r="H522" s="240"/>
      <c r="I522" s="240"/>
      <c r="J522" s="240"/>
      <c r="K522" s="240"/>
      <c r="L522" s="240"/>
      <c r="M522" s="240"/>
      <c r="N522" s="240"/>
      <c r="O522" s="240"/>
      <c r="P522" s="240"/>
      <c r="Q522" s="240"/>
      <c r="R522" s="240"/>
      <c r="S522" s="240"/>
      <c r="T522" s="240"/>
      <c r="U522" s="240"/>
      <c r="V522" s="240"/>
      <c r="W522" s="240"/>
      <c r="X522" s="240"/>
      <c r="Y522" s="240"/>
      <c r="Z522" s="240"/>
    </row>
    <row r="523" spans="1:26" ht="15.75" customHeight="1" x14ac:dyDescent="0.55000000000000004">
      <c r="A523" s="240"/>
      <c r="B523" s="240"/>
      <c r="C523" s="240"/>
      <c r="D523" s="240"/>
      <c r="E523" s="240"/>
      <c r="F523" s="240"/>
      <c r="G523" s="240"/>
      <c r="H523" s="240"/>
      <c r="I523" s="240"/>
      <c r="J523" s="240"/>
      <c r="K523" s="240"/>
      <c r="L523" s="240"/>
      <c r="M523" s="240"/>
      <c r="N523" s="240"/>
      <c r="O523" s="240"/>
      <c r="P523" s="240"/>
      <c r="Q523" s="240"/>
      <c r="R523" s="240"/>
      <c r="S523" s="240"/>
      <c r="T523" s="240"/>
      <c r="U523" s="240"/>
      <c r="V523" s="240"/>
      <c r="W523" s="240"/>
      <c r="X523" s="240"/>
      <c r="Y523" s="240"/>
      <c r="Z523" s="240"/>
    </row>
    <row r="524" spans="1:26" ht="15.75" customHeight="1" x14ac:dyDescent="0.55000000000000004">
      <c r="A524" s="240"/>
      <c r="B524" s="240"/>
      <c r="C524" s="240"/>
      <c r="D524" s="240"/>
      <c r="E524" s="240"/>
      <c r="F524" s="240"/>
      <c r="G524" s="240"/>
      <c r="H524" s="240"/>
      <c r="I524" s="240"/>
      <c r="J524" s="240"/>
      <c r="K524" s="240"/>
      <c r="L524" s="240"/>
      <c r="M524" s="240"/>
      <c r="N524" s="240"/>
      <c r="O524" s="240"/>
      <c r="P524" s="240"/>
      <c r="Q524" s="240"/>
      <c r="R524" s="240"/>
      <c r="S524" s="240"/>
      <c r="T524" s="240"/>
      <c r="U524" s="240"/>
      <c r="V524" s="240"/>
      <c r="W524" s="240"/>
      <c r="X524" s="240"/>
      <c r="Y524" s="240"/>
      <c r="Z524" s="240"/>
    </row>
    <row r="525" spans="1:26" ht="15.75" customHeight="1" x14ac:dyDescent="0.55000000000000004">
      <c r="A525" s="240"/>
      <c r="B525" s="240"/>
      <c r="C525" s="240"/>
      <c r="D525" s="240"/>
      <c r="E525" s="240"/>
      <c r="F525" s="240"/>
      <c r="G525" s="240"/>
      <c r="H525" s="240"/>
      <c r="I525" s="240"/>
      <c r="J525" s="240"/>
      <c r="K525" s="240"/>
      <c r="L525" s="240"/>
      <c r="M525" s="240"/>
      <c r="N525" s="240"/>
      <c r="O525" s="240"/>
      <c r="P525" s="240"/>
      <c r="Q525" s="240"/>
      <c r="R525" s="240"/>
      <c r="S525" s="240"/>
      <c r="T525" s="240"/>
      <c r="U525" s="240"/>
      <c r="V525" s="240"/>
      <c r="W525" s="240"/>
      <c r="X525" s="240"/>
      <c r="Y525" s="240"/>
      <c r="Z525" s="240"/>
    </row>
    <row r="526" spans="1:26" ht="15.75" customHeight="1" x14ac:dyDescent="0.55000000000000004">
      <c r="A526" s="240"/>
      <c r="B526" s="240"/>
      <c r="C526" s="240"/>
      <c r="D526" s="240"/>
      <c r="E526" s="240"/>
      <c r="F526" s="240"/>
      <c r="G526" s="240"/>
      <c r="H526" s="240"/>
      <c r="I526" s="240"/>
      <c r="J526" s="240"/>
      <c r="K526" s="240"/>
      <c r="L526" s="240"/>
      <c r="M526" s="240"/>
      <c r="N526" s="240"/>
      <c r="O526" s="240"/>
      <c r="P526" s="240"/>
      <c r="Q526" s="240"/>
      <c r="R526" s="240"/>
      <c r="S526" s="240"/>
      <c r="T526" s="240"/>
      <c r="U526" s="240"/>
      <c r="V526" s="240"/>
      <c r="W526" s="240"/>
      <c r="X526" s="240"/>
      <c r="Y526" s="240"/>
      <c r="Z526" s="240"/>
    </row>
    <row r="527" spans="1:26" ht="15.75" customHeight="1" x14ac:dyDescent="0.55000000000000004">
      <c r="A527" s="240"/>
      <c r="B527" s="240"/>
      <c r="C527" s="240"/>
      <c r="D527" s="240"/>
      <c r="E527" s="240"/>
      <c r="F527" s="240"/>
      <c r="G527" s="240"/>
      <c r="H527" s="240"/>
      <c r="I527" s="240"/>
      <c r="J527" s="240"/>
      <c r="K527" s="240"/>
      <c r="L527" s="240"/>
      <c r="M527" s="240"/>
      <c r="N527" s="240"/>
      <c r="O527" s="240"/>
      <c r="P527" s="240"/>
      <c r="Q527" s="240"/>
      <c r="R527" s="240"/>
      <c r="S527" s="240"/>
      <c r="T527" s="240"/>
      <c r="U527" s="240"/>
      <c r="V527" s="240"/>
      <c r="W527" s="240"/>
      <c r="X527" s="240"/>
      <c r="Y527" s="240"/>
      <c r="Z527" s="240"/>
    </row>
    <row r="528" spans="1:26" ht="15.75" customHeight="1" x14ac:dyDescent="0.55000000000000004">
      <c r="A528" s="240"/>
      <c r="B528" s="240"/>
      <c r="C528" s="240"/>
      <c r="D528" s="240"/>
      <c r="E528" s="240"/>
      <c r="F528" s="240"/>
      <c r="G528" s="240"/>
      <c r="H528" s="240"/>
      <c r="I528" s="240"/>
      <c r="J528" s="240"/>
      <c r="K528" s="240"/>
      <c r="L528" s="240"/>
      <c r="M528" s="240"/>
      <c r="N528" s="240"/>
      <c r="O528" s="240"/>
      <c r="P528" s="240"/>
      <c r="Q528" s="240"/>
      <c r="R528" s="240"/>
      <c r="S528" s="240"/>
      <c r="T528" s="240"/>
      <c r="U528" s="240"/>
      <c r="V528" s="240"/>
      <c r="W528" s="240"/>
      <c r="X528" s="240"/>
      <c r="Y528" s="240"/>
      <c r="Z528" s="240"/>
    </row>
    <row r="529" spans="1:26" ht="15.75" customHeight="1" x14ac:dyDescent="0.55000000000000004">
      <c r="A529" s="240"/>
      <c r="B529" s="240"/>
      <c r="C529" s="240"/>
      <c r="D529" s="240"/>
      <c r="E529" s="240"/>
      <c r="F529" s="240"/>
      <c r="G529" s="240"/>
      <c r="H529" s="240"/>
      <c r="I529" s="240"/>
      <c r="J529" s="240"/>
      <c r="K529" s="240"/>
      <c r="L529" s="240"/>
      <c r="M529" s="240"/>
      <c r="N529" s="240"/>
      <c r="O529" s="240"/>
      <c r="P529" s="240"/>
      <c r="Q529" s="240"/>
      <c r="R529" s="240"/>
      <c r="S529" s="240"/>
      <c r="T529" s="240"/>
      <c r="U529" s="240"/>
      <c r="V529" s="240"/>
      <c r="W529" s="240"/>
      <c r="X529" s="240"/>
      <c r="Y529" s="240"/>
      <c r="Z529" s="240"/>
    </row>
    <row r="530" spans="1:26" ht="15.75" customHeight="1" x14ac:dyDescent="0.55000000000000004">
      <c r="A530" s="240"/>
      <c r="B530" s="240"/>
      <c r="C530" s="240"/>
      <c r="D530" s="240"/>
      <c r="E530" s="240"/>
      <c r="F530" s="240"/>
      <c r="G530" s="240"/>
      <c r="H530" s="240"/>
      <c r="I530" s="240"/>
      <c r="J530" s="240"/>
      <c r="K530" s="240"/>
      <c r="L530" s="240"/>
      <c r="M530" s="240"/>
      <c r="N530" s="240"/>
      <c r="O530" s="240"/>
      <c r="P530" s="240"/>
      <c r="Q530" s="240"/>
      <c r="R530" s="240"/>
      <c r="S530" s="240"/>
      <c r="T530" s="240"/>
      <c r="U530" s="240"/>
      <c r="V530" s="240"/>
      <c r="W530" s="240"/>
      <c r="X530" s="240"/>
      <c r="Y530" s="240"/>
      <c r="Z530" s="240"/>
    </row>
    <row r="531" spans="1:26" ht="15.75" customHeight="1" x14ac:dyDescent="0.55000000000000004">
      <c r="A531" s="240"/>
      <c r="B531" s="240"/>
      <c r="C531" s="240"/>
      <c r="D531" s="240"/>
      <c r="E531" s="240"/>
      <c r="F531" s="240"/>
      <c r="G531" s="240"/>
      <c r="H531" s="240"/>
      <c r="I531" s="240"/>
      <c r="J531" s="240"/>
      <c r="K531" s="240"/>
      <c r="L531" s="240"/>
      <c r="M531" s="240"/>
      <c r="N531" s="240"/>
      <c r="O531" s="240"/>
      <c r="P531" s="240"/>
      <c r="Q531" s="240"/>
      <c r="R531" s="240"/>
      <c r="S531" s="240"/>
      <c r="T531" s="240"/>
      <c r="U531" s="240"/>
      <c r="V531" s="240"/>
      <c r="W531" s="240"/>
      <c r="X531" s="240"/>
      <c r="Y531" s="240"/>
      <c r="Z531" s="240"/>
    </row>
    <row r="532" spans="1:26" ht="15.75" customHeight="1" x14ac:dyDescent="0.55000000000000004">
      <c r="A532" s="240"/>
      <c r="B532" s="240"/>
      <c r="C532" s="240"/>
      <c r="D532" s="240"/>
      <c r="E532" s="240"/>
      <c r="F532" s="240"/>
      <c r="G532" s="240"/>
      <c r="H532" s="240"/>
      <c r="I532" s="240"/>
      <c r="J532" s="240"/>
      <c r="K532" s="240"/>
      <c r="L532" s="240"/>
      <c r="M532" s="240"/>
      <c r="N532" s="240"/>
      <c r="O532" s="240"/>
      <c r="P532" s="240"/>
      <c r="Q532" s="240"/>
      <c r="R532" s="240"/>
      <c r="S532" s="240"/>
      <c r="T532" s="240"/>
      <c r="U532" s="240"/>
      <c r="V532" s="240"/>
      <c r="W532" s="240"/>
      <c r="X532" s="240"/>
      <c r="Y532" s="240"/>
      <c r="Z532" s="240"/>
    </row>
    <row r="533" spans="1:26" ht="15.75" customHeight="1" x14ac:dyDescent="0.55000000000000004">
      <c r="A533" s="240"/>
      <c r="B533" s="240"/>
      <c r="C533" s="240"/>
      <c r="D533" s="240"/>
      <c r="E533" s="240"/>
      <c r="F533" s="240"/>
      <c r="G533" s="240"/>
      <c r="H533" s="240"/>
      <c r="I533" s="240"/>
      <c r="J533" s="240"/>
      <c r="K533" s="240"/>
      <c r="L533" s="240"/>
      <c r="M533" s="240"/>
      <c r="N533" s="240"/>
      <c r="O533" s="240"/>
      <c r="P533" s="240"/>
      <c r="Q533" s="240"/>
      <c r="R533" s="240"/>
      <c r="S533" s="240"/>
      <c r="T533" s="240"/>
      <c r="U533" s="240"/>
      <c r="V533" s="240"/>
      <c r="W533" s="240"/>
      <c r="X533" s="240"/>
      <c r="Y533" s="240"/>
      <c r="Z533" s="240"/>
    </row>
    <row r="534" spans="1:26" ht="15.75" customHeight="1" x14ac:dyDescent="0.55000000000000004">
      <c r="A534" s="240"/>
      <c r="B534" s="240"/>
      <c r="C534" s="240"/>
      <c r="D534" s="240"/>
      <c r="E534" s="240"/>
      <c r="F534" s="240"/>
      <c r="G534" s="240"/>
      <c r="H534" s="240"/>
      <c r="I534" s="240"/>
      <c r="J534" s="240"/>
      <c r="K534" s="240"/>
      <c r="L534" s="240"/>
      <c r="M534" s="240"/>
      <c r="N534" s="240"/>
      <c r="O534" s="240"/>
      <c r="P534" s="240"/>
      <c r="Q534" s="240"/>
      <c r="R534" s="240"/>
      <c r="S534" s="240"/>
      <c r="T534" s="240"/>
      <c r="U534" s="240"/>
      <c r="V534" s="240"/>
      <c r="W534" s="240"/>
      <c r="X534" s="240"/>
      <c r="Y534" s="240"/>
      <c r="Z534" s="240"/>
    </row>
    <row r="535" spans="1:26" ht="15.75" customHeight="1" x14ac:dyDescent="0.55000000000000004">
      <c r="A535" s="240"/>
      <c r="B535" s="240"/>
      <c r="C535" s="240"/>
      <c r="D535" s="240"/>
      <c r="E535" s="240"/>
      <c r="F535" s="240"/>
      <c r="G535" s="240"/>
      <c r="H535" s="240"/>
      <c r="I535" s="240"/>
      <c r="J535" s="240"/>
      <c r="K535" s="240"/>
      <c r="L535" s="240"/>
      <c r="M535" s="240"/>
      <c r="N535" s="240"/>
      <c r="O535" s="240"/>
      <c r="P535" s="240"/>
      <c r="Q535" s="240"/>
      <c r="R535" s="240"/>
      <c r="S535" s="240"/>
      <c r="T535" s="240"/>
      <c r="U535" s="240"/>
      <c r="V535" s="240"/>
      <c r="W535" s="240"/>
      <c r="X535" s="240"/>
      <c r="Y535" s="240"/>
      <c r="Z535" s="240"/>
    </row>
    <row r="536" spans="1:26" ht="15.75" customHeight="1" x14ac:dyDescent="0.55000000000000004">
      <c r="A536" s="240"/>
      <c r="B536" s="240"/>
      <c r="C536" s="240"/>
      <c r="D536" s="240"/>
      <c r="E536" s="240"/>
      <c r="F536" s="240"/>
      <c r="G536" s="240"/>
      <c r="H536" s="240"/>
      <c r="I536" s="240"/>
      <c r="J536" s="240"/>
      <c r="K536" s="240"/>
      <c r="L536" s="240"/>
      <c r="M536" s="240"/>
      <c r="N536" s="240"/>
      <c r="O536" s="240"/>
      <c r="P536" s="240"/>
      <c r="Q536" s="240"/>
      <c r="R536" s="240"/>
      <c r="S536" s="240"/>
      <c r="T536" s="240"/>
      <c r="U536" s="240"/>
      <c r="V536" s="240"/>
      <c r="W536" s="240"/>
      <c r="X536" s="240"/>
      <c r="Y536" s="240"/>
      <c r="Z536" s="240"/>
    </row>
    <row r="537" spans="1:26" ht="15.75" customHeight="1" x14ac:dyDescent="0.55000000000000004">
      <c r="A537" s="240"/>
      <c r="B537" s="240"/>
      <c r="C537" s="240"/>
      <c r="D537" s="240"/>
      <c r="E537" s="240"/>
      <c r="F537" s="240"/>
      <c r="G537" s="240"/>
      <c r="H537" s="240"/>
      <c r="I537" s="240"/>
      <c r="J537" s="240"/>
      <c r="K537" s="240"/>
      <c r="L537" s="240"/>
      <c r="M537" s="240"/>
      <c r="N537" s="240"/>
      <c r="O537" s="240"/>
      <c r="P537" s="240"/>
      <c r="Q537" s="240"/>
      <c r="R537" s="240"/>
      <c r="S537" s="240"/>
      <c r="T537" s="240"/>
      <c r="U537" s="240"/>
      <c r="V537" s="240"/>
      <c r="W537" s="240"/>
      <c r="X537" s="240"/>
      <c r="Y537" s="240"/>
      <c r="Z537" s="240"/>
    </row>
    <row r="538" spans="1:26" ht="15.75" customHeight="1" x14ac:dyDescent="0.55000000000000004">
      <c r="A538" s="240"/>
      <c r="B538" s="240"/>
      <c r="C538" s="240"/>
      <c r="D538" s="240"/>
      <c r="E538" s="240"/>
      <c r="F538" s="240"/>
      <c r="G538" s="240"/>
      <c r="H538" s="240"/>
      <c r="I538" s="240"/>
      <c r="J538" s="240"/>
      <c r="K538" s="240"/>
      <c r="L538" s="240"/>
      <c r="M538" s="240"/>
      <c r="N538" s="240"/>
      <c r="O538" s="240"/>
      <c r="P538" s="240"/>
      <c r="Q538" s="240"/>
      <c r="R538" s="240"/>
      <c r="S538" s="240"/>
      <c r="T538" s="240"/>
      <c r="U538" s="240"/>
      <c r="V538" s="240"/>
      <c r="W538" s="240"/>
      <c r="X538" s="240"/>
      <c r="Y538" s="240"/>
      <c r="Z538" s="240"/>
    </row>
    <row r="539" spans="1:26" ht="15.75" customHeight="1" x14ac:dyDescent="0.55000000000000004">
      <c r="A539" s="240"/>
      <c r="B539" s="240"/>
      <c r="C539" s="240"/>
      <c r="D539" s="240"/>
      <c r="E539" s="240"/>
      <c r="F539" s="240"/>
      <c r="G539" s="240"/>
      <c r="H539" s="240"/>
      <c r="I539" s="240"/>
      <c r="J539" s="240"/>
      <c r="K539" s="240"/>
      <c r="L539" s="240"/>
      <c r="M539" s="240"/>
      <c r="N539" s="240"/>
      <c r="O539" s="240"/>
      <c r="P539" s="240"/>
      <c r="Q539" s="240"/>
      <c r="R539" s="240"/>
      <c r="S539" s="240"/>
      <c r="T539" s="240"/>
      <c r="U539" s="240"/>
      <c r="V539" s="240"/>
      <c r="W539" s="240"/>
      <c r="X539" s="240"/>
      <c r="Y539" s="240"/>
      <c r="Z539" s="240"/>
    </row>
    <row r="540" spans="1:26" ht="15.75" customHeight="1" x14ac:dyDescent="0.55000000000000004">
      <c r="A540" s="240"/>
      <c r="B540" s="240"/>
      <c r="C540" s="240"/>
      <c r="D540" s="240"/>
      <c r="E540" s="240"/>
      <c r="F540" s="240"/>
      <c r="G540" s="240"/>
      <c r="H540" s="240"/>
      <c r="I540" s="240"/>
      <c r="J540" s="240"/>
      <c r="K540" s="240"/>
      <c r="L540" s="240"/>
      <c r="M540" s="240"/>
      <c r="N540" s="240"/>
      <c r="O540" s="240"/>
      <c r="P540" s="240"/>
      <c r="Q540" s="240"/>
      <c r="R540" s="240"/>
      <c r="S540" s="240"/>
      <c r="T540" s="240"/>
      <c r="U540" s="240"/>
      <c r="V540" s="240"/>
      <c r="W540" s="240"/>
      <c r="X540" s="240"/>
      <c r="Y540" s="240"/>
      <c r="Z540" s="240"/>
    </row>
    <row r="541" spans="1:26" ht="15.75" customHeight="1" x14ac:dyDescent="0.55000000000000004">
      <c r="A541" s="240"/>
      <c r="B541" s="240"/>
      <c r="C541" s="240"/>
      <c r="D541" s="240"/>
      <c r="E541" s="240"/>
      <c r="F541" s="240"/>
      <c r="G541" s="240"/>
      <c r="H541" s="240"/>
      <c r="I541" s="240"/>
      <c r="J541" s="240"/>
      <c r="K541" s="240"/>
      <c r="L541" s="240"/>
      <c r="M541" s="240"/>
      <c r="N541" s="240"/>
      <c r="O541" s="240"/>
      <c r="P541" s="240"/>
      <c r="Q541" s="240"/>
      <c r="R541" s="240"/>
      <c r="S541" s="240"/>
      <c r="T541" s="240"/>
      <c r="U541" s="240"/>
      <c r="V541" s="240"/>
      <c r="W541" s="240"/>
      <c r="X541" s="240"/>
      <c r="Y541" s="240"/>
      <c r="Z541" s="240"/>
    </row>
    <row r="542" spans="1:26" ht="15.75" customHeight="1" x14ac:dyDescent="0.55000000000000004">
      <c r="A542" s="240"/>
      <c r="B542" s="240"/>
      <c r="C542" s="240"/>
      <c r="D542" s="240"/>
      <c r="E542" s="240"/>
      <c r="F542" s="240"/>
      <c r="G542" s="240"/>
      <c r="H542" s="240"/>
      <c r="I542" s="240"/>
      <c r="J542" s="240"/>
      <c r="K542" s="240"/>
      <c r="L542" s="240"/>
      <c r="M542" s="240"/>
      <c r="N542" s="240"/>
      <c r="O542" s="240"/>
      <c r="P542" s="240"/>
      <c r="Q542" s="240"/>
      <c r="R542" s="240"/>
      <c r="S542" s="240"/>
      <c r="T542" s="240"/>
      <c r="U542" s="240"/>
      <c r="V542" s="240"/>
      <c r="W542" s="240"/>
      <c r="X542" s="240"/>
      <c r="Y542" s="240"/>
      <c r="Z542" s="240"/>
    </row>
    <row r="543" spans="1:26" ht="15.75" customHeight="1" x14ac:dyDescent="0.55000000000000004">
      <c r="A543" s="240"/>
      <c r="B543" s="240"/>
      <c r="C543" s="240"/>
      <c r="D543" s="240"/>
      <c r="E543" s="240"/>
      <c r="F543" s="240"/>
      <c r="G543" s="240"/>
      <c r="H543" s="240"/>
      <c r="I543" s="240"/>
      <c r="J543" s="240"/>
      <c r="K543" s="240"/>
      <c r="L543" s="240"/>
      <c r="M543" s="240"/>
      <c r="N543" s="240"/>
      <c r="O543" s="240"/>
      <c r="P543" s="240"/>
      <c r="Q543" s="240"/>
      <c r="R543" s="240"/>
      <c r="S543" s="240"/>
      <c r="T543" s="240"/>
      <c r="U543" s="240"/>
      <c r="V543" s="240"/>
      <c r="W543" s="240"/>
      <c r="X543" s="240"/>
      <c r="Y543" s="240"/>
      <c r="Z543" s="240"/>
    </row>
    <row r="544" spans="1:26" ht="15.75" customHeight="1" x14ac:dyDescent="0.55000000000000004">
      <c r="A544" s="240"/>
      <c r="B544" s="240"/>
      <c r="C544" s="240"/>
      <c r="D544" s="240"/>
      <c r="E544" s="240"/>
      <c r="F544" s="240"/>
      <c r="G544" s="240"/>
      <c r="H544" s="240"/>
      <c r="I544" s="240"/>
      <c r="J544" s="240"/>
      <c r="K544" s="240"/>
      <c r="L544" s="240"/>
      <c r="M544" s="240"/>
      <c r="N544" s="240"/>
      <c r="O544" s="240"/>
      <c r="P544" s="240"/>
      <c r="Q544" s="240"/>
      <c r="R544" s="240"/>
      <c r="S544" s="240"/>
      <c r="T544" s="240"/>
      <c r="U544" s="240"/>
      <c r="V544" s="240"/>
      <c r="W544" s="240"/>
      <c r="X544" s="240"/>
      <c r="Y544" s="240"/>
      <c r="Z544" s="240"/>
    </row>
    <row r="545" spans="1:26" ht="15.75" customHeight="1" x14ac:dyDescent="0.55000000000000004">
      <c r="A545" s="240"/>
      <c r="B545" s="240"/>
      <c r="C545" s="240"/>
      <c r="D545" s="240"/>
      <c r="E545" s="240"/>
      <c r="F545" s="240"/>
      <c r="G545" s="240"/>
      <c r="H545" s="240"/>
      <c r="I545" s="240"/>
      <c r="J545" s="240"/>
      <c r="K545" s="240"/>
      <c r="L545" s="240"/>
      <c r="M545" s="240"/>
      <c r="N545" s="240"/>
      <c r="O545" s="240"/>
      <c r="P545" s="240"/>
      <c r="Q545" s="240"/>
      <c r="R545" s="240"/>
      <c r="S545" s="240"/>
      <c r="T545" s="240"/>
      <c r="U545" s="240"/>
      <c r="V545" s="240"/>
      <c r="W545" s="240"/>
      <c r="X545" s="240"/>
      <c r="Y545" s="240"/>
      <c r="Z545" s="240"/>
    </row>
    <row r="546" spans="1:26" ht="15.75" customHeight="1" x14ac:dyDescent="0.55000000000000004">
      <c r="A546" s="240"/>
      <c r="B546" s="240"/>
      <c r="C546" s="240"/>
      <c r="D546" s="240"/>
      <c r="E546" s="240"/>
      <c r="F546" s="240"/>
      <c r="G546" s="240"/>
      <c r="H546" s="240"/>
      <c r="I546" s="240"/>
      <c r="J546" s="240"/>
      <c r="K546" s="240"/>
      <c r="L546" s="240"/>
      <c r="M546" s="240"/>
      <c r="N546" s="240"/>
      <c r="O546" s="240"/>
      <c r="P546" s="240"/>
      <c r="Q546" s="240"/>
      <c r="R546" s="240"/>
      <c r="S546" s="240"/>
      <c r="T546" s="240"/>
      <c r="U546" s="240"/>
      <c r="V546" s="240"/>
      <c r="W546" s="240"/>
      <c r="X546" s="240"/>
      <c r="Y546" s="240"/>
      <c r="Z546" s="240"/>
    </row>
    <row r="547" spans="1:26" ht="15.75" customHeight="1" x14ac:dyDescent="0.55000000000000004">
      <c r="A547" s="240"/>
      <c r="B547" s="240"/>
      <c r="C547" s="240"/>
      <c r="D547" s="240"/>
      <c r="E547" s="240"/>
      <c r="F547" s="240"/>
      <c r="G547" s="240"/>
      <c r="H547" s="240"/>
      <c r="I547" s="240"/>
      <c r="J547" s="240"/>
      <c r="K547" s="240"/>
      <c r="L547" s="240"/>
      <c r="M547" s="240"/>
      <c r="N547" s="240"/>
      <c r="O547" s="240"/>
      <c r="P547" s="240"/>
      <c r="Q547" s="240"/>
      <c r="R547" s="240"/>
      <c r="S547" s="240"/>
      <c r="T547" s="240"/>
      <c r="U547" s="240"/>
      <c r="V547" s="240"/>
      <c r="W547" s="240"/>
      <c r="X547" s="240"/>
      <c r="Y547" s="240"/>
      <c r="Z547" s="240"/>
    </row>
    <row r="548" spans="1:26" ht="15.75" customHeight="1" x14ac:dyDescent="0.55000000000000004">
      <c r="A548" s="240"/>
      <c r="B548" s="240"/>
      <c r="C548" s="240"/>
      <c r="D548" s="240"/>
      <c r="E548" s="240"/>
      <c r="F548" s="240"/>
      <c r="G548" s="240"/>
      <c r="H548" s="240"/>
      <c r="I548" s="240"/>
      <c r="J548" s="240"/>
      <c r="K548" s="240"/>
      <c r="L548" s="240"/>
      <c r="M548" s="240"/>
      <c r="N548" s="240"/>
      <c r="O548" s="240"/>
      <c r="P548" s="240"/>
      <c r="Q548" s="240"/>
      <c r="R548" s="240"/>
      <c r="S548" s="240"/>
      <c r="T548" s="240"/>
      <c r="U548" s="240"/>
      <c r="V548" s="240"/>
      <c r="W548" s="240"/>
      <c r="X548" s="240"/>
      <c r="Y548" s="240"/>
      <c r="Z548" s="240"/>
    </row>
    <row r="549" spans="1:26" ht="15.75" customHeight="1" x14ac:dyDescent="0.55000000000000004">
      <c r="A549" s="240"/>
      <c r="B549" s="240"/>
      <c r="C549" s="240"/>
      <c r="D549" s="240"/>
      <c r="E549" s="240"/>
      <c r="F549" s="240"/>
      <c r="G549" s="240"/>
      <c r="H549" s="240"/>
      <c r="I549" s="240"/>
      <c r="J549" s="240"/>
      <c r="K549" s="240"/>
      <c r="L549" s="240"/>
      <c r="M549" s="240"/>
      <c r="N549" s="240"/>
      <c r="O549" s="240"/>
      <c r="P549" s="240"/>
      <c r="Q549" s="240"/>
      <c r="R549" s="240"/>
      <c r="S549" s="240"/>
      <c r="T549" s="240"/>
      <c r="U549" s="240"/>
      <c r="V549" s="240"/>
      <c r="W549" s="240"/>
      <c r="X549" s="240"/>
      <c r="Y549" s="240"/>
      <c r="Z549" s="240"/>
    </row>
    <row r="550" spans="1:26" ht="15.75" customHeight="1" x14ac:dyDescent="0.55000000000000004">
      <c r="A550" s="240"/>
      <c r="B550" s="240"/>
      <c r="C550" s="240"/>
      <c r="D550" s="240"/>
      <c r="E550" s="240"/>
      <c r="F550" s="240"/>
      <c r="G550" s="240"/>
      <c r="H550" s="240"/>
      <c r="I550" s="240"/>
      <c r="J550" s="240"/>
      <c r="K550" s="240"/>
      <c r="L550" s="240"/>
      <c r="M550" s="240"/>
      <c r="N550" s="240"/>
      <c r="O550" s="240"/>
      <c r="P550" s="240"/>
      <c r="Q550" s="240"/>
      <c r="R550" s="240"/>
      <c r="S550" s="240"/>
      <c r="T550" s="240"/>
      <c r="U550" s="240"/>
      <c r="V550" s="240"/>
      <c r="W550" s="240"/>
      <c r="X550" s="240"/>
      <c r="Y550" s="240"/>
      <c r="Z550" s="240"/>
    </row>
    <row r="551" spans="1:26" ht="15.75" customHeight="1" x14ac:dyDescent="0.55000000000000004">
      <c r="A551" s="240"/>
      <c r="B551" s="240"/>
      <c r="C551" s="240"/>
      <c r="D551" s="240"/>
      <c r="E551" s="240"/>
      <c r="F551" s="240"/>
      <c r="G551" s="240"/>
      <c r="H551" s="240"/>
      <c r="I551" s="240"/>
      <c r="J551" s="240"/>
      <c r="K551" s="240"/>
      <c r="L551" s="240"/>
      <c r="M551" s="240"/>
      <c r="N551" s="240"/>
      <c r="O551" s="240"/>
      <c r="P551" s="240"/>
      <c r="Q551" s="240"/>
      <c r="R551" s="240"/>
      <c r="S551" s="240"/>
      <c r="T551" s="240"/>
      <c r="U551" s="240"/>
      <c r="V551" s="240"/>
      <c r="W551" s="240"/>
      <c r="X551" s="240"/>
      <c r="Y551" s="240"/>
      <c r="Z551" s="240"/>
    </row>
    <row r="552" spans="1:26" ht="15.75" customHeight="1" x14ac:dyDescent="0.55000000000000004">
      <c r="A552" s="240"/>
      <c r="B552" s="240"/>
      <c r="C552" s="240"/>
      <c r="D552" s="240"/>
      <c r="E552" s="240"/>
      <c r="F552" s="240"/>
      <c r="G552" s="240"/>
      <c r="H552" s="240"/>
      <c r="I552" s="240"/>
      <c r="J552" s="240"/>
      <c r="K552" s="240"/>
      <c r="L552" s="240"/>
      <c r="M552" s="240"/>
      <c r="N552" s="240"/>
      <c r="O552" s="240"/>
      <c r="P552" s="240"/>
      <c r="Q552" s="240"/>
      <c r="R552" s="240"/>
      <c r="S552" s="240"/>
      <c r="T552" s="240"/>
      <c r="U552" s="240"/>
      <c r="V552" s="240"/>
      <c r="W552" s="240"/>
      <c r="X552" s="240"/>
      <c r="Y552" s="240"/>
      <c r="Z552" s="240"/>
    </row>
    <row r="553" spans="1:26" ht="15.75" customHeight="1" x14ac:dyDescent="0.55000000000000004">
      <c r="A553" s="240"/>
      <c r="B553" s="240"/>
      <c r="C553" s="240"/>
      <c r="D553" s="240"/>
      <c r="E553" s="240"/>
      <c r="F553" s="240"/>
      <c r="G553" s="240"/>
      <c r="H553" s="240"/>
      <c r="I553" s="240"/>
      <c r="J553" s="240"/>
      <c r="K553" s="240"/>
      <c r="L553" s="240"/>
      <c r="M553" s="240"/>
      <c r="N553" s="240"/>
      <c r="O553" s="240"/>
      <c r="P553" s="240"/>
      <c r="Q553" s="240"/>
      <c r="R553" s="240"/>
      <c r="S553" s="240"/>
      <c r="T553" s="240"/>
      <c r="U553" s="240"/>
      <c r="V553" s="240"/>
      <c r="W553" s="240"/>
      <c r="X553" s="240"/>
      <c r="Y553" s="240"/>
      <c r="Z553" s="240"/>
    </row>
    <row r="554" spans="1:26" ht="15.75" customHeight="1" x14ac:dyDescent="0.55000000000000004">
      <c r="A554" s="240"/>
      <c r="B554" s="240"/>
      <c r="C554" s="240"/>
      <c r="D554" s="240"/>
      <c r="E554" s="240"/>
      <c r="F554" s="240"/>
      <c r="G554" s="240"/>
      <c r="H554" s="240"/>
      <c r="I554" s="240"/>
      <c r="J554" s="240"/>
      <c r="K554" s="240"/>
      <c r="L554" s="240"/>
      <c r="M554" s="240"/>
      <c r="N554" s="240"/>
      <c r="O554" s="240"/>
      <c r="P554" s="240"/>
      <c r="Q554" s="240"/>
      <c r="R554" s="240"/>
      <c r="S554" s="240"/>
      <c r="T554" s="240"/>
      <c r="U554" s="240"/>
      <c r="V554" s="240"/>
      <c r="W554" s="240"/>
      <c r="X554" s="240"/>
      <c r="Y554" s="240"/>
      <c r="Z554" s="240"/>
    </row>
    <row r="555" spans="1:26" ht="15.75" customHeight="1" x14ac:dyDescent="0.55000000000000004">
      <c r="A555" s="240"/>
      <c r="B555" s="240"/>
      <c r="C555" s="240"/>
      <c r="D555" s="240"/>
      <c r="E555" s="240"/>
      <c r="F555" s="240"/>
      <c r="G555" s="240"/>
      <c r="H555" s="240"/>
      <c r="I555" s="240"/>
      <c r="J555" s="240"/>
      <c r="K555" s="240"/>
      <c r="L555" s="240"/>
      <c r="M555" s="240"/>
      <c r="N555" s="240"/>
      <c r="O555" s="240"/>
      <c r="P555" s="240"/>
      <c r="Q555" s="240"/>
      <c r="R555" s="240"/>
      <c r="S555" s="240"/>
      <c r="T555" s="240"/>
      <c r="U555" s="240"/>
      <c r="V555" s="240"/>
      <c r="W555" s="240"/>
      <c r="X555" s="240"/>
      <c r="Y555" s="240"/>
      <c r="Z555" s="240"/>
    </row>
    <row r="556" spans="1:26" ht="15.75" customHeight="1" x14ac:dyDescent="0.55000000000000004">
      <c r="A556" s="240"/>
      <c r="B556" s="240"/>
      <c r="C556" s="240"/>
      <c r="D556" s="240"/>
      <c r="E556" s="240"/>
      <c r="F556" s="240"/>
      <c r="G556" s="240"/>
      <c r="H556" s="240"/>
      <c r="I556" s="240"/>
      <c r="J556" s="240"/>
      <c r="K556" s="240"/>
      <c r="L556" s="240"/>
      <c r="M556" s="240"/>
      <c r="N556" s="240"/>
      <c r="O556" s="240"/>
      <c r="P556" s="240"/>
      <c r="Q556" s="240"/>
      <c r="R556" s="240"/>
      <c r="S556" s="240"/>
      <c r="T556" s="240"/>
      <c r="U556" s="240"/>
      <c r="V556" s="240"/>
      <c r="W556" s="240"/>
      <c r="X556" s="240"/>
      <c r="Y556" s="240"/>
      <c r="Z556" s="240"/>
    </row>
    <row r="557" spans="1:26" ht="15.75" customHeight="1" x14ac:dyDescent="0.55000000000000004">
      <c r="A557" s="240"/>
      <c r="B557" s="240"/>
      <c r="C557" s="240"/>
      <c r="D557" s="240"/>
      <c r="E557" s="240"/>
      <c r="F557" s="240"/>
      <c r="G557" s="240"/>
      <c r="H557" s="240"/>
      <c r="I557" s="240"/>
      <c r="J557" s="240"/>
      <c r="K557" s="240"/>
      <c r="L557" s="240"/>
      <c r="M557" s="240"/>
      <c r="N557" s="240"/>
      <c r="O557" s="240"/>
      <c r="P557" s="240"/>
      <c r="Q557" s="240"/>
      <c r="R557" s="240"/>
      <c r="S557" s="240"/>
      <c r="T557" s="240"/>
      <c r="U557" s="240"/>
      <c r="V557" s="240"/>
      <c r="W557" s="240"/>
      <c r="X557" s="240"/>
      <c r="Y557" s="240"/>
      <c r="Z557" s="240"/>
    </row>
    <row r="558" spans="1:26" ht="15.75" customHeight="1" x14ac:dyDescent="0.55000000000000004">
      <c r="A558" s="240"/>
      <c r="B558" s="240"/>
      <c r="C558" s="240"/>
      <c r="D558" s="240"/>
      <c r="E558" s="240"/>
      <c r="F558" s="240"/>
      <c r="G558" s="240"/>
      <c r="H558" s="240"/>
      <c r="I558" s="240"/>
      <c r="J558" s="240"/>
      <c r="K558" s="240"/>
      <c r="L558" s="240"/>
      <c r="M558" s="240"/>
      <c r="N558" s="240"/>
      <c r="O558" s="240"/>
      <c r="P558" s="240"/>
      <c r="Q558" s="240"/>
      <c r="R558" s="240"/>
      <c r="S558" s="240"/>
      <c r="T558" s="240"/>
      <c r="U558" s="240"/>
      <c r="V558" s="240"/>
      <c r="W558" s="240"/>
      <c r="X558" s="240"/>
      <c r="Y558" s="240"/>
      <c r="Z558" s="240"/>
    </row>
    <row r="559" spans="1:26" ht="15.75" customHeight="1" x14ac:dyDescent="0.55000000000000004">
      <c r="A559" s="240"/>
      <c r="B559" s="240"/>
      <c r="C559" s="240"/>
      <c r="D559" s="240"/>
      <c r="E559" s="240"/>
      <c r="F559" s="240"/>
      <c r="G559" s="240"/>
      <c r="H559" s="240"/>
      <c r="I559" s="240"/>
      <c r="J559" s="240"/>
      <c r="K559" s="240"/>
      <c r="L559" s="240"/>
      <c r="M559" s="240"/>
      <c r="N559" s="240"/>
      <c r="O559" s="240"/>
      <c r="P559" s="240"/>
      <c r="Q559" s="240"/>
      <c r="R559" s="240"/>
      <c r="S559" s="240"/>
      <c r="T559" s="240"/>
      <c r="U559" s="240"/>
      <c r="V559" s="240"/>
      <c r="W559" s="240"/>
      <c r="X559" s="240"/>
      <c r="Y559" s="240"/>
      <c r="Z559" s="240"/>
    </row>
    <row r="560" spans="1:26" ht="15.75" customHeight="1" x14ac:dyDescent="0.55000000000000004">
      <c r="A560" s="240"/>
      <c r="B560" s="240"/>
      <c r="C560" s="240"/>
      <c r="D560" s="240"/>
      <c r="E560" s="240"/>
      <c r="F560" s="240"/>
      <c r="G560" s="240"/>
      <c r="H560" s="240"/>
      <c r="I560" s="240"/>
      <c r="J560" s="240"/>
      <c r="K560" s="240"/>
      <c r="L560" s="240"/>
      <c r="M560" s="240"/>
      <c r="N560" s="240"/>
      <c r="O560" s="240"/>
      <c r="P560" s="240"/>
      <c r="Q560" s="240"/>
      <c r="R560" s="240"/>
      <c r="S560" s="240"/>
      <c r="T560" s="240"/>
      <c r="U560" s="240"/>
      <c r="V560" s="240"/>
      <c r="W560" s="240"/>
      <c r="X560" s="240"/>
      <c r="Y560" s="240"/>
      <c r="Z560" s="240"/>
    </row>
    <row r="561" spans="1:26" ht="15.75" customHeight="1" x14ac:dyDescent="0.55000000000000004">
      <c r="A561" s="240"/>
      <c r="B561" s="240"/>
      <c r="C561" s="240"/>
      <c r="D561" s="240"/>
      <c r="E561" s="240"/>
      <c r="F561" s="240"/>
      <c r="G561" s="240"/>
      <c r="H561" s="240"/>
      <c r="I561" s="240"/>
      <c r="J561" s="240"/>
      <c r="K561" s="240"/>
      <c r="L561" s="240"/>
      <c r="M561" s="240"/>
      <c r="N561" s="240"/>
      <c r="O561" s="240"/>
      <c r="P561" s="240"/>
      <c r="Q561" s="240"/>
      <c r="R561" s="240"/>
      <c r="S561" s="240"/>
      <c r="T561" s="240"/>
      <c r="U561" s="240"/>
      <c r="V561" s="240"/>
      <c r="W561" s="240"/>
      <c r="X561" s="240"/>
      <c r="Y561" s="240"/>
      <c r="Z561" s="240"/>
    </row>
    <row r="562" spans="1:26" ht="15.75" customHeight="1" x14ac:dyDescent="0.55000000000000004">
      <c r="A562" s="240"/>
      <c r="B562" s="240"/>
      <c r="C562" s="240"/>
      <c r="D562" s="240"/>
      <c r="E562" s="240"/>
      <c r="F562" s="240"/>
      <c r="G562" s="240"/>
      <c r="H562" s="240"/>
      <c r="I562" s="240"/>
      <c r="J562" s="240"/>
      <c r="K562" s="240"/>
      <c r="L562" s="240"/>
      <c r="M562" s="240"/>
      <c r="N562" s="240"/>
      <c r="O562" s="240"/>
      <c r="P562" s="240"/>
      <c r="Q562" s="240"/>
      <c r="R562" s="240"/>
      <c r="S562" s="240"/>
      <c r="T562" s="240"/>
      <c r="U562" s="240"/>
      <c r="V562" s="240"/>
      <c r="W562" s="240"/>
      <c r="X562" s="240"/>
      <c r="Y562" s="240"/>
      <c r="Z562" s="240"/>
    </row>
    <row r="563" spans="1:26" ht="15.75" customHeight="1" x14ac:dyDescent="0.55000000000000004">
      <c r="A563" s="240"/>
      <c r="B563" s="240"/>
      <c r="C563" s="240"/>
      <c r="D563" s="240"/>
      <c r="E563" s="240"/>
      <c r="F563" s="240"/>
      <c r="G563" s="240"/>
      <c r="H563" s="240"/>
      <c r="I563" s="240"/>
      <c r="J563" s="240"/>
      <c r="K563" s="240"/>
      <c r="L563" s="240"/>
      <c r="M563" s="240"/>
      <c r="N563" s="240"/>
      <c r="O563" s="240"/>
      <c r="P563" s="240"/>
      <c r="Q563" s="240"/>
      <c r="R563" s="240"/>
      <c r="S563" s="240"/>
      <c r="T563" s="240"/>
      <c r="U563" s="240"/>
      <c r="V563" s="240"/>
      <c r="W563" s="240"/>
      <c r="X563" s="240"/>
      <c r="Y563" s="240"/>
      <c r="Z563" s="240"/>
    </row>
    <row r="564" spans="1:26" ht="15.75" customHeight="1" x14ac:dyDescent="0.55000000000000004">
      <c r="A564" s="240"/>
      <c r="B564" s="240"/>
      <c r="C564" s="240"/>
      <c r="D564" s="240"/>
      <c r="E564" s="240"/>
      <c r="F564" s="240"/>
      <c r="G564" s="240"/>
      <c r="H564" s="240"/>
      <c r="I564" s="240"/>
      <c r="J564" s="240"/>
      <c r="K564" s="240"/>
      <c r="L564" s="240"/>
      <c r="M564" s="240"/>
      <c r="N564" s="240"/>
      <c r="O564" s="240"/>
      <c r="P564" s="240"/>
      <c r="Q564" s="240"/>
      <c r="R564" s="240"/>
      <c r="S564" s="240"/>
      <c r="T564" s="240"/>
      <c r="U564" s="240"/>
      <c r="V564" s="240"/>
      <c r="W564" s="240"/>
      <c r="X564" s="240"/>
      <c r="Y564" s="240"/>
      <c r="Z564" s="240"/>
    </row>
    <row r="565" spans="1:26" ht="15.75" customHeight="1" x14ac:dyDescent="0.55000000000000004">
      <c r="A565" s="240"/>
      <c r="B565" s="240"/>
      <c r="C565" s="240"/>
      <c r="D565" s="240"/>
      <c r="E565" s="240"/>
      <c r="F565" s="240"/>
      <c r="G565" s="240"/>
      <c r="H565" s="240"/>
      <c r="I565" s="240"/>
      <c r="J565" s="240"/>
      <c r="K565" s="240"/>
      <c r="L565" s="240"/>
      <c r="M565" s="240"/>
      <c r="N565" s="240"/>
      <c r="O565" s="240"/>
      <c r="P565" s="240"/>
      <c r="Q565" s="240"/>
      <c r="R565" s="240"/>
      <c r="S565" s="240"/>
      <c r="T565" s="240"/>
      <c r="U565" s="240"/>
      <c r="V565" s="240"/>
      <c r="W565" s="240"/>
      <c r="X565" s="240"/>
      <c r="Y565" s="240"/>
      <c r="Z565" s="240"/>
    </row>
    <row r="566" spans="1:26" ht="15.75" customHeight="1" x14ac:dyDescent="0.55000000000000004">
      <c r="A566" s="240"/>
      <c r="B566" s="240"/>
      <c r="C566" s="240"/>
      <c r="D566" s="240"/>
      <c r="E566" s="240"/>
      <c r="F566" s="240"/>
      <c r="G566" s="240"/>
      <c r="H566" s="240"/>
      <c r="I566" s="240"/>
      <c r="J566" s="240"/>
      <c r="K566" s="240"/>
      <c r="L566" s="240"/>
      <c r="M566" s="240"/>
      <c r="N566" s="240"/>
      <c r="O566" s="240"/>
      <c r="P566" s="240"/>
      <c r="Q566" s="240"/>
      <c r="R566" s="240"/>
      <c r="S566" s="240"/>
      <c r="T566" s="240"/>
      <c r="U566" s="240"/>
      <c r="V566" s="240"/>
      <c r="W566" s="240"/>
      <c r="X566" s="240"/>
      <c r="Y566" s="240"/>
      <c r="Z566" s="240"/>
    </row>
    <row r="567" spans="1:26" ht="15.75" customHeight="1" x14ac:dyDescent="0.55000000000000004">
      <c r="A567" s="240"/>
      <c r="B567" s="240"/>
      <c r="C567" s="240"/>
      <c r="D567" s="240"/>
      <c r="E567" s="240"/>
      <c r="F567" s="240"/>
      <c r="G567" s="240"/>
      <c r="H567" s="240"/>
      <c r="I567" s="240"/>
      <c r="J567" s="240"/>
      <c r="K567" s="240"/>
      <c r="L567" s="240"/>
      <c r="M567" s="240"/>
      <c r="N567" s="240"/>
      <c r="O567" s="240"/>
      <c r="P567" s="240"/>
      <c r="Q567" s="240"/>
      <c r="R567" s="240"/>
      <c r="S567" s="240"/>
      <c r="T567" s="240"/>
      <c r="U567" s="240"/>
      <c r="V567" s="240"/>
      <c r="W567" s="240"/>
      <c r="X567" s="240"/>
      <c r="Y567" s="240"/>
      <c r="Z567" s="240"/>
    </row>
    <row r="568" spans="1:26" ht="15.75" customHeight="1" x14ac:dyDescent="0.55000000000000004">
      <c r="A568" s="240"/>
      <c r="B568" s="240"/>
      <c r="C568" s="240"/>
      <c r="D568" s="240"/>
      <c r="E568" s="240"/>
      <c r="F568" s="240"/>
      <c r="G568" s="240"/>
      <c r="H568" s="240"/>
      <c r="I568" s="240"/>
      <c r="J568" s="240"/>
      <c r="K568" s="240"/>
      <c r="L568" s="240"/>
      <c r="M568" s="240"/>
      <c r="N568" s="240"/>
      <c r="O568" s="240"/>
      <c r="P568" s="240"/>
      <c r="Q568" s="240"/>
      <c r="R568" s="240"/>
      <c r="S568" s="240"/>
      <c r="T568" s="240"/>
      <c r="U568" s="240"/>
      <c r="V568" s="240"/>
      <c r="W568" s="240"/>
      <c r="X568" s="240"/>
      <c r="Y568" s="240"/>
      <c r="Z568" s="240"/>
    </row>
    <row r="569" spans="1:26" ht="15.75" customHeight="1" x14ac:dyDescent="0.55000000000000004">
      <c r="A569" s="240"/>
      <c r="B569" s="240"/>
      <c r="C569" s="240"/>
      <c r="D569" s="240"/>
      <c r="E569" s="240"/>
      <c r="F569" s="240"/>
      <c r="G569" s="240"/>
      <c r="H569" s="240"/>
      <c r="I569" s="240"/>
      <c r="J569" s="240"/>
      <c r="K569" s="240"/>
      <c r="L569" s="240"/>
      <c r="M569" s="240"/>
      <c r="N569" s="240"/>
      <c r="O569" s="240"/>
      <c r="P569" s="240"/>
      <c r="Q569" s="240"/>
      <c r="R569" s="240"/>
      <c r="S569" s="240"/>
      <c r="T569" s="240"/>
      <c r="U569" s="240"/>
      <c r="V569" s="240"/>
      <c r="W569" s="240"/>
      <c r="X569" s="240"/>
      <c r="Y569" s="240"/>
      <c r="Z569" s="240"/>
    </row>
    <row r="570" spans="1:26" ht="15.75" customHeight="1" x14ac:dyDescent="0.55000000000000004">
      <c r="A570" s="240"/>
      <c r="B570" s="240"/>
      <c r="C570" s="240"/>
      <c r="D570" s="240"/>
      <c r="E570" s="240"/>
      <c r="F570" s="240"/>
      <c r="G570" s="240"/>
      <c r="H570" s="240"/>
      <c r="I570" s="240"/>
      <c r="J570" s="240"/>
      <c r="K570" s="240"/>
      <c r="L570" s="240"/>
      <c r="M570" s="240"/>
      <c r="N570" s="240"/>
      <c r="O570" s="240"/>
      <c r="P570" s="240"/>
      <c r="Q570" s="240"/>
      <c r="R570" s="240"/>
      <c r="S570" s="240"/>
      <c r="T570" s="240"/>
      <c r="U570" s="240"/>
      <c r="V570" s="240"/>
      <c r="W570" s="240"/>
      <c r="X570" s="240"/>
      <c r="Y570" s="240"/>
      <c r="Z570" s="240"/>
    </row>
    <row r="571" spans="1:26" ht="15.75" customHeight="1" x14ac:dyDescent="0.55000000000000004">
      <c r="A571" s="240"/>
      <c r="B571" s="240"/>
      <c r="C571" s="240"/>
      <c r="D571" s="240"/>
      <c r="E571" s="240"/>
      <c r="F571" s="240"/>
      <c r="G571" s="240"/>
      <c r="H571" s="240"/>
      <c r="I571" s="240"/>
      <c r="J571" s="240"/>
      <c r="K571" s="240"/>
      <c r="L571" s="240"/>
      <c r="M571" s="240"/>
      <c r="N571" s="240"/>
      <c r="O571" s="240"/>
      <c r="P571" s="240"/>
      <c r="Q571" s="240"/>
      <c r="R571" s="240"/>
      <c r="S571" s="240"/>
      <c r="T571" s="240"/>
      <c r="U571" s="240"/>
      <c r="V571" s="240"/>
      <c r="W571" s="240"/>
      <c r="X571" s="240"/>
      <c r="Y571" s="240"/>
      <c r="Z571" s="240"/>
    </row>
    <row r="572" spans="1:26" ht="15.75" customHeight="1" x14ac:dyDescent="0.55000000000000004">
      <c r="A572" s="240"/>
      <c r="B572" s="240"/>
      <c r="C572" s="240"/>
      <c r="D572" s="240"/>
      <c r="E572" s="240"/>
      <c r="F572" s="240"/>
      <c r="G572" s="240"/>
      <c r="H572" s="240"/>
      <c r="I572" s="240"/>
      <c r="J572" s="240"/>
      <c r="K572" s="240"/>
      <c r="L572" s="240"/>
      <c r="M572" s="240"/>
      <c r="N572" s="240"/>
      <c r="O572" s="240"/>
      <c r="P572" s="240"/>
      <c r="Q572" s="240"/>
      <c r="R572" s="240"/>
      <c r="S572" s="240"/>
      <c r="T572" s="240"/>
      <c r="U572" s="240"/>
      <c r="V572" s="240"/>
      <c r="W572" s="240"/>
      <c r="X572" s="240"/>
      <c r="Y572" s="240"/>
      <c r="Z572" s="240"/>
    </row>
    <row r="573" spans="1:26" ht="15.75" customHeight="1" x14ac:dyDescent="0.55000000000000004">
      <c r="A573" s="240"/>
      <c r="B573" s="240"/>
      <c r="C573" s="240"/>
      <c r="D573" s="240"/>
      <c r="E573" s="240"/>
      <c r="F573" s="240"/>
      <c r="G573" s="240"/>
      <c r="H573" s="240"/>
      <c r="I573" s="240"/>
      <c r="J573" s="240"/>
      <c r="K573" s="240"/>
      <c r="L573" s="240"/>
      <c r="M573" s="240"/>
      <c r="N573" s="240"/>
      <c r="O573" s="240"/>
      <c r="P573" s="240"/>
      <c r="Q573" s="240"/>
      <c r="R573" s="240"/>
      <c r="S573" s="240"/>
      <c r="T573" s="240"/>
      <c r="U573" s="240"/>
      <c r="V573" s="240"/>
      <c r="W573" s="240"/>
      <c r="X573" s="240"/>
      <c r="Y573" s="240"/>
      <c r="Z573" s="240"/>
    </row>
    <row r="574" spans="1:26" ht="15.75" customHeight="1" x14ac:dyDescent="0.55000000000000004">
      <c r="A574" s="240"/>
      <c r="B574" s="240"/>
      <c r="C574" s="240"/>
      <c r="D574" s="240"/>
      <c r="E574" s="240"/>
      <c r="F574" s="240"/>
      <c r="G574" s="240"/>
      <c r="H574" s="240"/>
      <c r="I574" s="240"/>
      <c r="J574" s="240"/>
      <c r="K574" s="240"/>
      <c r="L574" s="240"/>
      <c r="M574" s="240"/>
      <c r="N574" s="240"/>
      <c r="O574" s="240"/>
      <c r="P574" s="240"/>
      <c r="Q574" s="240"/>
      <c r="R574" s="240"/>
      <c r="S574" s="240"/>
      <c r="T574" s="240"/>
      <c r="U574" s="240"/>
      <c r="V574" s="240"/>
      <c r="W574" s="240"/>
      <c r="X574" s="240"/>
      <c r="Y574" s="240"/>
      <c r="Z574" s="240"/>
    </row>
    <row r="575" spans="1:26" ht="15.75" customHeight="1" x14ac:dyDescent="0.55000000000000004">
      <c r="A575" s="240"/>
      <c r="B575" s="240"/>
      <c r="C575" s="240"/>
      <c r="D575" s="240"/>
      <c r="E575" s="240"/>
      <c r="F575" s="240"/>
      <c r="G575" s="240"/>
      <c r="H575" s="240"/>
      <c r="I575" s="240"/>
      <c r="J575" s="240"/>
      <c r="K575" s="240"/>
      <c r="L575" s="240"/>
      <c r="M575" s="240"/>
      <c r="N575" s="240"/>
      <c r="O575" s="240"/>
      <c r="P575" s="240"/>
      <c r="Q575" s="240"/>
      <c r="R575" s="240"/>
      <c r="S575" s="240"/>
      <c r="T575" s="240"/>
      <c r="U575" s="240"/>
      <c r="V575" s="240"/>
      <c r="W575" s="240"/>
      <c r="X575" s="240"/>
      <c r="Y575" s="240"/>
      <c r="Z575" s="240"/>
    </row>
    <row r="576" spans="1:26" ht="15.75" customHeight="1" x14ac:dyDescent="0.55000000000000004">
      <c r="A576" s="240"/>
      <c r="B576" s="240"/>
      <c r="C576" s="240"/>
      <c r="D576" s="240"/>
      <c r="E576" s="240"/>
      <c r="F576" s="240"/>
      <c r="G576" s="240"/>
      <c r="H576" s="240"/>
      <c r="I576" s="240"/>
      <c r="J576" s="240"/>
      <c r="K576" s="240"/>
      <c r="L576" s="240"/>
      <c r="M576" s="240"/>
      <c r="N576" s="240"/>
      <c r="O576" s="240"/>
      <c r="P576" s="240"/>
      <c r="Q576" s="240"/>
      <c r="R576" s="240"/>
      <c r="S576" s="240"/>
      <c r="T576" s="240"/>
      <c r="U576" s="240"/>
      <c r="V576" s="240"/>
      <c r="W576" s="240"/>
      <c r="X576" s="240"/>
      <c r="Y576" s="240"/>
      <c r="Z576" s="240"/>
    </row>
    <row r="577" spans="1:26" ht="15.75" customHeight="1" x14ac:dyDescent="0.55000000000000004">
      <c r="A577" s="240"/>
      <c r="B577" s="240"/>
      <c r="C577" s="240"/>
      <c r="D577" s="240"/>
      <c r="E577" s="240"/>
      <c r="F577" s="240"/>
      <c r="G577" s="240"/>
      <c r="H577" s="240"/>
      <c r="I577" s="240"/>
      <c r="J577" s="240"/>
      <c r="K577" s="240"/>
      <c r="L577" s="240"/>
      <c r="M577" s="240"/>
      <c r="N577" s="240"/>
      <c r="O577" s="240"/>
      <c r="P577" s="240"/>
      <c r="Q577" s="240"/>
      <c r="R577" s="240"/>
      <c r="S577" s="240"/>
      <c r="T577" s="240"/>
      <c r="U577" s="240"/>
      <c r="V577" s="240"/>
      <c r="W577" s="240"/>
      <c r="X577" s="240"/>
      <c r="Y577" s="240"/>
      <c r="Z577" s="240"/>
    </row>
    <row r="578" spans="1:26" ht="15.75" customHeight="1" x14ac:dyDescent="0.55000000000000004">
      <c r="A578" s="240"/>
      <c r="B578" s="240"/>
      <c r="C578" s="240"/>
      <c r="D578" s="240"/>
      <c r="E578" s="240"/>
      <c r="F578" s="240"/>
      <c r="G578" s="240"/>
      <c r="H578" s="240"/>
      <c r="I578" s="240"/>
      <c r="J578" s="240"/>
      <c r="K578" s="240"/>
      <c r="L578" s="240"/>
      <c r="M578" s="240"/>
      <c r="N578" s="240"/>
      <c r="O578" s="240"/>
      <c r="P578" s="240"/>
      <c r="Q578" s="240"/>
      <c r="R578" s="240"/>
      <c r="S578" s="240"/>
      <c r="T578" s="240"/>
      <c r="U578" s="240"/>
      <c r="V578" s="240"/>
      <c r="W578" s="240"/>
      <c r="X578" s="240"/>
      <c r="Y578" s="240"/>
      <c r="Z578" s="240"/>
    </row>
    <row r="579" spans="1:26" ht="15.75" customHeight="1" x14ac:dyDescent="0.55000000000000004">
      <c r="A579" s="240"/>
      <c r="B579" s="240"/>
      <c r="C579" s="240"/>
      <c r="D579" s="240"/>
      <c r="E579" s="240"/>
      <c r="F579" s="240"/>
      <c r="G579" s="240"/>
      <c r="H579" s="240"/>
      <c r="I579" s="240"/>
      <c r="J579" s="240"/>
      <c r="K579" s="240"/>
      <c r="L579" s="240"/>
      <c r="M579" s="240"/>
      <c r="N579" s="240"/>
      <c r="O579" s="240"/>
      <c r="P579" s="240"/>
      <c r="Q579" s="240"/>
      <c r="R579" s="240"/>
      <c r="S579" s="240"/>
      <c r="T579" s="240"/>
      <c r="U579" s="240"/>
      <c r="V579" s="240"/>
      <c r="W579" s="240"/>
      <c r="X579" s="240"/>
      <c r="Y579" s="240"/>
      <c r="Z579" s="240"/>
    </row>
    <row r="580" spans="1:26" ht="15.75" customHeight="1" x14ac:dyDescent="0.55000000000000004">
      <c r="A580" s="240"/>
      <c r="B580" s="240"/>
      <c r="C580" s="240"/>
      <c r="D580" s="240"/>
      <c r="E580" s="240"/>
      <c r="F580" s="240"/>
      <c r="G580" s="240"/>
      <c r="H580" s="240"/>
      <c r="I580" s="240"/>
      <c r="J580" s="240"/>
      <c r="K580" s="240"/>
      <c r="L580" s="240"/>
      <c r="M580" s="240"/>
      <c r="N580" s="240"/>
      <c r="O580" s="240"/>
      <c r="P580" s="240"/>
      <c r="Q580" s="240"/>
      <c r="R580" s="240"/>
      <c r="S580" s="240"/>
      <c r="T580" s="240"/>
      <c r="U580" s="240"/>
      <c r="V580" s="240"/>
      <c r="W580" s="240"/>
      <c r="X580" s="240"/>
      <c r="Y580" s="240"/>
      <c r="Z580" s="240"/>
    </row>
    <row r="581" spans="1:26" ht="15.75" customHeight="1" x14ac:dyDescent="0.55000000000000004">
      <c r="A581" s="240"/>
      <c r="B581" s="240"/>
      <c r="C581" s="240"/>
      <c r="D581" s="240"/>
      <c r="E581" s="240"/>
      <c r="F581" s="240"/>
      <c r="G581" s="240"/>
      <c r="H581" s="240"/>
      <c r="I581" s="240"/>
      <c r="J581" s="240"/>
      <c r="K581" s="240"/>
      <c r="L581" s="240"/>
      <c r="M581" s="240"/>
      <c r="N581" s="240"/>
      <c r="O581" s="240"/>
      <c r="P581" s="240"/>
      <c r="Q581" s="240"/>
      <c r="R581" s="240"/>
      <c r="S581" s="240"/>
      <c r="T581" s="240"/>
      <c r="U581" s="240"/>
      <c r="V581" s="240"/>
      <c r="W581" s="240"/>
      <c r="X581" s="240"/>
      <c r="Y581" s="240"/>
      <c r="Z581" s="240"/>
    </row>
    <row r="582" spans="1:26" ht="15.75" customHeight="1" x14ac:dyDescent="0.55000000000000004">
      <c r="A582" s="240"/>
      <c r="B582" s="240"/>
      <c r="C582" s="240"/>
      <c r="D582" s="240"/>
      <c r="E582" s="240"/>
      <c r="F582" s="240"/>
      <c r="G582" s="240"/>
      <c r="H582" s="240"/>
      <c r="I582" s="240"/>
      <c r="J582" s="240"/>
      <c r="K582" s="240"/>
      <c r="L582" s="240"/>
      <c r="M582" s="240"/>
      <c r="N582" s="240"/>
      <c r="O582" s="240"/>
      <c r="P582" s="240"/>
      <c r="Q582" s="240"/>
      <c r="R582" s="240"/>
      <c r="S582" s="240"/>
      <c r="T582" s="240"/>
      <c r="U582" s="240"/>
      <c r="V582" s="240"/>
      <c r="W582" s="240"/>
      <c r="X582" s="240"/>
      <c r="Y582" s="240"/>
      <c r="Z582" s="240"/>
    </row>
    <row r="583" spans="1:26" ht="15.75" customHeight="1" x14ac:dyDescent="0.55000000000000004">
      <c r="A583" s="240"/>
      <c r="B583" s="240"/>
      <c r="C583" s="240"/>
      <c r="D583" s="240"/>
      <c r="E583" s="240"/>
      <c r="F583" s="240"/>
      <c r="G583" s="240"/>
      <c r="H583" s="240"/>
      <c r="I583" s="240"/>
      <c r="J583" s="240"/>
      <c r="K583" s="240"/>
      <c r="L583" s="240"/>
      <c r="M583" s="240"/>
      <c r="N583" s="240"/>
      <c r="O583" s="240"/>
      <c r="P583" s="240"/>
      <c r="Q583" s="240"/>
      <c r="R583" s="240"/>
      <c r="S583" s="240"/>
      <c r="T583" s="240"/>
      <c r="U583" s="240"/>
      <c r="V583" s="240"/>
      <c r="W583" s="240"/>
      <c r="X583" s="240"/>
      <c r="Y583" s="240"/>
      <c r="Z583" s="240"/>
    </row>
    <row r="584" spans="1:26" ht="15.75" customHeight="1" x14ac:dyDescent="0.55000000000000004">
      <c r="A584" s="240"/>
      <c r="B584" s="240"/>
      <c r="C584" s="240"/>
      <c r="D584" s="240"/>
      <c r="E584" s="240"/>
      <c r="F584" s="240"/>
      <c r="G584" s="240"/>
      <c r="H584" s="240"/>
      <c r="I584" s="240"/>
      <c r="J584" s="240"/>
      <c r="K584" s="240"/>
      <c r="L584" s="240"/>
      <c r="M584" s="240"/>
      <c r="N584" s="240"/>
      <c r="O584" s="240"/>
      <c r="P584" s="240"/>
      <c r="Q584" s="240"/>
      <c r="R584" s="240"/>
      <c r="S584" s="240"/>
      <c r="T584" s="240"/>
      <c r="U584" s="240"/>
      <c r="V584" s="240"/>
      <c r="W584" s="240"/>
      <c r="X584" s="240"/>
      <c r="Y584" s="240"/>
      <c r="Z584" s="240"/>
    </row>
    <row r="585" spans="1:26" ht="15.75" customHeight="1" x14ac:dyDescent="0.55000000000000004">
      <c r="A585" s="240"/>
      <c r="B585" s="240"/>
      <c r="C585" s="240"/>
      <c r="D585" s="240"/>
      <c r="E585" s="240"/>
      <c r="F585" s="240"/>
      <c r="G585" s="240"/>
      <c r="H585" s="240"/>
      <c r="I585" s="240"/>
      <c r="J585" s="240"/>
      <c r="K585" s="240"/>
      <c r="L585" s="240"/>
      <c r="M585" s="240"/>
      <c r="N585" s="240"/>
      <c r="O585" s="240"/>
      <c r="P585" s="240"/>
      <c r="Q585" s="240"/>
      <c r="R585" s="240"/>
      <c r="S585" s="240"/>
      <c r="T585" s="240"/>
      <c r="U585" s="240"/>
      <c r="V585" s="240"/>
      <c r="W585" s="240"/>
      <c r="X585" s="240"/>
      <c r="Y585" s="240"/>
      <c r="Z585" s="240"/>
    </row>
    <row r="586" spans="1:26" ht="15.75" customHeight="1" x14ac:dyDescent="0.55000000000000004">
      <c r="A586" s="240"/>
      <c r="B586" s="240"/>
      <c r="C586" s="240"/>
      <c r="D586" s="240"/>
      <c r="E586" s="240"/>
      <c r="F586" s="240"/>
      <c r="G586" s="240"/>
      <c r="H586" s="240"/>
      <c r="I586" s="240"/>
      <c r="J586" s="240"/>
      <c r="K586" s="240"/>
      <c r="L586" s="240"/>
      <c r="M586" s="240"/>
      <c r="N586" s="240"/>
      <c r="O586" s="240"/>
      <c r="P586" s="240"/>
      <c r="Q586" s="240"/>
      <c r="R586" s="240"/>
      <c r="S586" s="240"/>
      <c r="T586" s="240"/>
      <c r="U586" s="240"/>
      <c r="V586" s="240"/>
      <c r="W586" s="240"/>
      <c r="X586" s="240"/>
      <c r="Y586" s="240"/>
      <c r="Z586" s="240"/>
    </row>
    <row r="587" spans="1:26" ht="15.75" customHeight="1" x14ac:dyDescent="0.55000000000000004">
      <c r="A587" s="240"/>
      <c r="B587" s="240"/>
      <c r="C587" s="240"/>
      <c r="D587" s="240"/>
      <c r="E587" s="240"/>
      <c r="F587" s="240"/>
      <c r="G587" s="240"/>
      <c r="H587" s="240"/>
      <c r="I587" s="240"/>
      <c r="J587" s="240"/>
      <c r="K587" s="240"/>
      <c r="L587" s="240"/>
      <c r="M587" s="240"/>
      <c r="N587" s="240"/>
      <c r="O587" s="240"/>
      <c r="P587" s="240"/>
      <c r="Q587" s="240"/>
      <c r="R587" s="240"/>
      <c r="S587" s="240"/>
      <c r="T587" s="240"/>
      <c r="U587" s="240"/>
      <c r="V587" s="240"/>
      <c r="W587" s="240"/>
      <c r="X587" s="240"/>
      <c r="Y587" s="240"/>
      <c r="Z587" s="240"/>
    </row>
    <row r="588" spans="1:26" ht="15.75" customHeight="1" x14ac:dyDescent="0.55000000000000004">
      <c r="A588" s="240"/>
      <c r="B588" s="240"/>
      <c r="C588" s="240"/>
      <c r="D588" s="240"/>
      <c r="E588" s="240"/>
      <c r="F588" s="240"/>
      <c r="G588" s="240"/>
      <c r="H588" s="240"/>
      <c r="I588" s="240"/>
      <c r="J588" s="240"/>
      <c r="K588" s="240"/>
      <c r="L588" s="240"/>
      <c r="M588" s="240"/>
      <c r="N588" s="240"/>
      <c r="O588" s="240"/>
      <c r="P588" s="240"/>
      <c r="Q588" s="240"/>
      <c r="R588" s="240"/>
      <c r="S588" s="240"/>
      <c r="T588" s="240"/>
      <c r="U588" s="240"/>
      <c r="V588" s="240"/>
      <c r="W588" s="240"/>
      <c r="X588" s="240"/>
      <c r="Y588" s="240"/>
      <c r="Z588" s="240"/>
    </row>
    <row r="589" spans="1:26" ht="15.75" customHeight="1" x14ac:dyDescent="0.55000000000000004">
      <c r="A589" s="240"/>
      <c r="B589" s="240"/>
      <c r="C589" s="240"/>
      <c r="D589" s="240"/>
      <c r="E589" s="240"/>
      <c r="F589" s="240"/>
      <c r="G589" s="240"/>
      <c r="H589" s="240"/>
      <c r="I589" s="240"/>
      <c r="J589" s="240"/>
      <c r="K589" s="240"/>
      <c r="L589" s="240"/>
      <c r="M589" s="240"/>
      <c r="N589" s="240"/>
      <c r="O589" s="240"/>
      <c r="P589" s="240"/>
      <c r="Q589" s="240"/>
      <c r="R589" s="240"/>
      <c r="S589" s="240"/>
      <c r="T589" s="240"/>
      <c r="U589" s="240"/>
      <c r="V589" s="240"/>
      <c r="W589" s="240"/>
      <c r="X589" s="240"/>
      <c r="Y589" s="240"/>
      <c r="Z589" s="240"/>
    </row>
    <row r="590" spans="1:26" ht="15.75" customHeight="1" x14ac:dyDescent="0.55000000000000004">
      <c r="A590" s="240"/>
      <c r="B590" s="240"/>
      <c r="C590" s="240"/>
      <c r="D590" s="240"/>
      <c r="E590" s="240"/>
      <c r="F590" s="240"/>
      <c r="G590" s="240"/>
      <c r="H590" s="240"/>
      <c r="I590" s="240"/>
      <c r="J590" s="240"/>
      <c r="K590" s="240"/>
      <c r="L590" s="240"/>
      <c r="M590" s="240"/>
      <c r="N590" s="240"/>
      <c r="O590" s="240"/>
      <c r="P590" s="240"/>
      <c r="Q590" s="240"/>
      <c r="R590" s="240"/>
      <c r="S590" s="240"/>
      <c r="T590" s="240"/>
      <c r="U590" s="240"/>
      <c r="V590" s="240"/>
      <c r="W590" s="240"/>
      <c r="X590" s="240"/>
      <c r="Y590" s="240"/>
      <c r="Z590" s="240"/>
    </row>
    <row r="591" spans="1:26" ht="15.75" customHeight="1" x14ac:dyDescent="0.55000000000000004">
      <c r="A591" s="240"/>
      <c r="B591" s="240"/>
      <c r="C591" s="240"/>
      <c r="D591" s="240"/>
      <c r="E591" s="240"/>
      <c r="F591" s="240"/>
      <c r="G591" s="240"/>
      <c r="H591" s="240"/>
      <c r="I591" s="240"/>
      <c r="J591" s="240"/>
      <c r="K591" s="240"/>
      <c r="L591" s="240"/>
      <c r="M591" s="240"/>
      <c r="N591" s="240"/>
      <c r="O591" s="240"/>
      <c r="P591" s="240"/>
      <c r="Q591" s="240"/>
      <c r="R591" s="240"/>
      <c r="S591" s="240"/>
      <c r="T591" s="240"/>
      <c r="U591" s="240"/>
      <c r="V591" s="240"/>
      <c r="W591" s="240"/>
      <c r="X591" s="240"/>
      <c r="Y591" s="240"/>
      <c r="Z591" s="240"/>
    </row>
    <row r="592" spans="1:26" ht="15.75" customHeight="1" x14ac:dyDescent="0.55000000000000004">
      <c r="A592" s="240"/>
      <c r="B592" s="240"/>
      <c r="C592" s="240"/>
      <c r="D592" s="240"/>
      <c r="E592" s="240"/>
      <c r="F592" s="240"/>
      <c r="G592" s="240"/>
      <c r="H592" s="240"/>
      <c r="I592" s="240"/>
      <c r="J592" s="240"/>
      <c r="K592" s="240"/>
      <c r="L592" s="240"/>
      <c r="M592" s="240"/>
      <c r="N592" s="240"/>
      <c r="O592" s="240"/>
      <c r="P592" s="240"/>
      <c r="Q592" s="240"/>
      <c r="R592" s="240"/>
      <c r="S592" s="240"/>
      <c r="T592" s="240"/>
      <c r="U592" s="240"/>
      <c r="V592" s="240"/>
      <c r="W592" s="240"/>
      <c r="X592" s="240"/>
      <c r="Y592" s="240"/>
      <c r="Z592" s="240"/>
    </row>
    <row r="593" spans="1:26" ht="15.75" customHeight="1" x14ac:dyDescent="0.55000000000000004">
      <c r="A593" s="240"/>
      <c r="B593" s="240"/>
      <c r="C593" s="240"/>
      <c r="D593" s="240"/>
      <c r="E593" s="240"/>
      <c r="F593" s="240"/>
      <c r="G593" s="240"/>
      <c r="H593" s="240"/>
      <c r="I593" s="240"/>
      <c r="J593" s="240"/>
      <c r="K593" s="240"/>
      <c r="L593" s="240"/>
      <c r="M593" s="240"/>
      <c r="N593" s="240"/>
      <c r="O593" s="240"/>
      <c r="P593" s="240"/>
      <c r="Q593" s="240"/>
      <c r="R593" s="240"/>
      <c r="S593" s="240"/>
      <c r="T593" s="240"/>
      <c r="U593" s="240"/>
      <c r="V593" s="240"/>
      <c r="W593" s="240"/>
      <c r="X593" s="240"/>
      <c r="Y593" s="240"/>
      <c r="Z593" s="240"/>
    </row>
    <row r="594" spans="1:26" ht="15.75" customHeight="1" x14ac:dyDescent="0.55000000000000004">
      <c r="A594" s="240"/>
      <c r="B594" s="240"/>
      <c r="C594" s="240"/>
      <c r="D594" s="240"/>
      <c r="E594" s="240"/>
      <c r="F594" s="240"/>
      <c r="G594" s="240"/>
      <c r="H594" s="240"/>
      <c r="I594" s="240"/>
      <c r="J594" s="240"/>
      <c r="K594" s="240"/>
      <c r="L594" s="240"/>
      <c r="M594" s="240"/>
      <c r="N594" s="240"/>
      <c r="O594" s="240"/>
      <c r="P594" s="240"/>
      <c r="Q594" s="240"/>
      <c r="R594" s="240"/>
      <c r="S594" s="240"/>
      <c r="T594" s="240"/>
      <c r="U594" s="240"/>
      <c r="V594" s="240"/>
      <c r="W594" s="240"/>
      <c r="X594" s="240"/>
      <c r="Y594" s="240"/>
      <c r="Z594" s="240"/>
    </row>
    <row r="595" spans="1:26" ht="15.75" customHeight="1" x14ac:dyDescent="0.55000000000000004">
      <c r="A595" s="240"/>
      <c r="B595" s="240"/>
      <c r="C595" s="240"/>
      <c r="D595" s="240"/>
      <c r="E595" s="240"/>
      <c r="F595" s="240"/>
      <c r="G595" s="240"/>
      <c r="H595" s="240"/>
      <c r="I595" s="240"/>
      <c r="J595" s="240"/>
      <c r="K595" s="240"/>
      <c r="L595" s="240"/>
      <c r="M595" s="240"/>
      <c r="N595" s="240"/>
      <c r="O595" s="240"/>
      <c r="P595" s="240"/>
      <c r="Q595" s="240"/>
      <c r="R595" s="240"/>
      <c r="S595" s="240"/>
      <c r="T595" s="240"/>
      <c r="U595" s="240"/>
      <c r="V595" s="240"/>
      <c r="W595" s="240"/>
      <c r="X595" s="240"/>
      <c r="Y595" s="240"/>
      <c r="Z595" s="240"/>
    </row>
    <row r="596" spans="1:26" ht="15.75" customHeight="1" x14ac:dyDescent="0.55000000000000004">
      <c r="A596" s="240"/>
      <c r="B596" s="240"/>
      <c r="C596" s="240"/>
      <c r="D596" s="240"/>
      <c r="E596" s="240"/>
      <c r="F596" s="240"/>
      <c r="G596" s="240"/>
      <c r="H596" s="240"/>
      <c r="I596" s="240"/>
      <c r="J596" s="240"/>
      <c r="K596" s="240"/>
      <c r="L596" s="240"/>
      <c r="M596" s="240"/>
      <c r="N596" s="240"/>
      <c r="O596" s="240"/>
      <c r="P596" s="240"/>
      <c r="Q596" s="240"/>
      <c r="R596" s="240"/>
      <c r="S596" s="240"/>
      <c r="T596" s="240"/>
      <c r="U596" s="240"/>
      <c r="V596" s="240"/>
      <c r="W596" s="240"/>
      <c r="X596" s="240"/>
      <c r="Y596" s="240"/>
      <c r="Z596" s="240"/>
    </row>
    <row r="597" spans="1:26" ht="15.75" customHeight="1" x14ac:dyDescent="0.55000000000000004">
      <c r="A597" s="240"/>
      <c r="B597" s="240"/>
      <c r="C597" s="240"/>
      <c r="D597" s="240"/>
      <c r="E597" s="240"/>
      <c r="F597" s="240"/>
      <c r="G597" s="240"/>
      <c r="H597" s="240"/>
      <c r="I597" s="240"/>
      <c r="J597" s="240"/>
      <c r="K597" s="240"/>
      <c r="L597" s="240"/>
      <c r="M597" s="240"/>
      <c r="N597" s="240"/>
      <c r="O597" s="240"/>
      <c r="P597" s="240"/>
      <c r="Q597" s="240"/>
      <c r="R597" s="240"/>
      <c r="S597" s="240"/>
      <c r="T597" s="240"/>
      <c r="U597" s="240"/>
      <c r="V597" s="240"/>
      <c r="W597" s="240"/>
      <c r="X597" s="240"/>
      <c r="Y597" s="240"/>
      <c r="Z597" s="240"/>
    </row>
    <row r="598" spans="1:26" ht="15.75" customHeight="1" x14ac:dyDescent="0.55000000000000004">
      <c r="A598" s="240"/>
      <c r="B598" s="240"/>
      <c r="C598" s="240"/>
      <c r="D598" s="240"/>
      <c r="E598" s="240"/>
      <c r="F598" s="240"/>
      <c r="G598" s="240"/>
      <c r="H598" s="240"/>
      <c r="I598" s="240"/>
      <c r="J598" s="240"/>
      <c r="K598" s="240"/>
      <c r="L598" s="240"/>
      <c r="M598" s="240"/>
      <c r="N598" s="240"/>
      <c r="O598" s="240"/>
      <c r="P598" s="240"/>
      <c r="Q598" s="240"/>
      <c r="R598" s="240"/>
      <c r="S598" s="240"/>
      <c r="T598" s="240"/>
      <c r="U598" s="240"/>
      <c r="V598" s="240"/>
      <c r="W598" s="240"/>
      <c r="X598" s="240"/>
      <c r="Y598" s="240"/>
      <c r="Z598" s="240"/>
    </row>
    <row r="599" spans="1:26" ht="15.75" customHeight="1" x14ac:dyDescent="0.55000000000000004">
      <c r="A599" s="240"/>
      <c r="B599" s="240"/>
      <c r="C599" s="240"/>
      <c r="D599" s="240"/>
      <c r="E599" s="240"/>
      <c r="F599" s="240"/>
      <c r="G599" s="240"/>
      <c r="H599" s="240"/>
      <c r="I599" s="240"/>
      <c r="J599" s="240"/>
      <c r="K599" s="240"/>
      <c r="L599" s="240"/>
      <c r="M599" s="240"/>
      <c r="N599" s="240"/>
      <c r="O599" s="240"/>
      <c r="P599" s="240"/>
      <c r="Q599" s="240"/>
      <c r="R599" s="240"/>
      <c r="S599" s="240"/>
      <c r="T599" s="240"/>
      <c r="U599" s="240"/>
      <c r="V599" s="240"/>
      <c r="W599" s="240"/>
      <c r="X599" s="240"/>
      <c r="Y599" s="240"/>
      <c r="Z599" s="240"/>
    </row>
    <row r="600" spans="1:26" ht="15.75" customHeight="1" x14ac:dyDescent="0.55000000000000004">
      <c r="A600" s="240"/>
      <c r="B600" s="240"/>
      <c r="C600" s="240"/>
      <c r="D600" s="240"/>
      <c r="E600" s="240"/>
      <c r="F600" s="240"/>
      <c r="G600" s="240"/>
      <c r="H600" s="240"/>
      <c r="I600" s="240"/>
      <c r="J600" s="240"/>
      <c r="K600" s="240"/>
      <c r="L600" s="240"/>
      <c r="M600" s="240"/>
      <c r="N600" s="240"/>
      <c r="O600" s="240"/>
      <c r="P600" s="240"/>
      <c r="Q600" s="240"/>
      <c r="R600" s="240"/>
      <c r="S600" s="240"/>
      <c r="T600" s="240"/>
      <c r="U600" s="240"/>
      <c r="V600" s="240"/>
      <c r="W600" s="240"/>
      <c r="X600" s="240"/>
      <c r="Y600" s="240"/>
      <c r="Z600" s="240"/>
    </row>
    <row r="601" spans="1:26" ht="15.75" customHeight="1" x14ac:dyDescent="0.55000000000000004">
      <c r="A601" s="240"/>
      <c r="B601" s="240"/>
      <c r="C601" s="240"/>
      <c r="D601" s="240"/>
      <c r="E601" s="240"/>
      <c r="F601" s="240"/>
      <c r="G601" s="240"/>
      <c r="H601" s="240"/>
      <c r="I601" s="240"/>
      <c r="J601" s="240"/>
      <c r="K601" s="240"/>
      <c r="L601" s="240"/>
      <c r="M601" s="240"/>
      <c r="N601" s="240"/>
      <c r="O601" s="240"/>
      <c r="P601" s="240"/>
      <c r="Q601" s="240"/>
      <c r="R601" s="240"/>
      <c r="S601" s="240"/>
      <c r="T601" s="240"/>
      <c r="U601" s="240"/>
      <c r="V601" s="240"/>
      <c r="W601" s="240"/>
      <c r="X601" s="240"/>
      <c r="Y601" s="240"/>
      <c r="Z601" s="240"/>
    </row>
    <row r="602" spans="1:26" ht="15.75" customHeight="1" x14ac:dyDescent="0.55000000000000004">
      <c r="A602" s="240"/>
      <c r="B602" s="240"/>
      <c r="C602" s="240"/>
      <c r="D602" s="240"/>
      <c r="E602" s="240"/>
      <c r="F602" s="240"/>
      <c r="G602" s="240"/>
      <c r="H602" s="240"/>
      <c r="I602" s="240"/>
      <c r="J602" s="240"/>
      <c r="K602" s="240"/>
      <c r="L602" s="240"/>
      <c r="M602" s="240"/>
      <c r="N602" s="240"/>
      <c r="O602" s="240"/>
      <c r="P602" s="240"/>
      <c r="Q602" s="240"/>
      <c r="R602" s="240"/>
      <c r="S602" s="240"/>
      <c r="T602" s="240"/>
      <c r="U602" s="240"/>
      <c r="V602" s="240"/>
      <c r="W602" s="240"/>
      <c r="X602" s="240"/>
      <c r="Y602" s="240"/>
      <c r="Z602" s="240"/>
    </row>
    <row r="603" spans="1:26" ht="15.75" customHeight="1" x14ac:dyDescent="0.55000000000000004">
      <c r="A603" s="240"/>
      <c r="B603" s="240"/>
      <c r="C603" s="240"/>
      <c r="D603" s="240"/>
      <c r="E603" s="240"/>
      <c r="F603" s="240"/>
      <c r="G603" s="240"/>
      <c r="H603" s="240"/>
      <c r="I603" s="240"/>
      <c r="J603" s="240"/>
      <c r="K603" s="240"/>
      <c r="L603" s="240"/>
      <c r="M603" s="240"/>
      <c r="N603" s="240"/>
      <c r="O603" s="240"/>
      <c r="P603" s="240"/>
      <c r="Q603" s="240"/>
      <c r="R603" s="240"/>
      <c r="S603" s="240"/>
      <c r="T603" s="240"/>
      <c r="U603" s="240"/>
      <c r="V603" s="240"/>
      <c r="W603" s="240"/>
      <c r="X603" s="240"/>
      <c r="Y603" s="240"/>
      <c r="Z603" s="240"/>
    </row>
    <row r="604" spans="1:26" ht="15.75" customHeight="1" x14ac:dyDescent="0.55000000000000004">
      <c r="A604" s="240"/>
      <c r="B604" s="240"/>
      <c r="C604" s="240"/>
      <c r="D604" s="240"/>
      <c r="E604" s="240"/>
      <c r="F604" s="240"/>
      <c r="G604" s="240"/>
      <c r="H604" s="240"/>
      <c r="I604" s="240"/>
      <c r="J604" s="240"/>
      <c r="K604" s="240"/>
      <c r="L604" s="240"/>
      <c r="M604" s="240"/>
      <c r="N604" s="240"/>
      <c r="O604" s="240"/>
      <c r="P604" s="240"/>
      <c r="Q604" s="240"/>
      <c r="R604" s="240"/>
      <c r="S604" s="240"/>
      <c r="T604" s="240"/>
      <c r="U604" s="240"/>
      <c r="V604" s="240"/>
      <c r="W604" s="240"/>
      <c r="X604" s="240"/>
      <c r="Y604" s="240"/>
      <c r="Z604" s="240"/>
    </row>
    <row r="605" spans="1:26" ht="15.75" customHeight="1" x14ac:dyDescent="0.55000000000000004">
      <c r="A605" s="240"/>
      <c r="B605" s="240"/>
      <c r="C605" s="240"/>
      <c r="D605" s="240"/>
      <c r="E605" s="240"/>
      <c r="F605" s="240"/>
      <c r="G605" s="240"/>
      <c r="H605" s="240"/>
      <c r="I605" s="240"/>
      <c r="J605" s="240"/>
      <c r="K605" s="240"/>
      <c r="L605" s="240"/>
      <c r="M605" s="240"/>
      <c r="N605" s="240"/>
      <c r="O605" s="240"/>
      <c r="P605" s="240"/>
      <c r="Q605" s="240"/>
      <c r="R605" s="240"/>
      <c r="S605" s="240"/>
      <c r="T605" s="240"/>
      <c r="U605" s="240"/>
      <c r="V605" s="240"/>
      <c r="W605" s="240"/>
      <c r="X605" s="240"/>
      <c r="Y605" s="240"/>
      <c r="Z605" s="240"/>
    </row>
    <row r="606" spans="1:26" ht="15.75" customHeight="1" x14ac:dyDescent="0.55000000000000004">
      <c r="A606" s="240"/>
      <c r="B606" s="240"/>
      <c r="C606" s="240"/>
      <c r="D606" s="240"/>
      <c r="E606" s="240"/>
      <c r="F606" s="240"/>
      <c r="G606" s="240"/>
      <c r="H606" s="240"/>
      <c r="I606" s="240"/>
      <c r="J606" s="240"/>
      <c r="K606" s="240"/>
      <c r="L606" s="240"/>
      <c r="M606" s="240"/>
      <c r="N606" s="240"/>
      <c r="O606" s="240"/>
      <c r="P606" s="240"/>
      <c r="Q606" s="240"/>
      <c r="R606" s="240"/>
      <c r="S606" s="240"/>
      <c r="T606" s="240"/>
      <c r="U606" s="240"/>
      <c r="V606" s="240"/>
      <c r="W606" s="240"/>
      <c r="X606" s="240"/>
      <c r="Y606" s="240"/>
      <c r="Z606" s="240"/>
    </row>
    <row r="607" spans="1:26" ht="15.75" customHeight="1" x14ac:dyDescent="0.55000000000000004">
      <c r="A607" s="240"/>
      <c r="B607" s="240"/>
      <c r="C607" s="240"/>
      <c r="D607" s="240"/>
      <c r="E607" s="240"/>
      <c r="F607" s="240"/>
      <c r="G607" s="240"/>
      <c r="H607" s="240"/>
      <c r="I607" s="240"/>
      <c r="J607" s="240"/>
      <c r="K607" s="240"/>
      <c r="L607" s="240"/>
      <c r="M607" s="240"/>
      <c r="N607" s="240"/>
      <c r="O607" s="240"/>
      <c r="P607" s="240"/>
      <c r="Q607" s="240"/>
      <c r="R607" s="240"/>
      <c r="S607" s="240"/>
      <c r="T607" s="240"/>
      <c r="U607" s="240"/>
      <c r="V607" s="240"/>
      <c r="W607" s="240"/>
      <c r="X607" s="240"/>
      <c r="Y607" s="240"/>
      <c r="Z607" s="240"/>
    </row>
    <row r="608" spans="1:26" ht="15.75" customHeight="1" x14ac:dyDescent="0.55000000000000004">
      <c r="A608" s="240"/>
      <c r="B608" s="240"/>
      <c r="C608" s="240"/>
      <c r="D608" s="240"/>
      <c r="E608" s="240"/>
      <c r="F608" s="240"/>
      <c r="G608" s="240"/>
      <c r="H608" s="240"/>
      <c r="I608" s="240"/>
      <c r="J608" s="240"/>
      <c r="K608" s="240"/>
      <c r="L608" s="240"/>
      <c r="M608" s="240"/>
      <c r="N608" s="240"/>
      <c r="O608" s="240"/>
      <c r="P608" s="240"/>
      <c r="Q608" s="240"/>
      <c r="R608" s="240"/>
      <c r="S608" s="240"/>
      <c r="T608" s="240"/>
      <c r="U608" s="240"/>
      <c r="V608" s="240"/>
      <c r="W608" s="240"/>
      <c r="X608" s="240"/>
      <c r="Y608" s="240"/>
      <c r="Z608" s="240"/>
    </row>
    <row r="609" spans="1:26" ht="15.75" customHeight="1" x14ac:dyDescent="0.55000000000000004">
      <c r="A609" s="240"/>
      <c r="B609" s="240"/>
      <c r="C609" s="240"/>
      <c r="D609" s="240"/>
      <c r="E609" s="240"/>
      <c r="F609" s="240"/>
      <c r="G609" s="240"/>
      <c r="H609" s="240"/>
      <c r="I609" s="240"/>
      <c r="J609" s="240"/>
      <c r="K609" s="240"/>
      <c r="L609" s="240"/>
      <c r="M609" s="240"/>
      <c r="N609" s="240"/>
      <c r="O609" s="240"/>
      <c r="P609" s="240"/>
      <c r="Q609" s="240"/>
      <c r="R609" s="240"/>
      <c r="S609" s="240"/>
      <c r="T609" s="240"/>
      <c r="U609" s="240"/>
      <c r="V609" s="240"/>
      <c r="W609" s="240"/>
      <c r="X609" s="240"/>
      <c r="Y609" s="240"/>
      <c r="Z609" s="240"/>
    </row>
    <row r="610" spans="1:26" ht="15.75" customHeight="1" x14ac:dyDescent="0.55000000000000004">
      <c r="A610" s="240"/>
      <c r="B610" s="240"/>
      <c r="C610" s="240"/>
      <c r="D610" s="240"/>
      <c r="E610" s="240"/>
      <c r="F610" s="240"/>
      <c r="G610" s="240"/>
      <c r="H610" s="240"/>
      <c r="I610" s="240"/>
      <c r="J610" s="240"/>
      <c r="K610" s="240"/>
      <c r="L610" s="240"/>
      <c r="M610" s="240"/>
      <c r="N610" s="240"/>
      <c r="O610" s="240"/>
      <c r="P610" s="240"/>
      <c r="Q610" s="240"/>
      <c r="R610" s="240"/>
      <c r="S610" s="240"/>
      <c r="T610" s="240"/>
      <c r="U610" s="240"/>
      <c r="V610" s="240"/>
      <c r="W610" s="240"/>
      <c r="X610" s="240"/>
      <c r="Y610" s="240"/>
      <c r="Z610" s="240"/>
    </row>
    <row r="611" spans="1:26" ht="15.75" customHeight="1" x14ac:dyDescent="0.55000000000000004">
      <c r="A611" s="240"/>
      <c r="B611" s="240"/>
      <c r="C611" s="240"/>
      <c r="D611" s="240"/>
      <c r="E611" s="240"/>
      <c r="F611" s="240"/>
      <c r="G611" s="240"/>
      <c r="H611" s="240"/>
      <c r="I611" s="240"/>
      <c r="J611" s="240"/>
      <c r="K611" s="240"/>
      <c r="L611" s="240"/>
      <c r="M611" s="240"/>
      <c r="N611" s="240"/>
      <c r="O611" s="240"/>
      <c r="P611" s="240"/>
      <c r="Q611" s="240"/>
      <c r="R611" s="240"/>
      <c r="S611" s="240"/>
      <c r="T611" s="240"/>
      <c r="U611" s="240"/>
      <c r="V611" s="240"/>
      <c r="W611" s="240"/>
      <c r="X611" s="240"/>
      <c r="Y611" s="240"/>
      <c r="Z611" s="240"/>
    </row>
    <row r="612" spans="1:26" ht="15.75" customHeight="1" x14ac:dyDescent="0.55000000000000004">
      <c r="A612" s="240"/>
      <c r="B612" s="240"/>
      <c r="C612" s="240"/>
      <c r="D612" s="240"/>
      <c r="E612" s="240"/>
      <c r="F612" s="240"/>
      <c r="G612" s="240"/>
      <c r="H612" s="240"/>
      <c r="I612" s="240"/>
      <c r="J612" s="240"/>
      <c r="K612" s="240"/>
      <c r="L612" s="240"/>
      <c r="M612" s="240"/>
      <c r="N612" s="240"/>
      <c r="O612" s="240"/>
      <c r="P612" s="240"/>
      <c r="Q612" s="240"/>
      <c r="R612" s="240"/>
      <c r="S612" s="240"/>
      <c r="T612" s="240"/>
      <c r="U612" s="240"/>
      <c r="V612" s="240"/>
      <c r="W612" s="240"/>
      <c r="X612" s="240"/>
      <c r="Y612" s="240"/>
      <c r="Z612" s="240"/>
    </row>
    <row r="613" spans="1:26" ht="15.75" customHeight="1" x14ac:dyDescent="0.55000000000000004">
      <c r="A613" s="240"/>
      <c r="B613" s="240"/>
      <c r="C613" s="240"/>
      <c r="D613" s="240"/>
      <c r="E613" s="240"/>
      <c r="F613" s="240"/>
      <c r="G613" s="240"/>
      <c r="H613" s="240"/>
      <c r="I613" s="240"/>
      <c r="J613" s="240"/>
      <c r="K613" s="240"/>
      <c r="L613" s="240"/>
      <c r="M613" s="240"/>
      <c r="N613" s="240"/>
      <c r="O613" s="240"/>
      <c r="P613" s="240"/>
      <c r="Q613" s="240"/>
      <c r="R613" s="240"/>
      <c r="S613" s="240"/>
      <c r="T613" s="240"/>
      <c r="U613" s="240"/>
      <c r="V613" s="240"/>
      <c r="W613" s="240"/>
      <c r="X613" s="240"/>
      <c r="Y613" s="240"/>
      <c r="Z613" s="240"/>
    </row>
    <row r="614" spans="1:26" ht="15.75" customHeight="1" x14ac:dyDescent="0.55000000000000004">
      <c r="A614" s="240"/>
      <c r="B614" s="240"/>
      <c r="C614" s="240"/>
      <c r="D614" s="240"/>
      <c r="E614" s="240"/>
      <c r="F614" s="240"/>
      <c r="G614" s="240"/>
      <c r="H614" s="240"/>
      <c r="I614" s="240"/>
      <c r="J614" s="240"/>
      <c r="K614" s="240"/>
      <c r="L614" s="240"/>
      <c r="M614" s="240"/>
      <c r="N614" s="240"/>
      <c r="O614" s="240"/>
      <c r="P614" s="240"/>
      <c r="Q614" s="240"/>
      <c r="R614" s="240"/>
      <c r="S614" s="240"/>
      <c r="T614" s="240"/>
      <c r="U614" s="240"/>
      <c r="V614" s="240"/>
      <c r="W614" s="240"/>
      <c r="X614" s="240"/>
      <c r="Y614" s="240"/>
      <c r="Z614" s="240"/>
    </row>
    <row r="615" spans="1:26" ht="15.75" customHeight="1" x14ac:dyDescent="0.55000000000000004">
      <c r="A615" s="240"/>
      <c r="B615" s="240"/>
      <c r="C615" s="240"/>
      <c r="D615" s="240"/>
      <c r="E615" s="240"/>
      <c r="F615" s="240"/>
      <c r="G615" s="240"/>
      <c r="H615" s="240"/>
      <c r="I615" s="240"/>
      <c r="J615" s="240"/>
      <c r="K615" s="240"/>
      <c r="L615" s="240"/>
      <c r="M615" s="240"/>
      <c r="N615" s="240"/>
      <c r="O615" s="240"/>
      <c r="P615" s="240"/>
      <c r="Q615" s="240"/>
      <c r="R615" s="240"/>
      <c r="S615" s="240"/>
      <c r="T615" s="240"/>
      <c r="U615" s="240"/>
      <c r="V615" s="240"/>
      <c r="W615" s="240"/>
      <c r="X615" s="240"/>
      <c r="Y615" s="240"/>
      <c r="Z615" s="240"/>
    </row>
    <row r="616" spans="1:26" ht="15.75" customHeight="1" x14ac:dyDescent="0.55000000000000004">
      <c r="A616" s="240"/>
      <c r="B616" s="240"/>
      <c r="C616" s="240"/>
      <c r="D616" s="240"/>
      <c r="E616" s="240"/>
      <c r="F616" s="240"/>
      <c r="G616" s="240"/>
      <c r="H616" s="240"/>
      <c r="I616" s="240"/>
      <c r="J616" s="240"/>
      <c r="K616" s="240"/>
      <c r="L616" s="240"/>
      <c r="M616" s="240"/>
      <c r="N616" s="240"/>
      <c r="O616" s="240"/>
      <c r="P616" s="240"/>
      <c r="Q616" s="240"/>
      <c r="R616" s="240"/>
      <c r="S616" s="240"/>
      <c r="T616" s="240"/>
      <c r="U616" s="240"/>
      <c r="V616" s="240"/>
      <c r="W616" s="240"/>
      <c r="X616" s="240"/>
      <c r="Y616" s="240"/>
      <c r="Z616" s="240"/>
    </row>
    <row r="617" spans="1:26" ht="15.75" customHeight="1" x14ac:dyDescent="0.55000000000000004">
      <c r="A617" s="240"/>
      <c r="B617" s="240"/>
      <c r="C617" s="240"/>
      <c r="D617" s="240"/>
      <c r="E617" s="240"/>
      <c r="F617" s="240"/>
      <c r="G617" s="240"/>
      <c r="H617" s="240"/>
      <c r="I617" s="240"/>
      <c r="J617" s="240"/>
      <c r="K617" s="240"/>
      <c r="L617" s="240"/>
      <c r="M617" s="240"/>
      <c r="N617" s="240"/>
      <c r="O617" s="240"/>
      <c r="P617" s="240"/>
      <c r="Q617" s="240"/>
      <c r="R617" s="240"/>
      <c r="S617" s="240"/>
      <c r="T617" s="240"/>
      <c r="U617" s="240"/>
      <c r="V617" s="240"/>
      <c r="W617" s="240"/>
      <c r="X617" s="240"/>
      <c r="Y617" s="240"/>
      <c r="Z617" s="240"/>
    </row>
    <row r="618" spans="1:26" ht="15.75" customHeight="1" x14ac:dyDescent="0.55000000000000004">
      <c r="A618" s="240"/>
      <c r="B618" s="240"/>
      <c r="C618" s="240"/>
      <c r="D618" s="240"/>
      <c r="E618" s="240"/>
      <c r="F618" s="240"/>
      <c r="G618" s="240"/>
      <c r="H618" s="240"/>
      <c r="I618" s="240"/>
      <c r="J618" s="240"/>
      <c r="K618" s="240"/>
      <c r="L618" s="240"/>
      <c r="M618" s="240"/>
      <c r="N618" s="240"/>
      <c r="O618" s="240"/>
      <c r="P618" s="240"/>
      <c r="Q618" s="240"/>
      <c r="R618" s="240"/>
      <c r="S618" s="240"/>
      <c r="T618" s="240"/>
      <c r="U618" s="240"/>
      <c r="V618" s="240"/>
      <c r="W618" s="240"/>
      <c r="X618" s="240"/>
      <c r="Y618" s="240"/>
      <c r="Z618" s="240"/>
    </row>
    <row r="619" spans="1:26" ht="15.75" customHeight="1" x14ac:dyDescent="0.55000000000000004">
      <c r="A619" s="240"/>
      <c r="B619" s="240"/>
      <c r="C619" s="240"/>
      <c r="D619" s="240"/>
      <c r="E619" s="240"/>
      <c r="F619" s="240"/>
      <c r="G619" s="240"/>
      <c r="H619" s="240"/>
      <c r="I619" s="240"/>
      <c r="J619" s="240"/>
      <c r="K619" s="240"/>
      <c r="L619" s="240"/>
      <c r="M619" s="240"/>
      <c r="N619" s="240"/>
      <c r="O619" s="240"/>
      <c r="P619" s="240"/>
      <c r="Q619" s="240"/>
      <c r="R619" s="240"/>
      <c r="S619" s="240"/>
      <c r="T619" s="240"/>
      <c r="U619" s="240"/>
      <c r="V619" s="240"/>
      <c r="W619" s="240"/>
      <c r="X619" s="240"/>
      <c r="Y619" s="240"/>
      <c r="Z619" s="240"/>
    </row>
    <row r="620" spans="1:26" ht="15.75" customHeight="1" x14ac:dyDescent="0.55000000000000004">
      <c r="A620" s="240"/>
      <c r="B620" s="240"/>
      <c r="C620" s="240"/>
      <c r="D620" s="240"/>
      <c r="E620" s="240"/>
      <c r="F620" s="240"/>
      <c r="G620" s="240"/>
      <c r="H620" s="240"/>
      <c r="I620" s="240"/>
      <c r="J620" s="240"/>
      <c r="K620" s="240"/>
      <c r="L620" s="240"/>
      <c r="M620" s="240"/>
      <c r="N620" s="240"/>
      <c r="O620" s="240"/>
      <c r="P620" s="240"/>
      <c r="Q620" s="240"/>
      <c r="R620" s="240"/>
      <c r="S620" s="240"/>
      <c r="T620" s="240"/>
      <c r="U620" s="240"/>
      <c r="V620" s="240"/>
      <c r="W620" s="240"/>
      <c r="X620" s="240"/>
      <c r="Y620" s="240"/>
      <c r="Z620" s="240"/>
    </row>
    <row r="621" spans="1:26" ht="15.75" customHeight="1" x14ac:dyDescent="0.55000000000000004">
      <c r="A621" s="240"/>
      <c r="B621" s="240"/>
      <c r="C621" s="240"/>
      <c r="D621" s="240"/>
      <c r="E621" s="240"/>
      <c r="F621" s="240"/>
      <c r="G621" s="240"/>
      <c r="H621" s="240"/>
      <c r="I621" s="240"/>
      <c r="J621" s="240"/>
      <c r="K621" s="240"/>
      <c r="L621" s="240"/>
      <c r="M621" s="240"/>
      <c r="N621" s="240"/>
      <c r="O621" s="240"/>
      <c r="P621" s="240"/>
      <c r="Q621" s="240"/>
      <c r="R621" s="240"/>
      <c r="S621" s="240"/>
      <c r="T621" s="240"/>
      <c r="U621" s="240"/>
      <c r="V621" s="240"/>
      <c r="W621" s="240"/>
      <c r="X621" s="240"/>
      <c r="Y621" s="240"/>
      <c r="Z621" s="240"/>
    </row>
    <row r="622" spans="1:26" ht="15.75" customHeight="1" x14ac:dyDescent="0.55000000000000004">
      <c r="A622" s="240"/>
      <c r="B622" s="240"/>
      <c r="C622" s="240"/>
      <c r="D622" s="240"/>
      <c r="E622" s="240"/>
      <c r="F622" s="240"/>
      <c r="G622" s="240"/>
      <c r="H622" s="240"/>
      <c r="I622" s="240"/>
      <c r="J622" s="240"/>
      <c r="K622" s="240"/>
      <c r="L622" s="240"/>
      <c r="M622" s="240"/>
      <c r="N622" s="240"/>
      <c r="O622" s="240"/>
      <c r="P622" s="240"/>
      <c r="Q622" s="240"/>
      <c r="R622" s="240"/>
      <c r="S622" s="240"/>
      <c r="T622" s="240"/>
      <c r="U622" s="240"/>
      <c r="V622" s="240"/>
      <c r="W622" s="240"/>
      <c r="X622" s="240"/>
      <c r="Y622" s="240"/>
      <c r="Z622" s="240"/>
    </row>
    <row r="623" spans="1:26" ht="15.75" customHeight="1" x14ac:dyDescent="0.55000000000000004">
      <c r="A623" s="240"/>
      <c r="B623" s="240"/>
      <c r="C623" s="240"/>
      <c r="D623" s="240"/>
      <c r="E623" s="240"/>
      <c r="F623" s="240"/>
      <c r="G623" s="240"/>
      <c r="H623" s="240"/>
      <c r="I623" s="240"/>
      <c r="J623" s="240"/>
      <c r="K623" s="240"/>
      <c r="L623" s="240"/>
      <c r="M623" s="240"/>
      <c r="N623" s="240"/>
      <c r="O623" s="240"/>
      <c r="P623" s="240"/>
      <c r="Q623" s="240"/>
      <c r="R623" s="240"/>
      <c r="S623" s="240"/>
      <c r="T623" s="240"/>
      <c r="U623" s="240"/>
      <c r="V623" s="240"/>
      <c r="W623" s="240"/>
      <c r="X623" s="240"/>
      <c r="Y623" s="240"/>
      <c r="Z623" s="240"/>
    </row>
    <row r="624" spans="1:26" ht="15.75" customHeight="1" x14ac:dyDescent="0.55000000000000004">
      <c r="A624" s="240"/>
      <c r="B624" s="240"/>
      <c r="C624" s="240"/>
      <c r="D624" s="240"/>
      <c r="E624" s="240"/>
      <c r="F624" s="240"/>
      <c r="G624" s="240"/>
      <c r="H624" s="240"/>
      <c r="I624" s="240"/>
      <c r="J624" s="240"/>
      <c r="K624" s="240"/>
      <c r="L624" s="240"/>
      <c r="M624" s="240"/>
      <c r="N624" s="240"/>
      <c r="O624" s="240"/>
      <c r="P624" s="240"/>
      <c r="Q624" s="240"/>
      <c r="R624" s="240"/>
      <c r="S624" s="240"/>
      <c r="T624" s="240"/>
      <c r="U624" s="240"/>
      <c r="V624" s="240"/>
      <c r="W624" s="240"/>
      <c r="X624" s="240"/>
      <c r="Y624" s="240"/>
      <c r="Z624" s="240"/>
    </row>
    <row r="625" spans="1:26" ht="15.75" customHeight="1" x14ac:dyDescent="0.55000000000000004">
      <c r="A625" s="240"/>
      <c r="B625" s="240"/>
      <c r="C625" s="240"/>
      <c r="D625" s="240"/>
      <c r="E625" s="240"/>
      <c r="F625" s="240"/>
      <c r="G625" s="240"/>
      <c r="H625" s="240"/>
      <c r="I625" s="240"/>
      <c r="J625" s="240"/>
      <c r="K625" s="240"/>
      <c r="L625" s="240"/>
      <c r="M625" s="240"/>
      <c r="N625" s="240"/>
      <c r="O625" s="240"/>
      <c r="P625" s="240"/>
      <c r="Q625" s="240"/>
      <c r="R625" s="240"/>
      <c r="S625" s="240"/>
      <c r="T625" s="240"/>
      <c r="U625" s="240"/>
      <c r="V625" s="240"/>
      <c r="W625" s="240"/>
      <c r="X625" s="240"/>
      <c r="Y625" s="240"/>
      <c r="Z625" s="240"/>
    </row>
    <row r="626" spans="1:26" ht="15.75" customHeight="1" x14ac:dyDescent="0.55000000000000004">
      <c r="A626" s="240"/>
      <c r="B626" s="240"/>
      <c r="C626" s="240"/>
      <c r="D626" s="240"/>
      <c r="E626" s="240"/>
      <c r="F626" s="240"/>
      <c r="G626" s="240"/>
      <c r="H626" s="240"/>
      <c r="I626" s="240"/>
      <c r="J626" s="240"/>
      <c r="K626" s="240"/>
      <c r="L626" s="240"/>
      <c r="M626" s="240"/>
      <c r="N626" s="240"/>
      <c r="O626" s="240"/>
      <c r="P626" s="240"/>
      <c r="Q626" s="240"/>
      <c r="R626" s="240"/>
      <c r="S626" s="240"/>
      <c r="T626" s="240"/>
      <c r="U626" s="240"/>
      <c r="V626" s="240"/>
      <c r="W626" s="240"/>
      <c r="X626" s="240"/>
      <c r="Y626" s="240"/>
      <c r="Z626" s="240"/>
    </row>
    <row r="627" spans="1:26" ht="15.75" customHeight="1" x14ac:dyDescent="0.55000000000000004">
      <c r="A627" s="240"/>
      <c r="B627" s="240"/>
      <c r="C627" s="240"/>
      <c r="D627" s="240"/>
      <c r="E627" s="240"/>
      <c r="F627" s="240"/>
      <c r="G627" s="240"/>
      <c r="H627" s="240"/>
      <c r="I627" s="240"/>
      <c r="J627" s="240"/>
      <c r="K627" s="240"/>
      <c r="L627" s="240"/>
      <c r="M627" s="240"/>
      <c r="N627" s="240"/>
      <c r="O627" s="240"/>
      <c r="P627" s="240"/>
      <c r="Q627" s="240"/>
      <c r="R627" s="240"/>
      <c r="S627" s="240"/>
      <c r="T627" s="240"/>
      <c r="U627" s="240"/>
      <c r="V627" s="240"/>
      <c r="W627" s="240"/>
      <c r="X627" s="240"/>
      <c r="Y627" s="240"/>
      <c r="Z627" s="240"/>
    </row>
    <row r="628" spans="1:26" ht="15.75" customHeight="1" x14ac:dyDescent="0.55000000000000004">
      <c r="A628" s="240"/>
      <c r="B628" s="240"/>
      <c r="C628" s="240"/>
      <c r="D628" s="240"/>
      <c r="E628" s="240"/>
      <c r="F628" s="240"/>
      <c r="G628" s="240"/>
      <c r="H628" s="240"/>
      <c r="I628" s="240"/>
      <c r="J628" s="240"/>
      <c r="K628" s="240"/>
      <c r="L628" s="240"/>
      <c r="M628" s="240"/>
      <c r="N628" s="240"/>
      <c r="O628" s="240"/>
      <c r="P628" s="240"/>
      <c r="Q628" s="240"/>
      <c r="R628" s="240"/>
      <c r="S628" s="240"/>
      <c r="T628" s="240"/>
      <c r="U628" s="240"/>
      <c r="V628" s="240"/>
      <c r="W628" s="240"/>
      <c r="X628" s="240"/>
      <c r="Y628" s="240"/>
      <c r="Z628" s="240"/>
    </row>
    <row r="629" spans="1:26" ht="15.75" customHeight="1" x14ac:dyDescent="0.55000000000000004">
      <c r="A629" s="240"/>
      <c r="B629" s="240"/>
      <c r="C629" s="240"/>
      <c r="D629" s="240"/>
      <c r="E629" s="240"/>
      <c r="F629" s="240"/>
      <c r="G629" s="240"/>
      <c r="H629" s="240"/>
      <c r="I629" s="240"/>
      <c r="J629" s="240"/>
      <c r="K629" s="240"/>
      <c r="L629" s="240"/>
      <c r="M629" s="240"/>
      <c r="N629" s="240"/>
      <c r="O629" s="240"/>
      <c r="P629" s="240"/>
      <c r="Q629" s="240"/>
      <c r="R629" s="240"/>
      <c r="S629" s="240"/>
      <c r="T629" s="240"/>
      <c r="U629" s="240"/>
      <c r="V629" s="240"/>
      <c r="W629" s="240"/>
      <c r="X629" s="240"/>
      <c r="Y629" s="240"/>
      <c r="Z629" s="240"/>
    </row>
    <row r="630" spans="1:26" ht="15.75" customHeight="1" x14ac:dyDescent="0.55000000000000004">
      <c r="A630" s="240"/>
      <c r="B630" s="240"/>
      <c r="C630" s="240"/>
      <c r="D630" s="240"/>
      <c r="E630" s="240"/>
      <c r="F630" s="240"/>
      <c r="G630" s="240"/>
      <c r="H630" s="240"/>
      <c r="I630" s="240"/>
      <c r="J630" s="240"/>
      <c r="K630" s="240"/>
      <c r="L630" s="240"/>
      <c r="M630" s="240"/>
      <c r="N630" s="240"/>
      <c r="O630" s="240"/>
      <c r="P630" s="240"/>
      <c r="Q630" s="240"/>
      <c r="R630" s="240"/>
      <c r="S630" s="240"/>
      <c r="T630" s="240"/>
      <c r="U630" s="240"/>
      <c r="V630" s="240"/>
      <c r="W630" s="240"/>
      <c r="X630" s="240"/>
      <c r="Y630" s="240"/>
      <c r="Z630" s="240"/>
    </row>
    <row r="631" spans="1:26" ht="15.75" customHeight="1" x14ac:dyDescent="0.55000000000000004">
      <c r="A631" s="240"/>
      <c r="B631" s="240"/>
      <c r="C631" s="240"/>
      <c r="D631" s="240"/>
      <c r="E631" s="240"/>
      <c r="F631" s="240"/>
      <c r="G631" s="240"/>
      <c r="H631" s="240"/>
      <c r="I631" s="240"/>
      <c r="J631" s="240"/>
      <c r="K631" s="240"/>
      <c r="L631" s="240"/>
      <c r="M631" s="240"/>
      <c r="N631" s="240"/>
      <c r="O631" s="240"/>
      <c r="P631" s="240"/>
      <c r="Q631" s="240"/>
      <c r="R631" s="240"/>
      <c r="S631" s="240"/>
      <c r="T631" s="240"/>
      <c r="U631" s="240"/>
      <c r="V631" s="240"/>
      <c r="W631" s="240"/>
      <c r="X631" s="240"/>
      <c r="Y631" s="240"/>
      <c r="Z631" s="240"/>
    </row>
    <row r="632" spans="1:26" ht="15.75" customHeight="1" x14ac:dyDescent="0.55000000000000004">
      <c r="A632" s="240"/>
      <c r="B632" s="240"/>
      <c r="C632" s="240"/>
      <c r="D632" s="240"/>
      <c r="E632" s="240"/>
      <c r="F632" s="240"/>
      <c r="G632" s="240"/>
      <c r="H632" s="240"/>
      <c r="I632" s="240"/>
      <c r="J632" s="240"/>
      <c r="K632" s="240"/>
      <c r="L632" s="240"/>
      <c r="M632" s="240"/>
      <c r="N632" s="240"/>
      <c r="O632" s="240"/>
      <c r="P632" s="240"/>
      <c r="Q632" s="240"/>
      <c r="R632" s="240"/>
      <c r="S632" s="240"/>
      <c r="T632" s="240"/>
      <c r="U632" s="240"/>
      <c r="V632" s="240"/>
      <c r="W632" s="240"/>
      <c r="X632" s="240"/>
      <c r="Y632" s="240"/>
      <c r="Z632" s="240"/>
    </row>
    <row r="633" spans="1:26" ht="15.75" customHeight="1" x14ac:dyDescent="0.55000000000000004">
      <c r="A633" s="240"/>
      <c r="B633" s="240"/>
      <c r="C633" s="240"/>
      <c r="D633" s="240"/>
      <c r="E633" s="240"/>
      <c r="F633" s="240"/>
      <c r="G633" s="240"/>
      <c r="H633" s="240"/>
      <c r="I633" s="240"/>
      <c r="J633" s="240"/>
      <c r="K633" s="240"/>
      <c r="L633" s="240"/>
      <c r="M633" s="240"/>
      <c r="N633" s="240"/>
      <c r="O633" s="240"/>
      <c r="P633" s="240"/>
      <c r="Q633" s="240"/>
      <c r="R633" s="240"/>
      <c r="S633" s="240"/>
      <c r="T633" s="240"/>
      <c r="U633" s="240"/>
      <c r="V633" s="240"/>
      <c r="W633" s="240"/>
      <c r="X633" s="240"/>
      <c r="Y633" s="240"/>
      <c r="Z633" s="240"/>
    </row>
    <row r="634" spans="1:26" ht="15.75" customHeight="1" x14ac:dyDescent="0.55000000000000004">
      <c r="A634" s="240"/>
      <c r="B634" s="240"/>
      <c r="C634" s="240"/>
      <c r="D634" s="240"/>
      <c r="E634" s="240"/>
      <c r="F634" s="240"/>
      <c r="G634" s="240"/>
      <c r="H634" s="240"/>
      <c r="I634" s="240"/>
      <c r="J634" s="240"/>
      <c r="K634" s="240"/>
      <c r="L634" s="240"/>
      <c r="M634" s="240"/>
      <c r="N634" s="240"/>
      <c r="O634" s="240"/>
      <c r="P634" s="240"/>
      <c r="Q634" s="240"/>
      <c r="R634" s="240"/>
      <c r="S634" s="240"/>
      <c r="T634" s="240"/>
      <c r="U634" s="240"/>
      <c r="V634" s="240"/>
      <c r="W634" s="240"/>
      <c r="X634" s="240"/>
      <c r="Y634" s="240"/>
      <c r="Z634" s="240"/>
    </row>
    <row r="635" spans="1:26" ht="15.75" customHeight="1" x14ac:dyDescent="0.55000000000000004">
      <c r="A635" s="240"/>
      <c r="B635" s="240"/>
      <c r="C635" s="240"/>
      <c r="D635" s="240"/>
      <c r="E635" s="240"/>
      <c r="F635" s="240"/>
      <c r="G635" s="240"/>
      <c r="H635" s="240"/>
      <c r="I635" s="240"/>
      <c r="J635" s="240"/>
      <c r="K635" s="240"/>
      <c r="L635" s="240"/>
      <c r="M635" s="240"/>
      <c r="N635" s="240"/>
      <c r="O635" s="240"/>
      <c r="P635" s="240"/>
      <c r="Q635" s="240"/>
      <c r="R635" s="240"/>
      <c r="S635" s="240"/>
      <c r="T635" s="240"/>
      <c r="U635" s="240"/>
      <c r="V635" s="240"/>
      <c r="W635" s="240"/>
      <c r="X635" s="240"/>
      <c r="Y635" s="240"/>
      <c r="Z635" s="240"/>
    </row>
    <row r="636" spans="1:26" ht="15.75" customHeight="1" x14ac:dyDescent="0.55000000000000004">
      <c r="A636" s="240"/>
      <c r="B636" s="240"/>
      <c r="C636" s="240"/>
      <c r="D636" s="240"/>
      <c r="E636" s="240"/>
      <c r="F636" s="240"/>
      <c r="G636" s="240"/>
      <c r="H636" s="240"/>
      <c r="I636" s="240"/>
      <c r="J636" s="240"/>
      <c r="K636" s="240"/>
      <c r="L636" s="240"/>
      <c r="M636" s="240"/>
      <c r="N636" s="240"/>
      <c r="O636" s="240"/>
      <c r="P636" s="240"/>
      <c r="Q636" s="240"/>
      <c r="R636" s="240"/>
      <c r="S636" s="240"/>
      <c r="T636" s="240"/>
      <c r="U636" s="240"/>
      <c r="V636" s="240"/>
      <c r="W636" s="240"/>
      <c r="X636" s="240"/>
      <c r="Y636" s="240"/>
      <c r="Z636" s="240"/>
    </row>
    <row r="637" spans="1:26" ht="15.75" customHeight="1" x14ac:dyDescent="0.55000000000000004">
      <c r="A637" s="240"/>
      <c r="B637" s="240"/>
      <c r="C637" s="240"/>
      <c r="D637" s="240"/>
      <c r="E637" s="240"/>
      <c r="F637" s="240"/>
      <c r="G637" s="240"/>
      <c r="H637" s="240"/>
      <c r="I637" s="240"/>
      <c r="J637" s="240"/>
      <c r="K637" s="240"/>
      <c r="L637" s="240"/>
      <c r="M637" s="240"/>
      <c r="N637" s="240"/>
      <c r="O637" s="240"/>
      <c r="P637" s="240"/>
      <c r="Q637" s="240"/>
      <c r="R637" s="240"/>
      <c r="S637" s="240"/>
      <c r="T637" s="240"/>
      <c r="U637" s="240"/>
      <c r="V637" s="240"/>
      <c r="W637" s="240"/>
      <c r="X637" s="240"/>
      <c r="Y637" s="240"/>
      <c r="Z637" s="240"/>
    </row>
    <row r="638" spans="1:26" ht="15.75" customHeight="1" x14ac:dyDescent="0.55000000000000004">
      <c r="A638" s="240"/>
      <c r="B638" s="240"/>
      <c r="C638" s="240"/>
      <c r="D638" s="240"/>
      <c r="E638" s="240"/>
      <c r="F638" s="240"/>
      <c r="G638" s="240"/>
      <c r="H638" s="240"/>
      <c r="I638" s="240"/>
      <c r="J638" s="240"/>
      <c r="K638" s="240"/>
      <c r="L638" s="240"/>
      <c r="M638" s="240"/>
      <c r="N638" s="240"/>
      <c r="O638" s="240"/>
      <c r="P638" s="240"/>
      <c r="Q638" s="240"/>
      <c r="R638" s="240"/>
      <c r="S638" s="240"/>
      <c r="T638" s="240"/>
      <c r="U638" s="240"/>
      <c r="V638" s="240"/>
      <c r="W638" s="240"/>
      <c r="X638" s="240"/>
      <c r="Y638" s="240"/>
      <c r="Z638" s="240"/>
    </row>
    <row r="639" spans="1:26" ht="15.75" customHeight="1" x14ac:dyDescent="0.55000000000000004">
      <c r="A639" s="240"/>
      <c r="B639" s="240"/>
      <c r="C639" s="240"/>
      <c r="D639" s="240"/>
      <c r="E639" s="240"/>
      <c r="F639" s="240"/>
      <c r="G639" s="240"/>
      <c r="H639" s="240"/>
      <c r="I639" s="240"/>
      <c r="J639" s="240"/>
      <c r="K639" s="240"/>
      <c r="L639" s="240"/>
      <c r="M639" s="240"/>
      <c r="N639" s="240"/>
      <c r="O639" s="240"/>
      <c r="P639" s="240"/>
      <c r="Q639" s="240"/>
      <c r="R639" s="240"/>
      <c r="S639" s="240"/>
      <c r="T639" s="240"/>
      <c r="U639" s="240"/>
      <c r="V639" s="240"/>
      <c r="W639" s="240"/>
      <c r="X639" s="240"/>
      <c r="Y639" s="240"/>
      <c r="Z639" s="240"/>
    </row>
    <row r="640" spans="1:26" ht="15.75" customHeight="1" x14ac:dyDescent="0.55000000000000004">
      <c r="A640" s="240"/>
      <c r="B640" s="240"/>
      <c r="C640" s="240"/>
      <c r="D640" s="240"/>
      <c r="E640" s="240"/>
      <c r="F640" s="240"/>
      <c r="G640" s="240"/>
      <c r="H640" s="240"/>
      <c r="I640" s="240"/>
      <c r="J640" s="240"/>
      <c r="K640" s="240"/>
      <c r="L640" s="240"/>
      <c r="M640" s="240"/>
      <c r="N640" s="240"/>
      <c r="O640" s="240"/>
      <c r="P640" s="240"/>
      <c r="Q640" s="240"/>
      <c r="R640" s="240"/>
      <c r="S640" s="240"/>
      <c r="T640" s="240"/>
      <c r="U640" s="240"/>
      <c r="V640" s="240"/>
      <c r="W640" s="240"/>
      <c r="X640" s="240"/>
      <c r="Y640" s="240"/>
      <c r="Z640" s="240"/>
    </row>
    <row r="641" spans="1:26" ht="15.75" customHeight="1" x14ac:dyDescent="0.55000000000000004">
      <c r="A641" s="240"/>
      <c r="B641" s="240"/>
      <c r="C641" s="240"/>
      <c r="D641" s="240"/>
      <c r="E641" s="240"/>
      <c r="F641" s="240"/>
      <c r="G641" s="240"/>
      <c r="H641" s="240"/>
      <c r="I641" s="240"/>
      <c r="J641" s="240"/>
      <c r="K641" s="240"/>
      <c r="L641" s="240"/>
      <c r="M641" s="240"/>
      <c r="N641" s="240"/>
      <c r="O641" s="240"/>
      <c r="P641" s="240"/>
      <c r="Q641" s="240"/>
      <c r="R641" s="240"/>
      <c r="S641" s="240"/>
      <c r="T641" s="240"/>
      <c r="U641" s="240"/>
      <c r="V641" s="240"/>
      <c r="W641" s="240"/>
      <c r="X641" s="240"/>
      <c r="Y641" s="240"/>
      <c r="Z641" s="240"/>
    </row>
    <row r="642" spans="1:26" ht="15.75" customHeight="1" x14ac:dyDescent="0.55000000000000004">
      <c r="A642" s="240"/>
      <c r="B642" s="240"/>
      <c r="C642" s="240"/>
      <c r="D642" s="240"/>
      <c r="E642" s="240"/>
      <c r="F642" s="240"/>
      <c r="G642" s="240"/>
      <c r="H642" s="240"/>
      <c r="I642" s="240"/>
      <c r="J642" s="240"/>
      <c r="K642" s="240"/>
      <c r="L642" s="240"/>
      <c r="M642" s="240"/>
      <c r="N642" s="240"/>
      <c r="O642" s="240"/>
      <c r="P642" s="240"/>
      <c r="Q642" s="240"/>
      <c r="R642" s="240"/>
      <c r="S642" s="240"/>
      <c r="T642" s="240"/>
      <c r="U642" s="240"/>
      <c r="V642" s="240"/>
      <c r="W642" s="240"/>
      <c r="X642" s="240"/>
      <c r="Y642" s="240"/>
      <c r="Z642" s="240"/>
    </row>
    <row r="643" spans="1:26" ht="15.75" customHeight="1" x14ac:dyDescent="0.55000000000000004">
      <c r="A643" s="240"/>
      <c r="B643" s="240"/>
      <c r="C643" s="240"/>
      <c r="D643" s="240"/>
      <c r="E643" s="240"/>
      <c r="F643" s="240"/>
      <c r="G643" s="240"/>
      <c r="H643" s="240"/>
      <c r="I643" s="240"/>
      <c r="J643" s="240"/>
      <c r="K643" s="240"/>
      <c r="L643" s="240"/>
      <c r="M643" s="240"/>
      <c r="N643" s="240"/>
      <c r="O643" s="240"/>
      <c r="P643" s="240"/>
      <c r="Q643" s="240"/>
      <c r="R643" s="240"/>
      <c r="S643" s="240"/>
      <c r="T643" s="240"/>
      <c r="U643" s="240"/>
      <c r="V643" s="240"/>
      <c r="W643" s="240"/>
      <c r="X643" s="240"/>
      <c r="Y643" s="240"/>
      <c r="Z643" s="240"/>
    </row>
    <row r="644" spans="1:26" ht="15.75" customHeight="1" x14ac:dyDescent="0.55000000000000004">
      <c r="A644" s="240"/>
      <c r="B644" s="240"/>
      <c r="C644" s="240"/>
      <c r="D644" s="240"/>
      <c r="E644" s="240"/>
      <c r="F644" s="240"/>
      <c r="G644" s="240"/>
      <c r="H644" s="240"/>
      <c r="I644" s="240"/>
      <c r="J644" s="240"/>
      <c r="K644" s="240"/>
      <c r="L644" s="240"/>
      <c r="M644" s="240"/>
      <c r="N644" s="240"/>
      <c r="O644" s="240"/>
      <c r="P644" s="240"/>
      <c r="Q644" s="240"/>
      <c r="R644" s="240"/>
      <c r="S644" s="240"/>
      <c r="T644" s="240"/>
      <c r="U644" s="240"/>
      <c r="V644" s="240"/>
      <c r="W644" s="240"/>
      <c r="X644" s="240"/>
      <c r="Y644" s="240"/>
      <c r="Z644" s="240"/>
    </row>
    <row r="645" spans="1:26" ht="15.75" customHeight="1" x14ac:dyDescent="0.55000000000000004">
      <c r="A645" s="240"/>
      <c r="B645" s="240"/>
      <c r="C645" s="240"/>
      <c r="D645" s="240"/>
      <c r="E645" s="240"/>
      <c r="F645" s="240"/>
      <c r="G645" s="240"/>
      <c r="H645" s="240"/>
      <c r="I645" s="240"/>
      <c r="J645" s="240"/>
      <c r="K645" s="240"/>
      <c r="L645" s="240"/>
      <c r="M645" s="240"/>
      <c r="N645" s="240"/>
      <c r="O645" s="240"/>
      <c r="P645" s="240"/>
      <c r="Q645" s="240"/>
      <c r="R645" s="240"/>
      <c r="S645" s="240"/>
      <c r="T645" s="240"/>
      <c r="U645" s="240"/>
      <c r="V645" s="240"/>
      <c r="W645" s="240"/>
      <c r="X645" s="240"/>
      <c r="Y645" s="240"/>
      <c r="Z645" s="240"/>
    </row>
    <row r="646" spans="1:26" ht="15.75" customHeight="1" x14ac:dyDescent="0.55000000000000004">
      <c r="A646" s="240"/>
      <c r="B646" s="240"/>
      <c r="C646" s="240"/>
      <c r="D646" s="240"/>
      <c r="E646" s="240"/>
      <c r="F646" s="240"/>
      <c r="G646" s="240"/>
      <c r="H646" s="240"/>
      <c r="I646" s="240"/>
      <c r="J646" s="240"/>
      <c r="K646" s="240"/>
      <c r="L646" s="240"/>
      <c r="M646" s="240"/>
      <c r="N646" s="240"/>
      <c r="O646" s="240"/>
      <c r="P646" s="240"/>
      <c r="Q646" s="240"/>
      <c r="R646" s="240"/>
      <c r="S646" s="240"/>
      <c r="T646" s="240"/>
      <c r="U646" s="240"/>
      <c r="V646" s="240"/>
      <c r="W646" s="240"/>
      <c r="X646" s="240"/>
      <c r="Y646" s="240"/>
      <c r="Z646" s="240"/>
    </row>
    <row r="647" spans="1:26" ht="15.75" customHeight="1" x14ac:dyDescent="0.55000000000000004">
      <c r="A647" s="240"/>
      <c r="B647" s="240"/>
      <c r="C647" s="240"/>
      <c r="D647" s="240"/>
      <c r="E647" s="240"/>
      <c r="F647" s="240"/>
      <c r="G647" s="240"/>
      <c r="H647" s="240"/>
      <c r="I647" s="240"/>
      <c r="J647" s="240"/>
      <c r="K647" s="240"/>
      <c r="L647" s="240"/>
      <c r="M647" s="240"/>
      <c r="N647" s="240"/>
      <c r="O647" s="240"/>
      <c r="P647" s="240"/>
      <c r="Q647" s="240"/>
      <c r="R647" s="240"/>
      <c r="S647" s="240"/>
      <c r="T647" s="240"/>
      <c r="U647" s="240"/>
      <c r="V647" s="240"/>
      <c r="W647" s="240"/>
      <c r="X647" s="240"/>
      <c r="Y647" s="240"/>
      <c r="Z647" s="240"/>
    </row>
    <row r="648" spans="1:26" ht="15.75" customHeight="1" x14ac:dyDescent="0.55000000000000004">
      <c r="A648" s="240"/>
      <c r="B648" s="240"/>
      <c r="C648" s="240"/>
      <c r="D648" s="240"/>
      <c r="E648" s="240"/>
      <c r="F648" s="240"/>
      <c r="G648" s="240"/>
      <c r="H648" s="240"/>
      <c r="I648" s="240"/>
      <c r="J648" s="240"/>
      <c r="K648" s="240"/>
      <c r="L648" s="240"/>
      <c r="M648" s="240"/>
      <c r="N648" s="240"/>
      <c r="O648" s="240"/>
      <c r="P648" s="240"/>
      <c r="Q648" s="240"/>
      <c r="R648" s="240"/>
      <c r="S648" s="240"/>
      <c r="T648" s="240"/>
      <c r="U648" s="240"/>
      <c r="V648" s="240"/>
      <c r="W648" s="240"/>
      <c r="X648" s="240"/>
      <c r="Y648" s="240"/>
      <c r="Z648" s="240"/>
    </row>
    <row r="649" spans="1:26" ht="15.75" customHeight="1" x14ac:dyDescent="0.55000000000000004">
      <c r="A649" s="240"/>
      <c r="B649" s="240"/>
      <c r="C649" s="240"/>
      <c r="D649" s="240"/>
      <c r="E649" s="240"/>
      <c r="F649" s="240"/>
      <c r="G649" s="240"/>
      <c r="H649" s="240"/>
      <c r="I649" s="240"/>
      <c r="J649" s="240"/>
      <c r="K649" s="240"/>
      <c r="L649" s="240"/>
      <c r="M649" s="240"/>
      <c r="N649" s="240"/>
      <c r="O649" s="240"/>
      <c r="P649" s="240"/>
      <c r="Q649" s="240"/>
      <c r="R649" s="240"/>
      <c r="S649" s="240"/>
      <c r="T649" s="240"/>
      <c r="U649" s="240"/>
      <c r="V649" s="240"/>
      <c r="W649" s="240"/>
      <c r="X649" s="240"/>
      <c r="Y649" s="240"/>
      <c r="Z649" s="240"/>
    </row>
    <row r="650" spans="1:26" ht="15.75" customHeight="1" x14ac:dyDescent="0.55000000000000004">
      <c r="A650" s="240"/>
      <c r="B650" s="240"/>
      <c r="C650" s="240"/>
      <c r="D650" s="240"/>
      <c r="E650" s="240"/>
      <c r="F650" s="240"/>
      <c r="G650" s="240"/>
      <c r="H650" s="240"/>
      <c r="I650" s="240"/>
      <c r="J650" s="240"/>
      <c r="K650" s="240"/>
      <c r="L650" s="240"/>
      <c r="M650" s="240"/>
      <c r="N650" s="240"/>
      <c r="O650" s="240"/>
      <c r="P650" s="240"/>
      <c r="Q650" s="240"/>
      <c r="R650" s="240"/>
      <c r="S650" s="240"/>
      <c r="T650" s="240"/>
      <c r="U650" s="240"/>
      <c r="V650" s="240"/>
      <c r="W650" s="240"/>
      <c r="X650" s="240"/>
      <c r="Y650" s="240"/>
      <c r="Z650" s="240"/>
    </row>
    <row r="651" spans="1:26" ht="15.75" customHeight="1" x14ac:dyDescent="0.55000000000000004">
      <c r="A651" s="240"/>
      <c r="B651" s="240"/>
      <c r="C651" s="240"/>
      <c r="D651" s="240"/>
      <c r="E651" s="240"/>
      <c r="F651" s="240"/>
      <c r="G651" s="240"/>
      <c r="H651" s="240"/>
      <c r="I651" s="240"/>
      <c r="J651" s="240"/>
      <c r="K651" s="240"/>
      <c r="L651" s="240"/>
      <c r="M651" s="240"/>
      <c r="N651" s="240"/>
      <c r="O651" s="240"/>
      <c r="P651" s="240"/>
      <c r="Q651" s="240"/>
      <c r="R651" s="240"/>
      <c r="S651" s="240"/>
      <c r="T651" s="240"/>
      <c r="U651" s="240"/>
      <c r="V651" s="240"/>
      <c r="W651" s="240"/>
      <c r="X651" s="240"/>
      <c r="Y651" s="240"/>
      <c r="Z651" s="240"/>
    </row>
    <row r="652" spans="1:26" ht="15.75" customHeight="1" x14ac:dyDescent="0.55000000000000004">
      <c r="A652" s="240"/>
      <c r="B652" s="240"/>
      <c r="C652" s="240"/>
      <c r="D652" s="240"/>
      <c r="E652" s="240"/>
      <c r="F652" s="240"/>
      <c r="G652" s="240"/>
      <c r="H652" s="240"/>
      <c r="I652" s="240"/>
      <c r="J652" s="240"/>
      <c r="K652" s="240"/>
      <c r="L652" s="240"/>
      <c r="M652" s="240"/>
      <c r="N652" s="240"/>
      <c r="O652" s="240"/>
      <c r="P652" s="240"/>
      <c r="Q652" s="240"/>
      <c r="R652" s="240"/>
      <c r="S652" s="240"/>
      <c r="T652" s="240"/>
      <c r="U652" s="240"/>
      <c r="V652" s="240"/>
      <c r="W652" s="240"/>
      <c r="X652" s="240"/>
      <c r="Y652" s="240"/>
      <c r="Z652" s="240"/>
    </row>
    <row r="653" spans="1:26" ht="15.75" customHeight="1" x14ac:dyDescent="0.55000000000000004">
      <c r="A653" s="240"/>
      <c r="B653" s="240"/>
      <c r="C653" s="240"/>
      <c r="D653" s="240"/>
      <c r="E653" s="240"/>
      <c r="F653" s="240"/>
      <c r="G653" s="240"/>
      <c r="H653" s="240"/>
      <c r="I653" s="240"/>
      <c r="J653" s="240"/>
      <c r="K653" s="240"/>
      <c r="L653" s="240"/>
      <c r="M653" s="240"/>
      <c r="N653" s="240"/>
      <c r="O653" s="240"/>
      <c r="P653" s="240"/>
      <c r="Q653" s="240"/>
      <c r="R653" s="240"/>
      <c r="S653" s="240"/>
      <c r="T653" s="240"/>
      <c r="U653" s="240"/>
      <c r="V653" s="240"/>
      <c r="W653" s="240"/>
      <c r="X653" s="240"/>
      <c r="Y653" s="240"/>
      <c r="Z653" s="240"/>
    </row>
    <row r="654" spans="1:26" ht="15.75" customHeight="1" x14ac:dyDescent="0.55000000000000004">
      <c r="A654" s="240"/>
      <c r="B654" s="240"/>
      <c r="C654" s="240"/>
      <c r="D654" s="240"/>
      <c r="E654" s="240"/>
      <c r="F654" s="240"/>
      <c r="G654" s="240"/>
      <c r="H654" s="240"/>
      <c r="I654" s="240"/>
      <c r="J654" s="240"/>
      <c r="K654" s="240"/>
      <c r="L654" s="240"/>
      <c r="M654" s="240"/>
      <c r="N654" s="240"/>
      <c r="O654" s="240"/>
      <c r="P654" s="240"/>
      <c r="Q654" s="240"/>
      <c r="R654" s="240"/>
      <c r="S654" s="240"/>
      <c r="T654" s="240"/>
      <c r="U654" s="240"/>
      <c r="V654" s="240"/>
      <c r="W654" s="240"/>
      <c r="X654" s="240"/>
      <c r="Y654" s="240"/>
      <c r="Z654" s="240"/>
    </row>
    <row r="655" spans="1:26" ht="15.75" customHeight="1" x14ac:dyDescent="0.55000000000000004">
      <c r="A655" s="240"/>
      <c r="B655" s="240"/>
      <c r="C655" s="240"/>
      <c r="D655" s="240"/>
      <c r="E655" s="240"/>
      <c r="F655" s="240"/>
      <c r="G655" s="240"/>
      <c r="H655" s="240"/>
      <c r="I655" s="240"/>
      <c r="J655" s="240"/>
      <c r="K655" s="240"/>
      <c r="L655" s="240"/>
      <c r="M655" s="240"/>
      <c r="N655" s="240"/>
      <c r="O655" s="240"/>
      <c r="P655" s="240"/>
      <c r="Q655" s="240"/>
      <c r="R655" s="240"/>
      <c r="S655" s="240"/>
      <c r="T655" s="240"/>
      <c r="U655" s="240"/>
      <c r="V655" s="240"/>
      <c r="W655" s="240"/>
      <c r="X655" s="240"/>
      <c r="Y655" s="240"/>
      <c r="Z655" s="240"/>
    </row>
    <row r="656" spans="1:26" ht="15.75" customHeight="1" x14ac:dyDescent="0.55000000000000004">
      <c r="A656" s="240"/>
      <c r="B656" s="240"/>
      <c r="C656" s="240"/>
      <c r="D656" s="240"/>
      <c r="E656" s="240"/>
      <c r="F656" s="240"/>
      <c r="G656" s="240"/>
      <c r="H656" s="240"/>
      <c r="I656" s="240"/>
      <c r="J656" s="240"/>
      <c r="K656" s="240"/>
      <c r="L656" s="240"/>
      <c r="M656" s="240"/>
      <c r="N656" s="240"/>
      <c r="O656" s="240"/>
      <c r="P656" s="240"/>
      <c r="Q656" s="240"/>
      <c r="R656" s="240"/>
      <c r="S656" s="240"/>
      <c r="T656" s="240"/>
      <c r="U656" s="240"/>
      <c r="V656" s="240"/>
      <c r="W656" s="240"/>
      <c r="X656" s="240"/>
      <c r="Y656" s="240"/>
      <c r="Z656" s="240"/>
    </row>
    <row r="657" spans="1:26" ht="15.75" customHeight="1" x14ac:dyDescent="0.55000000000000004">
      <c r="A657" s="240"/>
      <c r="B657" s="240"/>
      <c r="C657" s="240"/>
      <c r="D657" s="240"/>
      <c r="E657" s="240"/>
      <c r="F657" s="240"/>
      <c r="G657" s="240"/>
      <c r="H657" s="240"/>
      <c r="I657" s="240"/>
      <c r="J657" s="240"/>
      <c r="K657" s="240"/>
      <c r="L657" s="240"/>
      <c r="M657" s="240"/>
      <c r="N657" s="240"/>
      <c r="O657" s="240"/>
      <c r="P657" s="240"/>
      <c r="Q657" s="240"/>
      <c r="R657" s="240"/>
      <c r="S657" s="240"/>
      <c r="T657" s="240"/>
      <c r="U657" s="240"/>
      <c r="V657" s="240"/>
      <c r="W657" s="240"/>
      <c r="X657" s="240"/>
      <c r="Y657" s="240"/>
      <c r="Z657" s="240"/>
    </row>
    <row r="658" spans="1:26" ht="15.75" customHeight="1" x14ac:dyDescent="0.55000000000000004">
      <c r="A658" s="240"/>
      <c r="B658" s="240"/>
      <c r="C658" s="240"/>
      <c r="D658" s="240"/>
      <c r="E658" s="240"/>
      <c r="F658" s="240"/>
      <c r="G658" s="240"/>
      <c r="H658" s="240"/>
      <c r="I658" s="240"/>
      <c r="J658" s="240"/>
      <c r="K658" s="240"/>
      <c r="L658" s="240"/>
      <c r="M658" s="240"/>
      <c r="N658" s="240"/>
      <c r="O658" s="240"/>
      <c r="P658" s="240"/>
      <c r="Q658" s="240"/>
      <c r="R658" s="240"/>
      <c r="S658" s="240"/>
      <c r="T658" s="240"/>
      <c r="U658" s="240"/>
      <c r="V658" s="240"/>
      <c r="W658" s="240"/>
      <c r="X658" s="240"/>
      <c r="Y658" s="240"/>
      <c r="Z658" s="240"/>
    </row>
    <row r="659" spans="1:26" ht="15.75" customHeight="1" x14ac:dyDescent="0.55000000000000004">
      <c r="A659" s="240"/>
      <c r="B659" s="240"/>
      <c r="C659" s="240"/>
      <c r="D659" s="240"/>
      <c r="E659" s="240"/>
      <c r="F659" s="240"/>
      <c r="G659" s="240"/>
      <c r="H659" s="240"/>
      <c r="I659" s="240"/>
      <c r="J659" s="240"/>
      <c r="K659" s="240"/>
      <c r="L659" s="240"/>
      <c r="M659" s="240"/>
      <c r="N659" s="240"/>
      <c r="O659" s="240"/>
      <c r="P659" s="240"/>
      <c r="Q659" s="240"/>
      <c r="R659" s="240"/>
      <c r="S659" s="240"/>
      <c r="T659" s="240"/>
      <c r="U659" s="240"/>
      <c r="V659" s="240"/>
      <c r="W659" s="240"/>
      <c r="X659" s="240"/>
      <c r="Y659" s="240"/>
      <c r="Z659" s="240"/>
    </row>
    <row r="660" spans="1:26" ht="15.75" customHeight="1" x14ac:dyDescent="0.55000000000000004">
      <c r="A660" s="240"/>
      <c r="B660" s="240"/>
      <c r="C660" s="240"/>
      <c r="D660" s="240"/>
      <c r="E660" s="240"/>
      <c r="F660" s="240"/>
      <c r="G660" s="240"/>
      <c r="H660" s="240"/>
      <c r="I660" s="240"/>
      <c r="J660" s="240"/>
      <c r="K660" s="240"/>
      <c r="L660" s="240"/>
      <c r="M660" s="240"/>
      <c r="N660" s="240"/>
      <c r="O660" s="240"/>
      <c r="P660" s="240"/>
      <c r="Q660" s="240"/>
      <c r="R660" s="240"/>
      <c r="S660" s="240"/>
      <c r="T660" s="240"/>
      <c r="U660" s="240"/>
      <c r="V660" s="240"/>
      <c r="W660" s="240"/>
      <c r="X660" s="240"/>
      <c r="Y660" s="240"/>
      <c r="Z660" s="240"/>
    </row>
    <row r="661" spans="1:26" ht="15.75" customHeight="1" x14ac:dyDescent="0.55000000000000004">
      <c r="A661" s="240"/>
      <c r="B661" s="240"/>
      <c r="C661" s="240"/>
      <c r="D661" s="240"/>
      <c r="E661" s="240"/>
      <c r="F661" s="240"/>
      <c r="G661" s="240"/>
      <c r="H661" s="240"/>
      <c r="I661" s="240"/>
      <c r="J661" s="240"/>
      <c r="K661" s="240"/>
      <c r="L661" s="240"/>
      <c r="M661" s="240"/>
      <c r="N661" s="240"/>
      <c r="O661" s="240"/>
      <c r="P661" s="240"/>
      <c r="Q661" s="240"/>
      <c r="R661" s="240"/>
      <c r="S661" s="240"/>
      <c r="T661" s="240"/>
      <c r="U661" s="240"/>
      <c r="V661" s="240"/>
      <c r="W661" s="240"/>
      <c r="X661" s="240"/>
      <c r="Y661" s="240"/>
      <c r="Z661" s="240"/>
    </row>
    <row r="662" spans="1:26" ht="15.75" customHeight="1" x14ac:dyDescent="0.55000000000000004">
      <c r="A662" s="240"/>
      <c r="B662" s="240"/>
      <c r="C662" s="240"/>
      <c r="D662" s="240"/>
      <c r="E662" s="240"/>
      <c r="F662" s="240"/>
      <c r="G662" s="240"/>
      <c r="H662" s="240"/>
      <c r="I662" s="240"/>
      <c r="J662" s="240"/>
      <c r="K662" s="240"/>
      <c r="L662" s="240"/>
      <c r="M662" s="240"/>
      <c r="N662" s="240"/>
      <c r="O662" s="240"/>
      <c r="P662" s="240"/>
      <c r="Q662" s="240"/>
      <c r="R662" s="240"/>
      <c r="S662" s="240"/>
      <c r="T662" s="240"/>
      <c r="U662" s="240"/>
      <c r="V662" s="240"/>
      <c r="W662" s="240"/>
      <c r="X662" s="240"/>
      <c r="Y662" s="240"/>
      <c r="Z662" s="240"/>
    </row>
    <row r="663" spans="1:26" ht="15.75" customHeight="1" x14ac:dyDescent="0.55000000000000004">
      <c r="A663" s="240"/>
      <c r="B663" s="240"/>
      <c r="C663" s="240"/>
      <c r="D663" s="240"/>
      <c r="E663" s="240"/>
      <c r="F663" s="240"/>
      <c r="G663" s="240"/>
      <c r="H663" s="240"/>
      <c r="I663" s="240"/>
      <c r="J663" s="240"/>
      <c r="K663" s="240"/>
      <c r="L663" s="240"/>
      <c r="M663" s="240"/>
      <c r="N663" s="240"/>
      <c r="O663" s="240"/>
      <c r="P663" s="240"/>
      <c r="Q663" s="240"/>
      <c r="R663" s="240"/>
      <c r="S663" s="240"/>
      <c r="T663" s="240"/>
      <c r="U663" s="240"/>
      <c r="V663" s="240"/>
      <c r="W663" s="240"/>
      <c r="X663" s="240"/>
      <c r="Y663" s="240"/>
      <c r="Z663" s="240"/>
    </row>
    <row r="664" spans="1:26" ht="15.75" customHeight="1" x14ac:dyDescent="0.55000000000000004">
      <c r="A664" s="240"/>
      <c r="B664" s="240"/>
      <c r="C664" s="240"/>
      <c r="D664" s="240"/>
      <c r="E664" s="240"/>
      <c r="F664" s="240"/>
      <c r="G664" s="240"/>
      <c r="H664" s="240"/>
      <c r="I664" s="240"/>
      <c r="J664" s="240"/>
      <c r="K664" s="240"/>
      <c r="L664" s="240"/>
      <c r="M664" s="240"/>
      <c r="N664" s="240"/>
      <c r="O664" s="240"/>
      <c r="P664" s="240"/>
      <c r="Q664" s="240"/>
      <c r="R664" s="240"/>
      <c r="S664" s="240"/>
      <c r="T664" s="240"/>
      <c r="U664" s="240"/>
      <c r="V664" s="240"/>
      <c r="W664" s="240"/>
      <c r="X664" s="240"/>
      <c r="Y664" s="240"/>
      <c r="Z664" s="240"/>
    </row>
    <row r="665" spans="1:26" ht="15.75" customHeight="1" x14ac:dyDescent="0.55000000000000004">
      <c r="A665" s="240"/>
      <c r="B665" s="240"/>
      <c r="C665" s="240"/>
      <c r="D665" s="240"/>
      <c r="E665" s="240"/>
      <c r="F665" s="240"/>
      <c r="G665" s="240"/>
      <c r="H665" s="240"/>
      <c r="I665" s="240"/>
      <c r="J665" s="240"/>
      <c r="K665" s="240"/>
      <c r="L665" s="240"/>
      <c r="M665" s="240"/>
      <c r="N665" s="240"/>
      <c r="O665" s="240"/>
      <c r="P665" s="240"/>
      <c r="Q665" s="240"/>
      <c r="R665" s="240"/>
      <c r="S665" s="240"/>
      <c r="T665" s="240"/>
      <c r="U665" s="240"/>
      <c r="V665" s="240"/>
      <c r="W665" s="240"/>
      <c r="X665" s="240"/>
      <c r="Y665" s="240"/>
      <c r="Z665" s="240"/>
    </row>
    <row r="666" spans="1:26" ht="15.75" customHeight="1" x14ac:dyDescent="0.55000000000000004">
      <c r="A666" s="240"/>
      <c r="B666" s="240"/>
      <c r="C666" s="240"/>
      <c r="D666" s="240"/>
      <c r="E666" s="240"/>
      <c r="F666" s="240"/>
      <c r="G666" s="240"/>
      <c r="H666" s="240"/>
      <c r="I666" s="240"/>
      <c r="J666" s="240"/>
      <c r="K666" s="240"/>
      <c r="L666" s="240"/>
      <c r="M666" s="240"/>
      <c r="N666" s="240"/>
      <c r="O666" s="240"/>
      <c r="P666" s="240"/>
      <c r="Q666" s="240"/>
      <c r="R666" s="240"/>
      <c r="S666" s="240"/>
      <c r="T666" s="240"/>
      <c r="U666" s="240"/>
      <c r="V666" s="240"/>
      <c r="W666" s="240"/>
      <c r="X666" s="240"/>
      <c r="Y666" s="240"/>
      <c r="Z666" s="240"/>
    </row>
    <row r="667" spans="1:26" ht="15.75" customHeight="1" x14ac:dyDescent="0.55000000000000004">
      <c r="A667" s="240"/>
      <c r="B667" s="240"/>
      <c r="C667" s="240"/>
      <c r="D667" s="240"/>
      <c r="E667" s="240"/>
      <c r="F667" s="240"/>
      <c r="G667" s="240"/>
      <c r="H667" s="240"/>
      <c r="I667" s="240"/>
      <c r="J667" s="240"/>
      <c r="K667" s="240"/>
      <c r="L667" s="240"/>
      <c r="M667" s="240"/>
      <c r="N667" s="240"/>
      <c r="O667" s="240"/>
      <c r="P667" s="240"/>
      <c r="Q667" s="240"/>
      <c r="R667" s="240"/>
      <c r="S667" s="240"/>
      <c r="T667" s="240"/>
      <c r="U667" s="240"/>
      <c r="V667" s="240"/>
      <c r="W667" s="240"/>
      <c r="X667" s="240"/>
      <c r="Y667" s="240"/>
      <c r="Z667" s="240"/>
    </row>
    <row r="668" spans="1:26" ht="15.75" customHeight="1" x14ac:dyDescent="0.55000000000000004">
      <c r="A668" s="240"/>
      <c r="B668" s="240"/>
      <c r="C668" s="240"/>
      <c r="D668" s="240"/>
      <c r="E668" s="240"/>
      <c r="F668" s="240"/>
      <c r="G668" s="240"/>
      <c r="H668" s="240"/>
      <c r="I668" s="240"/>
      <c r="J668" s="240"/>
      <c r="K668" s="240"/>
      <c r="L668" s="240"/>
      <c r="M668" s="240"/>
      <c r="N668" s="240"/>
      <c r="O668" s="240"/>
      <c r="P668" s="240"/>
      <c r="Q668" s="240"/>
      <c r="R668" s="240"/>
      <c r="S668" s="240"/>
      <c r="T668" s="240"/>
      <c r="U668" s="240"/>
      <c r="V668" s="240"/>
      <c r="W668" s="240"/>
      <c r="X668" s="240"/>
      <c r="Y668" s="240"/>
      <c r="Z668" s="240"/>
    </row>
    <row r="669" spans="1:26" ht="15.75" customHeight="1" x14ac:dyDescent="0.55000000000000004">
      <c r="A669" s="240"/>
      <c r="B669" s="240"/>
      <c r="C669" s="240"/>
      <c r="D669" s="240"/>
      <c r="E669" s="240"/>
      <c r="F669" s="240"/>
      <c r="G669" s="240"/>
      <c r="H669" s="240"/>
      <c r="I669" s="240"/>
      <c r="J669" s="240"/>
      <c r="K669" s="240"/>
      <c r="L669" s="240"/>
      <c r="M669" s="240"/>
      <c r="N669" s="240"/>
      <c r="O669" s="240"/>
      <c r="P669" s="240"/>
      <c r="Q669" s="240"/>
      <c r="R669" s="240"/>
      <c r="S669" s="240"/>
      <c r="T669" s="240"/>
      <c r="U669" s="240"/>
      <c r="V669" s="240"/>
      <c r="W669" s="240"/>
      <c r="X669" s="240"/>
      <c r="Y669" s="240"/>
      <c r="Z669" s="240"/>
    </row>
    <row r="670" spans="1:26" ht="15.75" customHeight="1" x14ac:dyDescent="0.55000000000000004">
      <c r="A670" s="240"/>
      <c r="B670" s="240"/>
      <c r="C670" s="240"/>
      <c r="D670" s="240"/>
      <c r="E670" s="240"/>
      <c r="F670" s="240"/>
      <c r="G670" s="240"/>
      <c r="H670" s="240"/>
      <c r="I670" s="240"/>
      <c r="J670" s="240"/>
      <c r="K670" s="240"/>
      <c r="L670" s="240"/>
      <c r="M670" s="240"/>
      <c r="N670" s="240"/>
      <c r="O670" s="240"/>
      <c r="P670" s="240"/>
      <c r="Q670" s="240"/>
      <c r="R670" s="240"/>
      <c r="S670" s="240"/>
      <c r="T670" s="240"/>
      <c r="U670" s="240"/>
      <c r="V670" s="240"/>
      <c r="W670" s="240"/>
      <c r="X670" s="240"/>
      <c r="Y670" s="240"/>
      <c r="Z670" s="240"/>
    </row>
    <row r="671" spans="1:26" ht="15.75" customHeight="1" x14ac:dyDescent="0.55000000000000004">
      <c r="A671" s="240"/>
      <c r="B671" s="240"/>
      <c r="C671" s="240"/>
      <c r="D671" s="240"/>
      <c r="E671" s="240"/>
      <c r="F671" s="240"/>
      <c r="G671" s="240"/>
      <c r="H671" s="240"/>
      <c r="I671" s="240"/>
      <c r="J671" s="240"/>
      <c r="K671" s="240"/>
      <c r="L671" s="240"/>
      <c r="M671" s="240"/>
      <c r="N671" s="240"/>
      <c r="O671" s="240"/>
      <c r="P671" s="240"/>
      <c r="Q671" s="240"/>
      <c r="R671" s="240"/>
      <c r="S671" s="240"/>
      <c r="T671" s="240"/>
      <c r="U671" s="240"/>
      <c r="V671" s="240"/>
      <c r="W671" s="240"/>
      <c r="X671" s="240"/>
      <c r="Y671" s="240"/>
      <c r="Z671" s="240"/>
    </row>
    <row r="672" spans="1:26" ht="15.75" customHeight="1" x14ac:dyDescent="0.55000000000000004">
      <c r="A672" s="240"/>
      <c r="B672" s="240"/>
      <c r="C672" s="240"/>
      <c r="D672" s="240"/>
      <c r="E672" s="240"/>
      <c r="F672" s="240"/>
      <c r="G672" s="240"/>
      <c r="H672" s="240"/>
      <c r="I672" s="240"/>
      <c r="J672" s="240"/>
      <c r="K672" s="240"/>
      <c r="L672" s="240"/>
      <c r="M672" s="240"/>
      <c r="N672" s="240"/>
      <c r="O672" s="240"/>
      <c r="P672" s="240"/>
      <c r="Q672" s="240"/>
      <c r="R672" s="240"/>
      <c r="S672" s="240"/>
      <c r="T672" s="240"/>
      <c r="U672" s="240"/>
      <c r="V672" s="240"/>
      <c r="W672" s="240"/>
      <c r="X672" s="240"/>
      <c r="Y672" s="240"/>
      <c r="Z672" s="240"/>
    </row>
    <row r="673" spans="1:26" ht="15.75" customHeight="1" x14ac:dyDescent="0.55000000000000004">
      <c r="A673" s="240"/>
      <c r="B673" s="240"/>
      <c r="C673" s="240"/>
      <c r="D673" s="240"/>
      <c r="E673" s="240"/>
      <c r="F673" s="240"/>
      <c r="G673" s="240"/>
      <c r="H673" s="240"/>
      <c r="I673" s="240"/>
      <c r="J673" s="240"/>
      <c r="K673" s="240"/>
      <c r="L673" s="240"/>
      <c r="M673" s="240"/>
      <c r="N673" s="240"/>
      <c r="O673" s="240"/>
      <c r="P673" s="240"/>
      <c r="Q673" s="240"/>
      <c r="R673" s="240"/>
      <c r="S673" s="240"/>
      <c r="T673" s="240"/>
      <c r="U673" s="240"/>
      <c r="V673" s="240"/>
      <c r="W673" s="240"/>
      <c r="X673" s="240"/>
      <c r="Y673" s="240"/>
      <c r="Z673" s="240"/>
    </row>
    <row r="674" spans="1:26" ht="15.75" customHeight="1" x14ac:dyDescent="0.55000000000000004">
      <c r="A674" s="240"/>
      <c r="B674" s="240"/>
      <c r="C674" s="240"/>
      <c r="D674" s="240"/>
      <c r="E674" s="240"/>
      <c r="F674" s="240"/>
      <c r="G674" s="240"/>
      <c r="H674" s="240"/>
      <c r="I674" s="240"/>
      <c r="J674" s="240"/>
      <c r="K674" s="240"/>
      <c r="L674" s="240"/>
      <c r="M674" s="240"/>
      <c r="N674" s="240"/>
      <c r="O674" s="240"/>
      <c r="P674" s="240"/>
      <c r="Q674" s="240"/>
      <c r="R674" s="240"/>
      <c r="S674" s="240"/>
      <c r="T674" s="240"/>
      <c r="U674" s="240"/>
      <c r="V674" s="240"/>
      <c r="W674" s="240"/>
      <c r="X674" s="240"/>
      <c r="Y674" s="240"/>
      <c r="Z674" s="240"/>
    </row>
    <row r="675" spans="1:26" ht="15.75" customHeight="1" x14ac:dyDescent="0.55000000000000004">
      <c r="A675" s="240"/>
      <c r="B675" s="240"/>
      <c r="C675" s="240"/>
      <c r="D675" s="240"/>
      <c r="E675" s="240"/>
      <c r="F675" s="240"/>
      <c r="G675" s="240"/>
      <c r="H675" s="240"/>
      <c r="I675" s="240"/>
      <c r="J675" s="240"/>
      <c r="K675" s="240"/>
      <c r="L675" s="240"/>
      <c r="M675" s="240"/>
      <c r="N675" s="240"/>
      <c r="O675" s="240"/>
      <c r="P675" s="240"/>
      <c r="Q675" s="240"/>
      <c r="R675" s="240"/>
      <c r="S675" s="240"/>
      <c r="T675" s="240"/>
      <c r="U675" s="240"/>
      <c r="V675" s="240"/>
      <c r="W675" s="240"/>
      <c r="X675" s="240"/>
      <c r="Y675" s="240"/>
      <c r="Z675" s="240"/>
    </row>
    <row r="676" spans="1:26" ht="15.75" customHeight="1" x14ac:dyDescent="0.55000000000000004">
      <c r="A676" s="240"/>
      <c r="B676" s="240"/>
      <c r="C676" s="240"/>
      <c r="D676" s="240"/>
      <c r="E676" s="240"/>
      <c r="F676" s="240"/>
      <c r="G676" s="240"/>
      <c r="H676" s="240"/>
      <c r="I676" s="240"/>
      <c r="J676" s="240"/>
      <c r="K676" s="240"/>
      <c r="L676" s="240"/>
      <c r="M676" s="240"/>
      <c r="N676" s="240"/>
      <c r="O676" s="240"/>
      <c r="P676" s="240"/>
      <c r="Q676" s="240"/>
      <c r="R676" s="240"/>
      <c r="S676" s="240"/>
      <c r="T676" s="240"/>
      <c r="U676" s="240"/>
      <c r="V676" s="240"/>
      <c r="W676" s="240"/>
      <c r="X676" s="240"/>
      <c r="Y676" s="240"/>
      <c r="Z676" s="240"/>
    </row>
    <row r="677" spans="1:26" ht="15.75" customHeight="1" x14ac:dyDescent="0.55000000000000004">
      <c r="A677" s="240"/>
      <c r="B677" s="240"/>
      <c r="C677" s="240"/>
      <c r="D677" s="240"/>
      <c r="E677" s="240"/>
      <c r="F677" s="240"/>
      <c r="G677" s="240"/>
      <c r="H677" s="240"/>
      <c r="I677" s="240"/>
      <c r="J677" s="240"/>
      <c r="K677" s="240"/>
      <c r="L677" s="240"/>
      <c r="M677" s="240"/>
      <c r="N677" s="240"/>
      <c r="O677" s="240"/>
      <c r="P677" s="240"/>
      <c r="Q677" s="240"/>
      <c r="R677" s="240"/>
      <c r="S677" s="240"/>
      <c r="T677" s="240"/>
      <c r="U677" s="240"/>
      <c r="V677" s="240"/>
      <c r="W677" s="240"/>
      <c r="X677" s="240"/>
      <c r="Y677" s="240"/>
      <c r="Z677" s="240"/>
    </row>
    <row r="678" spans="1:26" ht="15.75" customHeight="1" x14ac:dyDescent="0.55000000000000004">
      <c r="A678" s="240"/>
      <c r="B678" s="240"/>
      <c r="C678" s="240"/>
      <c r="D678" s="240"/>
      <c r="E678" s="240"/>
      <c r="F678" s="240"/>
      <c r="G678" s="240"/>
      <c r="H678" s="240"/>
      <c r="I678" s="240"/>
      <c r="J678" s="240"/>
      <c r="K678" s="240"/>
      <c r="L678" s="240"/>
      <c r="M678" s="240"/>
      <c r="N678" s="240"/>
      <c r="O678" s="240"/>
      <c r="P678" s="240"/>
      <c r="Q678" s="240"/>
      <c r="R678" s="240"/>
      <c r="S678" s="240"/>
      <c r="T678" s="240"/>
      <c r="U678" s="240"/>
      <c r="V678" s="240"/>
      <c r="W678" s="240"/>
      <c r="X678" s="240"/>
      <c r="Y678" s="240"/>
      <c r="Z678" s="240"/>
    </row>
    <row r="679" spans="1:26" ht="15.75" customHeight="1" x14ac:dyDescent="0.55000000000000004">
      <c r="A679" s="240"/>
      <c r="B679" s="240"/>
      <c r="C679" s="240"/>
      <c r="D679" s="240"/>
      <c r="E679" s="240"/>
      <c r="F679" s="240"/>
      <c r="G679" s="240"/>
      <c r="H679" s="240"/>
      <c r="I679" s="240"/>
      <c r="J679" s="240"/>
      <c r="K679" s="240"/>
      <c r="L679" s="240"/>
      <c r="M679" s="240"/>
      <c r="N679" s="240"/>
      <c r="O679" s="240"/>
      <c r="P679" s="240"/>
      <c r="Q679" s="240"/>
      <c r="R679" s="240"/>
      <c r="S679" s="240"/>
      <c r="T679" s="240"/>
      <c r="U679" s="240"/>
      <c r="V679" s="240"/>
      <c r="W679" s="240"/>
      <c r="X679" s="240"/>
      <c r="Y679" s="240"/>
      <c r="Z679" s="240"/>
    </row>
    <row r="680" spans="1:26" ht="15.75" customHeight="1" x14ac:dyDescent="0.55000000000000004">
      <c r="A680" s="240"/>
      <c r="B680" s="240"/>
      <c r="C680" s="240"/>
      <c r="D680" s="240"/>
      <c r="E680" s="240"/>
      <c r="F680" s="240"/>
      <c r="G680" s="240"/>
      <c r="H680" s="240"/>
      <c r="I680" s="240"/>
      <c r="J680" s="240"/>
      <c r="K680" s="240"/>
      <c r="L680" s="240"/>
      <c r="M680" s="240"/>
      <c r="N680" s="240"/>
      <c r="O680" s="240"/>
      <c r="P680" s="240"/>
      <c r="Q680" s="240"/>
      <c r="R680" s="240"/>
      <c r="S680" s="240"/>
      <c r="T680" s="240"/>
      <c r="U680" s="240"/>
      <c r="V680" s="240"/>
      <c r="W680" s="240"/>
      <c r="X680" s="240"/>
      <c r="Y680" s="240"/>
      <c r="Z680" s="240"/>
    </row>
    <row r="681" spans="1:26" ht="15.75" customHeight="1" x14ac:dyDescent="0.55000000000000004">
      <c r="A681" s="240"/>
      <c r="B681" s="240"/>
      <c r="C681" s="240"/>
      <c r="D681" s="240"/>
      <c r="E681" s="240"/>
      <c r="F681" s="240"/>
      <c r="G681" s="240"/>
      <c r="H681" s="240"/>
      <c r="I681" s="240"/>
      <c r="J681" s="240"/>
      <c r="K681" s="240"/>
      <c r="L681" s="240"/>
      <c r="M681" s="240"/>
      <c r="N681" s="240"/>
      <c r="O681" s="240"/>
      <c r="P681" s="240"/>
      <c r="Q681" s="240"/>
      <c r="R681" s="240"/>
      <c r="S681" s="240"/>
      <c r="T681" s="240"/>
      <c r="U681" s="240"/>
      <c r="V681" s="240"/>
      <c r="W681" s="240"/>
      <c r="X681" s="240"/>
      <c r="Y681" s="240"/>
      <c r="Z681" s="240"/>
    </row>
    <row r="682" spans="1:26" ht="15.75" customHeight="1" x14ac:dyDescent="0.55000000000000004">
      <c r="A682" s="240"/>
      <c r="B682" s="240"/>
      <c r="C682" s="240"/>
      <c r="D682" s="240"/>
      <c r="E682" s="240"/>
      <c r="F682" s="240"/>
      <c r="G682" s="240"/>
      <c r="H682" s="240"/>
      <c r="I682" s="240"/>
      <c r="J682" s="240"/>
      <c r="K682" s="240"/>
      <c r="L682" s="240"/>
      <c r="M682" s="240"/>
      <c r="N682" s="240"/>
      <c r="O682" s="240"/>
      <c r="P682" s="240"/>
      <c r="Q682" s="240"/>
      <c r="R682" s="240"/>
      <c r="S682" s="240"/>
      <c r="T682" s="240"/>
      <c r="U682" s="240"/>
      <c r="V682" s="240"/>
      <c r="W682" s="240"/>
      <c r="X682" s="240"/>
      <c r="Y682" s="240"/>
      <c r="Z682" s="240"/>
    </row>
    <row r="683" spans="1:26" ht="15.75" customHeight="1" x14ac:dyDescent="0.55000000000000004">
      <c r="A683" s="240"/>
      <c r="B683" s="240"/>
      <c r="C683" s="240"/>
      <c r="D683" s="240"/>
      <c r="E683" s="240"/>
      <c r="F683" s="240"/>
      <c r="G683" s="240"/>
      <c r="H683" s="240"/>
      <c r="I683" s="240"/>
      <c r="J683" s="240"/>
      <c r="K683" s="240"/>
      <c r="L683" s="240"/>
      <c r="M683" s="240"/>
      <c r="N683" s="240"/>
      <c r="O683" s="240"/>
      <c r="P683" s="240"/>
      <c r="Q683" s="240"/>
      <c r="R683" s="240"/>
      <c r="S683" s="240"/>
      <c r="T683" s="240"/>
      <c r="U683" s="240"/>
      <c r="V683" s="240"/>
      <c r="W683" s="240"/>
      <c r="X683" s="240"/>
      <c r="Y683" s="240"/>
      <c r="Z683" s="240"/>
    </row>
    <row r="684" spans="1:26" ht="15.75" customHeight="1" x14ac:dyDescent="0.55000000000000004">
      <c r="A684" s="240"/>
      <c r="B684" s="240"/>
      <c r="C684" s="240"/>
      <c r="D684" s="240"/>
      <c r="E684" s="240"/>
      <c r="F684" s="240"/>
      <c r="G684" s="240"/>
      <c r="H684" s="240"/>
      <c r="I684" s="240"/>
      <c r="J684" s="240"/>
      <c r="K684" s="240"/>
      <c r="L684" s="240"/>
      <c r="M684" s="240"/>
      <c r="N684" s="240"/>
      <c r="O684" s="240"/>
      <c r="P684" s="240"/>
      <c r="Q684" s="240"/>
      <c r="R684" s="240"/>
      <c r="S684" s="240"/>
      <c r="T684" s="240"/>
      <c r="U684" s="240"/>
      <c r="V684" s="240"/>
      <c r="W684" s="240"/>
      <c r="X684" s="240"/>
      <c r="Y684" s="240"/>
      <c r="Z684" s="240"/>
    </row>
    <row r="685" spans="1:26" ht="15.75" customHeight="1" x14ac:dyDescent="0.55000000000000004">
      <c r="A685" s="240"/>
      <c r="B685" s="240"/>
      <c r="C685" s="240"/>
      <c r="D685" s="240"/>
      <c r="E685" s="240"/>
      <c r="F685" s="240"/>
      <c r="G685" s="240"/>
      <c r="H685" s="240"/>
      <c r="I685" s="240"/>
      <c r="J685" s="240"/>
      <c r="K685" s="240"/>
      <c r="L685" s="240"/>
      <c r="M685" s="240"/>
      <c r="N685" s="240"/>
      <c r="O685" s="240"/>
      <c r="P685" s="240"/>
      <c r="Q685" s="240"/>
      <c r="R685" s="240"/>
      <c r="S685" s="240"/>
      <c r="T685" s="240"/>
      <c r="U685" s="240"/>
      <c r="V685" s="240"/>
      <c r="W685" s="240"/>
      <c r="X685" s="240"/>
      <c r="Y685" s="240"/>
      <c r="Z685" s="240"/>
    </row>
    <row r="686" spans="1:26" ht="15.75" customHeight="1" x14ac:dyDescent="0.55000000000000004">
      <c r="A686" s="240"/>
      <c r="B686" s="240"/>
      <c r="C686" s="240"/>
      <c r="D686" s="240"/>
      <c r="E686" s="240"/>
      <c r="F686" s="240"/>
      <c r="G686" s="240"/>
      <c r="H686" s="240"/>
      <c r="I686" s="240"/>
      <c r="J686" s="240"/>
      <c r="K686" s="240"/>
      <c r="L686" s="240"/>
      <c r="M686" s="240"/>
      <c r="N686" s="240"/>
      <c r="O686" s="240"/>
      <c r="P686" s="240"/>
      <c r="Q686" s="240"/>
      <c r="R686" s="240"/>
      <c r="S686" s="240"/>
      <c r="T686" s="240"/>
      <c r="U686" s="240"/>
      <c r="V686" s="240"/>
      <c r="W686" s="240"/>
      <c r="X686" s="240"/>
      <c r="Y686" s="240"/>
      <c r="Z686" s="240"/>
    </row>
    <row r="687" spans="1:26" ht="15.75" customHeight="1" x14ac:dyDescent="0.55000000000000004">
      <c r="A687" s="240"/>
      <c r="B687" s="240"/>
      <c r="C687" s="240"/>
      <c r="D687" s="240"/>
      <c r="E687" s="240"/>
      <c r="F687" s="240"/>
      <c r="G687" s="240"/>
      <c r="H687" s="240"/>
      <c r="I687" s="240"/>
      <c r="J687" s="240"/>
      <c r="K687" s="240"/>
      <c r="L687" s="240"/>
      <c r="M687" s="240"/>
      <c r="N687" s="240"/>
      <c r="O687" s="240"/>
      <c r="P687" s="240"/>
      <c r="Q687" s="240"/>
      <c r="R687" s="240"/>
      <c r="S687" s="240"/>
      <c r="T687" s="240"/>
      <c r="U687" s="240"/>
      <c r="V687" s="240"/>
      <c r="W687" s="240"/>
      <c r="X687" s="240"/>
      <c r="Y687" s="240"/>
      <c r="Z687" s="240"/>
    </row>
    <row r="688" spans="1:26" ht="15.75" customHeight="1" x14ac:dyDescent="0.55000000000000004">
      <c r="A688" s="240"/>
      <c r="B688" s="240"/>
      <c r="C688" s="240"/>
      <c r="D688" s="240"/>
      <c r="E688" s="240"/>
      <c r="F688" s="240"/>
      <c r="G688" s="240"/>
      <c r="H688" s="240"/>
      <c r="I688" s="240"/>
      <c r="J688" s="240"/>
      <c r="K688" s="240"/>
      <c r="L688" s="240"/>
      <c r="M688" s="240"/>
      <c r="N688" s="240"/>
      <c r="O688" s="240"/>
      <c r="P688" s="240"/>
      <c r="Q688" s="240"/>
      <c r="R688" s="240"/>
      <c r="S688" s="240"/>
      <c r="T688" s="240"/>
      <c r="U688" s="240"/>
      <c r="V688" s="240"/>
      <c r="W688" s="240"/>
      <c r="X688" s="240"/>
      <c r="Y688" s="240"/>
      <c r="Z688" s="240"/>
    </row>
    <row r="689" spans="1:26" ht="15.75" customHeight="1" x14ac:dyDescent="0.55000000000000004">
      <c r="A689" s="240"/>
      <c r="B689" s="240"/>
      <c r="C689" s="240"/>
      <c r="D689" s="240"/>
      <c r="E689" s="240"/>
      <c r="F689" s="240"/>
      <c r="G689" s="240"/>
      <c r="H689" s="240"/>
      <c r="I689" s="240"/>
      <c r="J689" s="240"/>
      <c r="K689" s="240"/>
      <c r="L689" s="240"/>
      <c r="M689" s="240"/>
      <c r="N689" s="240"/>
      <c r="O689" s="240"/>
      <c r="P689" s="240"/>
      <c r="Q689" s="240"/>
      <c r="R689" s="240"/>
      <c r="S689" s="240"/>
      <c r="T689" s="240"/>
      <c r="U689" s="240"/>
      <c r="V689" s="240"/>
      <c r="W689" s="240"/>
      <c r="X689" s="240"/>
      <c r="Y689" s="240"/>
      <c r="Z689" s="240"/>
    </row>
    <row r="690" spans="1:26" ht="15.75" customHeight="1" x14ac:dyDescent="0.55000000000000004">
      <c r="A690" s="240"/>
      <c r="B690" s="240"/>
      <c r="C690" s="240"/>
      <c r="D690" s="240"/>
      <c r="E690" s="240"/>
      <c r="F690" s="240"/>
      <c r="G690" s="240"/>
      <c r="H690" s="240"/>
      <c r="I690" s="240"/>
      <c r="J690" s="240"/>
      <c r="K690" s="240"/>
      <c r="L690" s="240"/>
      <c r="M690" s="240"/>
      <c r="N690" s="240"/>
      <c r="O690" s="240"/>
      <c r="P690" s="240"/>
      <c r="Q690" s="240"/>
      <c r="R690" s="240"/>
      <c r="S690" s="240"/>
      <c r="T690" s="240"/>
      <c r="U690" s="240"/>
      <c r="V690" s="240"/>
      <c r="W690" s="240"/>
      <c r="X690" s="240"/>
      <c r="Y690" s="240"/>
      <c r="Z690" s="240"/>
    </row>
    <row r="691" spans="1:26" ht="15.75" customHeight="1" x14ac:dyDescent="0.55000000000000004">
      <c r="A691" s="240"/>
      <c r="B691" s="240"/>
      <c r="C691" s="240"/>
      <c r="D691" s="240"/>
      <c r="E691" s="240"/>
      <c r="F691" s="240"/>
      <c r="G691" s="240"/>
      <c r="H691" s="240"/>
      <c r="I691" s="240"/>
      <c r="J691" s="240"/>
      <c r="K691" s="240"/>
      <c r="L691" s="240"/>
      <c r="M691" s="240"/>
      <c r="N691" s="240"/>
      <c r="O691" s="240"/>
      <c r="P691" s="240"/>
      <c r="Q691" s="240"/>
      <c r="R691" s="240"/>
      <c r="S691" s="240"/>
      <c r="T691" s="240"/>
      <c r="U691" s="240"/>
      <c r="V691" s="240"/>
      <c r="W691" s="240"/>
      <c r="X691" s="240"/>
      <c r="Y691" s="240"/>
      <c r="Z691" s="240"/>
    </row>
    <row r="692" spans="1:26" ht="15.75" customHeight="1" x14ac:dyDescent="0.55000000000000004">
      <c r="A692" s="240"/>
      <c r="B692" s="240"/>
      <c r="C692" s="240"/>
      <c r="D692" s="240"/>
      <c r="E692" s="240"/>
      <c r="F692" s="240"/>
      <c r="G692" s="240"/>
      <c r="H692" s="240"/>
      <c r="I692" s="240"/>
      <c r="J692" s="240"/>
      <c r="K692" s="240"/>
      <c r="L692" s="240"/>
      <c r="M692" s="240"/>
      <c r="N692" s="240"/>
      <c r="O692" s="240"/>
      <c r="P692" s="240"/>
      <c r="Q692" s="240"/>
      <c r="R692" s="240"/>
      <c r="S692" s="240"/>
      <c r="T692" s="240"/>
      <c r="U692" s="240"/>
      <c r="V692" s="240"/>
      <c r="W692" s="240"/>
      <c r="X692" s="240"/>
      <c r="Y692" s="240"/>
      <c r="Z692" s="240"/>
    </row>
    <row r="693" spans="1:26" ht="15.75" customHeight="1" x14ac:dyDescent="0.55000000000000004">
      <c r="A693" s="240"/>
      <c r="B693" s="240"/>
      <c r="C693" s="240"/>
      <c r="D693" s="240"/>
      <c r="E693" s="240"/>
      <c r="F693" s="240"/>
      <c r="G693" s="240"/>
      <c r="H693" s="240"/>
      <c r="I693" s="240"/>
      <c r="J693" s="240"/>
      <c r="K693" s="240"/>
      <c r="L693" s="240"/>
      <c r="M693" s="240"/>
      <c r="N693" s="240"/>
      <c r="O693" s="240"/>
      <c r="P693" s="240"/>
      <c r="Q693" s="240"/>
      <c r="R693" s="240"/>
      <c r="S693" s="240"/>
      <c r="T693" s="240"/>
      <c r="U693" s="240"/>
      <c r="V693" s="240"/>
      <c r="W693" s="240"/>
      <c r="X693" s="240"/>
      <c r="Y693" s="240"/>
      <c r="Z693" s="240"/>
    </row>
    <row r="694" spans="1:26" ht="15.75" customHeight="1" x14ac:dyDescent="0.55000000000000004">
      <c r="A694" s="240"/>
      <c r="B694" s="240"/>
      <c r="C694" s="240"/>
      <c r="D694" s="240"/>
      <c r="E694" s="240"/>
      <c r="F694" s="240"/>
      <c r="G694" s="240"/>
      <c r="H694" s="240"/>
      <c r="I694" s="240"/>
      <c r="J694" s="240"/>
      <c r="K694" s="240"/>
      <c r="L694" s="240"/>
      <c r="M694" s="240"/>
      <c r="N694" s="240"/>
      <c r="O694" s="240"/>
      <c r="P694" s="240"/>
      <c r="Q694" s="240"/>
      <c r="R694" s="240"/>
      <c r="S694" s="240"/>
      <c r="T694" s="240"/>
      <c r="U694" s="240"/>
      <c r="V694" s="240"/>
      <c r="W694" s="240"/>
      <c r="X694" s="240"/>
      <c r="Y694" s="240"/>
      <c r="Z694" s="240"/>
    </row>
    <row r="695" spans="1:26" ht="15.75" customHeight="1" x14ac:dyDescent="0.55000000000000004">
      <c r="A695" s="240"/>
      <c r="B695" s="240"/>
      <c r="C695" s="240"/>
      <c r="D695" s="240"/>
      <c r="E695" s="240"/>
      <c r="F695" s="240"/>
      <c r="G695" s="240"/>
      <c r="H695" s="240"/>
      <c r="I695" s="240"/>
      <c r="J695" s="240"/>
      <c r="K695" s="240"/>
      <c r="L695" s="240"/>
      <c r="M695" s="240"/>
      <c r="N695" s="240"/>
      <c r="O695" s="240"/>
      <c r="P695" s="240"/>
      <c r="Q695" s="240"/>
      <c r="R695" s="240"/>
      <c r="S695" s="240"/>
      <c r="T695" s="240"/>
      <c r="U695" s="240"/>
      <c r="V695" s="240"/>
      <c r="W695" s="240"/>
      <c r="X695" s="240"/>
      <c r="Y695" s="240"/>
      <c r="Z695" s="240"/>
    </row>
    <row r="696" spans="1:26" ht="15.75" customHeight="1" x14ac:dyDescent="0.55000000000000004">
      <c r="A696" s="240"/>
      <c r="B696" s="240"/>
      <c r="C696" s="240"/>
      <c r="D696" s="240"/>
      <c r="E696" s="240"/>
      <c r="F696" s="240"/>
      <c r="G696" s="240"/>
      <c r="H696" s="240"/>
      <c r="I696" s="240"/>
      <c r="J696" s="240"/>
      <c r="K696" s="240"/>
      <c r="L696" s="240"/>
      <c r="M696" s="240"/>
      <c r="N696" s="240"/>
      <c r="O696" s="240"/>
      <c r="P696" s="240"/>
      <c r="Q696" s="240"/>
      <c r="R696" s="240"/>
      <c r="S696" s="240"/>
      <c r="T696" s="240"/>
      <c r="U696" s="240"/>
      <c r="V696" s="240"/>
      <c r="W696" s="240"/>
      <c r="X696" s="240"/>
      <c r="Y696" s="240"/>
      <c r="Z696" s="240"/>
    </row>
    <row r="697" spans="1:26" ht="15.75" customHeight="1" x14ac:dyDescent="0.55000000000000004">
      <c r="A697" s="240"/>
      <c r="B697" s="240"/>
      <c r="C697" s="240"/>
      <c r="D697" s="240"/>
      <c r="E697" s="240"/>
      <c r="F697" s="240"/>
      <c r="G697" s="240"/>
      <c r="H697" s="240"/>
      <c r="I697" s="240"/>
      <c r="J697" s="240"/>
      <c r="K697" s="240"/>
      <c r="L697" s="240"/>
      <c r="M697" s="240"/>
      <c r="N697" s="240"/>
      <c r="O697" s="240"/>
      <c r="P697" s="240"/>
      <c r="Q697" s="240"/>
      <c r="R697" s="240"/>
      <c r="S697" s="240"/>
      <c r="T697" s="240"/>
      <c r="U697" s="240"/>
      <c r="V697" s="240"/>
      <c r="W697" s="240"/>
      <c r="X697" s="240"/>
      <c r="Y697" s="240"/>
      <c r="Z697" s="240"/>
    </row>
    <row r="698" spans="1:26" ht="15.75" customHeight="1" x14ac:dyDescent="0.55000000000000004">
      <c r="A698" s="240"/>
      <c r="B698" s="240"/>
      <c r="C698" s="240"/>
      <c r="D698" s="240"/>
      <c r="E698" s="240"/>
      <c r="F698" s="240"/>
      <c r="G698" s="240"/>
      <c r="H698" s="240"/>
      <c r="I698" s="240"/>
      <c r="J698" s="240"/>
      <c r="K698" s="240"/>
      <c r="L698" s="240"/>
      <c r="M698" s="240"/>
      <c r="N698" s="240"/>
      <c r="O698" s="240"/>
      <c r="P698" s="240"/>
      <c r="Q698" s="240"/>
      <c r="R698" s="240"/>
      <c r="S698" s="240"/>
      <c r="T698" s="240"/>
      <c r="U698" s="240"/>
      <c r="V698" s="240"/>
      <c r="W698" s="240"/>
      <c r="X698" s="240"/>
      <c r="Y698" s="240"/>
      <c r="Z698" s="240"/>
    </row>
    <row r="699" spans="1:26" ht="15.75" customHeight="1" x14ac:dyDescent="0.55000000000000004">
      <c r="A699" s="240"/>
      <c r="B699" s="240"/>
      <c r="C699" s="240"/>
      <c r="D699" s="240"/>
      <c r="E699" s="240"/>
      <c r="F699" s="240"/>
      <c r="G699" s="240"/>
      <c r="H699" s="240"/>
      <c r="I699" s="240"/>
      <c r="J699" s="240"/>
      <c r="K699" s="240"/>
      <c r="L699" s="240"/>
      <c r="M699" s="240"/>
      <c r="N699" s="240"/>
      <c r="O699" s="240"/>
      <c r="P699" s="240"/>
      <c r="Q699" s="240"/>
      <c r="R699" s="240"/>
      <c r="S699" s="240"/>
      <c r="T699" s="240"/>
      <c r="U699" s="240"/>
      <c r="V699" s="240"/>
      <c r="W699" s="240"/>
      <c r="X699" s="240"/>
      <c r="Y699" s="240"/>
      <c r="Z699" s="240"/>
    </row>
    <row r="700" spans="1:26" ht="15.75" customHeight="1" x14ac:dyDescent="0.55000000000000004">
      <c r="A700" s="240"/>
      <c r="B700" s="240"/>
      <c r="C700" s="240"/>
      <c r="D700" s="240"/>
      <c r="E700" s="240"/>
      <c r="F700" s="240"/>
      <c r="G700" s="240"/>
      <c r="H700" s="240"/>
      <c r="I700" s="240"/>
      <c r="J700" s="240"/>
      <c r="K700" s="240"/>
      <c r="L700" s="240"/>
      <c r="M700" s="240"/>
      <c r="N700" s="240"/>
      <c r="O700" s="240"/>
      <c r="P700" s="240"/>
      <c r="Q700" s="240"/>
      <c r="R700" s="240"/>
      <c r="S700" s="240"/>
      <c r="T700" s="240"/>
      <c r="U700" s="240"/>
      <c r="V700" s="240"/>
      <c r="W700" s="240"/>
      <c r="X700" s="240"/>
      <c r="Y700" s="240"/>
      <c r="Z700" s="240"/>
    </row>
    <row r="701" spans="1:26" ht="15.75" customHeight="1" x14ac:dyDescent="0.55000000000000004">
      <c r="A701" s="240"/>
      <c r="B701" s="240"/>
      <c r="C701" s="240"/>
      <c r="D701" s="240"/>
      <c r="E701" s="240"/>
      <c r="F701" s="240"/>
      <c r="G701" s="240"/>
      <c r="H701" s="240"/>
      <c r="I701" s="240"/>
      <c r="J701" s="240"/>
      <c r="K701" s="240"/>
      <c r="L701" s="240"/>
      <c r="M701" s="240"/>
      <c r="N701" s="240"/>
      <c r="O701" s="240"/>
      <c r="P701" s="240"/>
      <c r="Q701" s="240"/>
      <c r="R701" s="240"/>
      <c r="S701" s="240"/>
      <c r="T701" s="240"/>
      <c r="U701" s="240"/>
      <c r="V701" s="240"/>
      <c r="W701" s="240"/>
      <c r="X701" s="240"/>
      <c r="Y701" s="240"/>
      <c r="Z701" s="240"/>
    </row>
    <row r="702" spans="1:26" ht="15.75" customHeight="1" x14ac:dyDescent="0.55000000000000004">
      <c r="A702" s="240"/>
      <c r="B702" s="240"/>
      <c r="C702" s="240"/>
      <c r="D702" s="240"/>
      <c r="E702" s="240"/>
      <c r="F702" s="240"/>
      <c r="G702" s="240"/>
      <c r="H702" s="240"/>
      <c r="I702" s="240"/>
      <c r="J702" s="240"/>
      <c r="K702" s="240"/>
      <c r="L702" s="240"/>
      <c r="M702" s="240"/>
      <c r="N702" s="240"/>
      <c r="O702" s="240"/>
      <c r="P702" s="240"/>
      <c r="Q702" s="240"/>
      <c r="R702" s="240"/>
      <c r="S702" s="240"/>
      <c r="T702" s="240"/>
      <c r="U702" s="240"/>
      <c r="V702" s="240"/>
      <c r="W702" s="240"/>
      <c r="X702" s="240"/>
      <c r="Y702" s="240"/>
      <c r="Z702" s="240"/>
    </row>
    <row r="703" spans="1:26" ht="15.75" customHeight="1" x14ac:dyDescent="0.55000000000000004">
      <c r="A703" s="240"/>
      <c r="B703" s="240"/>
      <c r="C703" s="240"/>
      <c r="D703" s="240"/>
      <c r="E703" s="240"/>
      <c r="F703" s="240"/>
      <c r="G703" s="240"/>
      <c r="H703" s="240"/>
      <c r="I703" s="240"/>
      <c r="J703" s="240"/>
      <c r="K703" s="240"/>
      <c r="L703" s="240"/>
      <c r="M703" s="240"/>
      <c r="N703" s="240"/>
      <c r="O703" s="240"/>
      <c r="P703" s="240"/>
      <c r="Q703" s="240"/>
      <c r="R703" s="240"/>
      <c r="S703" s="240"/>
      <c r="T703" s="240"/>
      <c r="U703" s="240"/>
      <c r="V703" s="240"/>
      <c r="W703" s="240"/>
      <c r="X703" s="240"/>
      <c r="Y703" s="240"/>
      <c r="Z703" s="240"/>
    </row>
    <row r="704" spans="1:26" ht="15.75" customHeight="1" x14ac:dyDescent="0.55000000000000004">
      <c r="A704" s="240"/>
      <c r="B704" s="240"/>
      <c r="C704" s="240"/>
      <c r="D704" s="240"/>
      <c r="E704" s="240"/>
      <c r="F704" s="240"/>
      <c r="G704" s="240"/>
      <c r="H704" s="240"/>
      <c r="I704" s="240"/>
      <c r="J704" s="240"/>
      <c r="K704" s="240"/>
      <c r="L704" s="240"/>
      <c r="M704" s="240"/>
      <c r="N704" s="240"/>
      <c r="O704" s="240"/>
      <c r="P704" s="240"/>
      <c r="Q704" s="240"/>
      <c r="R704" s="240"/>
      <c r="S704" s="240"/>
      <c r="T704" s="240"/>
      <c r="U704" s="240"/>
      <c r="V704" s="240"/>
      <c r="W704" s="240"/>
      <c r="X704" s="240"/>
      <c r="Y704" s="240"/>
      <c r="Z704" s="240"/>
    </row>
    <row r="705" spans="1:26" ht="15.75" customHeight="1" x14ac:dyDescent="0.55000000000000004">
      <c r="A705" s="240"/>
      <c r="B705" s="240"/>
      <c r="C705" s="240"/>
      <c r="D705" s="240"/>
      <c r="E705" s="240"/>
      <c r="F705" s="240"/>
      <c r="G705" s="240"/>
      <c r="H705" s="240"/>
      <c r="I705" s="240"/>
      <c r="J705" s="240"/>
      <c r="K705" s="240"/>
      <c r="L705" s="240"/>
      <c r="M705" s="240"/>
      <c r="N705" s="240"/>
      <c r="O705" s="240"/>
      <c r="P705" s="240"/>
      <c r="Q705" s="240"/>
      <c r="R705" s="240"/>
      <c r="S705" s="240"/>
      <c r="T705" s="240"/>
      <c r="U705" s="240"/>
      <c r="V705" s="240"/>
      <c r="W705" s="240"/>
      <c r="X705" s="240"/>
      <c r="Y705" s="240"/>
      <c r="Z705" s="240"/>
    </row>
    <row r="706" spans="1:26" ht="15.75" customHeight="1" x14ac:dyDescent="0.55000000000000004">
      <c r="A706" s="240"/>
      <c r="B706" s="240"/>
      <c r="C706" s="240"/>
      <c r="D706" s="240"/>
      <c r="E706" s="240"/>
      <c r="F706" s="240"/>
      <c r="G706" s="240"/>
      <c r="H706" s="240"/>
      <c r="I706" s="240"/>
      <c r="J706" s="240"/>
      <c r="K706" s="240"/>
      <c r="L706" s="240"/>
      <c r="M706" s="240"/>
      <c r="N706" s="240"/>
      <c r="O706" s="240"/>
      <c r="P706" s="240"/>
      <c r="Q706" s="240"/>
      <c r="R706" s="240"/>
      <c r="S706" s="240"/>
      <c r="T706" s="240"/>
      <c r="U706" s="240"/>
      <c r="V706" s="240"/>
      <c r="W706" s="240"/>
      <c r="X706" s="240"/>
      <c r="Y706" s="240"/>
      <c r="Z706" s="240"/>
    </row>
    <row r="707" spans="1:26" ht="15.75" customHeight="1" x14ac:dyDescent="0.55000000000000004">
      <c r="A707" s="240"/>
      <c r="B707" s="240"/>
      <c r="C707" s="240"/>
      <c r="D707" s="240"/>
      <c r="E707" s="240"/>
      <c r="F707" s="240"/>
      <c r="G707" s="240"/>
      <c r="H707" s="240"/>
      <c r="I707" s="240"/>
      <c r="J707" s="240"/>
      <c r="K707" s="240"/>
      <c r="L707" s="240"/>
      <c r="M707" s="240"/>
      <c r="N707" s="240"/>
      <c r="O707" s="240"/>
      <c r="P707" s="240"/>
      <c r="Q707" s="240"/>
      <c r="R707" s="240"/>
      <c r="S707" s="240"/>
      <c r="T707" s="240"/>
      <c r="U707" s="240"/>
      <c r="V707" s="240"/>
      <c r="W707" s="240"/>
      <c r="X707" s="240"/>
      <c r="Y707" s="240"/>
      <c r="Z707" s="240"/>
    </row>
    <row r="708" spans="1:26" ht="15.75" customHeight="1" x14ac:dyDescent="0.55000000000000004">
      <c r="A708" s="240"/>
      <c r="B708" s="240"/>
      <c r="C708" s="240"/>
      <c r="D708" s="240"/>
      <c r="E708" s="240"/>
      <c r="F708" s="240"/>
      <c r="G708" s="240"/>
      <c r="H708" s="240"/>
      <c r="I708" s="240"/>
      <c r="J708" s="240"/>
      <c r="K708" s="240"/>
      <c r="L708" s="240"/>
      <c r="M708" s="240"/>
      <c r="N708" s="240"/>
      <c r="O708" s="240"/>
      <c r="P708" s="240"/>
      <c r="Q708" s="240"/>
      <c r="R708" s="240"/>
      <c r="S708" s="240"/>
      <c r="T708" s="240"/>
      <c r="U708" s="240"/>
      <c r="V708" s="240"/>
      <c r="W708" s="240"/>
      <c r="X708" s="240"/>
      <c r="Y708" s="240"/>
      <c r="Z708" s="240"/>
    </row>
    <row r="709" spans="1:26" ht="15.75" customHeight="1" x14ac:dyDescent="0.55000000000000004">
      <c r="A709" s="240"/>
      <c r="B709" s="240"/>
      <c r="C709" s="240"/>
      <c r="D709" s="240"/>
      <c r="E709" s="240"/>
      <c r="F709" s="240"/>
      <c r="G709" s="240"/>
      <c r="H709" s="240"/>
      <c r="I709" s="240"/>
      <c r="J709" s="240"/>
      <c r="K709" s="240"/>
      <c r="L709" s="240"/>
      <c r="M709" s="240"/>
      <c r="N709" s="240"/>
      <c r="O709" s="240"/>
      <c r="P709" s="240"/>
      <c r="Q709" s="240"/>
      <c r="R709" s="240"/>
      <c r="S709" s="240"/>
      <c r="T709" s="240"/>
      <c r="U709" s="240"/>
      <c r="V709" s="240"/>
      <c r="W709" s="240"/>
      <c r="X709" s="240"/>
      <c r="Y709" s="240"/>
      <c r="Z709" s="240"/>
    </row>
    <row r="710" spans="1:26" ht="15.75" customHeight="1" x14ac:dyDescent="0.55000000000000004">
      <c r="A710" s="240"/>
      <c r="B710" s="240"/>
      <c r="C710" s="240"/>
      <c r="D710" s="240"/>
      <c r="E710" s="240"/>
      <c r="F710" s="240"/>
      <c r="G710" s="240"/>
      <c r="H710" s="240"/>
      <c r="I710" s="240"/>
      <c r="J710" s="240"/>
      <c r="K710" s="240"/>
      <c r="L710" s="240"/>
      <c r="M710" s="240"/>
      <c r="N710" s="240"/>
      <c r="O710" s="240"/>
      <c r="P710" s="240"/>
      <c r="Q710" s="240"/>
      <c r="R710" s="240"/>
      <c r="S710" s="240"/>
      <c r="T710" s="240"/>
      <c r="U710" s="240"/>
      <c r="V710" s="240"/>
      <c r="W710" s="240"/>
      <c r="X710" s="240"/>
      <c r="Y710" s="240"/>
      <c r="Z710" s="240"/>
    </row>
    <row r="711" spans="1:26" ht="15.75" customHeight="1" x14ac:dyDescent="0.55000000000000004">
      <c r="A711" s="240"/>
      <c r="B711" s="240"/>
      <c r="C711" s="240"/>
      <c r="D711" s="240"/>
      <c r="E711" s="240"/>
      <c r="F711" s="240"/>
      <c r="G711" s="240"/>
      <c r="H711" s="240"/>
      <c r="I711" s="240"/>
      <c r="J711" s="240"/>
      <c r="K711" s="240"/>
      <c r="L711" s="240"/>
      <c r="M711" s="240"/>
      <c r="N711" s="240"/>
      <c r="O711" s="240"/>
      <c r="P711" s="240"/>
      <c r="Q711" s="240"/>
      <c r="R711" s="240"/>
      <c r="S711" s="240"/>
      <c r="T711" s="240"/>
      <c r="U711" s="240"/>
      <c r="V711" s="240"/>
      <c r="W711" s="240"/>
      <c r="X711" s="240"/>
      <c r="Y711" s="240"/>
      <c r="Z711" s="240"/>
    </row>
    <row r="712" spans="1:26" ht="15.75" customHeight="1" x14ac:dyDescent="0.55000000000000004">
      <c r="A712" s="240"/>
      <c r="B712" s="240"/>
      <c r="C712" s="240"/>
      <c r="D712" s="240"/>
      <c r="E712" s="240"/>
      <c r="F712" s="240"/>
      <c r="G712" s="240"/>
      <c r="H712" s="240"/>
      <c r="I712" s="240"/>
      <c r="J712" s="240"/>
      <c r="K712" s="240"/>
      <c r="L712" s="240"/>
      <c r="M712" s="240"/>
      <c r="N712" s="240"/>
      <c r="O712" s="240"/>
      <c r="P712" s="240"/>
      <c r="Q712" s="240"/>
      <c r="R712" s="240"/>
      <c r="S712" s="240"/>
      <c r="T712" s="240"/>
      <c r="U712" s="240"/>
      <c r="V712" s="240"/>
      <c r="W712" s="240"/>
      <c r="X712" s="240"/>
      <c r="Y712" s="240"/>
      <c r="Z712" s="240"/>
    </row>
    <row r="713" spans="1:26" ht="15.75" customHeight="1" x14ac:dyDescent="0.55000000000000004">
      <c r="A713" s="240"/>
      <c r="B713" s="240"/>
      <c r="C713" s="240"/>
      <c r="D713" s="240"/>
      <c r="E713" s="240"/>
      <c r="F713" s="240"/>
      <c r="G713" s="240"/>
      <c r="H713" s="240"/>
      <c r="I713" s="240"/>
      <c r="J713" s="240"/>
      <c r="K713" s="240"/>
      <c r="L713" s="240"/>
      <c r="M713" s="240"/>
      <c r="N713" s="240"/>
      <c r="O713" s="240"/>
      <c r="P713" s="240"/>
      <c r="Q713" s="240"/>
      <c r="R713" s="240"/>
      <c r="S713" s="240"/>
      <c r="T713" s="240"/>
      <c r="U713" s="240"/>
      <c r="V713" s="240"/>
      <c r="W713" s="240"/>
      <c r="X713" s="240"/>
      <c r="Y713" s="240"/>
      <c r="Z713" s="240"/>
    </row>
    <row r="714" spans="1:26" ht="15.75" customHeight="1" x14ac:dyDescent="0.55000000000000004">
      <c r="A714" s="240"/>
      <c r="B714" s="240"/>
      <c r="C714" s="240"/>
      <c r="D714" s="240"/>
      <c r="E714" s="240"/>
      <c r="F714" s="240"/>
      <c r="G714" s="240"/>
      <c r="H714" s="240"/>
      <c r="I714" s="240"/>
      <c r="J714" s="240"/>
      <c r="K714" s="240"/>
      <c r="L714" s="240"/>
      <c r="M714" s="240"/>
      <c r="N714" s="240"/>
      <c r="O714" s="240"/>
      <c r="P714" s="240"/>
      <c r="Q714" s="240"/>
      <c r="R714" s="240"/>
      <c r="S714" s="240"/>
      <c r="T714" s="240"/>
      <c r="U714" s="240"/>
      <c r="V714" s="240"/>
      <c r="W714" s="240"/>
      <c r="X714" s="240"/>
      <c r="Y714" s="240"/>
      <c r="Z714" s="240"/>
    </row>
    <row r="715" spans="1:26" ht="15.75" customHeight="1" x14ac:dyDescent="0.55000000000000004">
      <c r="A715" s="240"/>
      <c r="B715" s="240"/>
      <c r="C715" s="240"/>
      <c r="D715" s="240"/>
      <c r="E715" s="240"/>
      <c r="F715" s="240"/>
      <c r="G715" s="240"/>
      <c r="H715" s="240"/>
      <c r="I715" s="240"/>
      <c r="J715" s="240"/>
      <c r="K715" s="240"/>
      <c r="L715" s="240"/>
      <c r="M715" s="240"/>
      <c r="N715" s="240"/>
      <c r="O715" s="240"/>
      <c r="P715" s="240"/>
      <c r="Q715" s="240"/>
      <c r="R715" s="240"/>
      <c r="S715" s="240"/>
      <c r="T715" s="240"/>
      <c r="U715" s="240"/>
      <c r="V715" s="240"/>
      <c r="W715" s="240"/>
      <c r="X715" s="240"/>
      <c r="Y715" s="240"/>
      <c r="Z715" s="240"/>
    </row>
    <row r="716" spans="1:26" ht="15.75" customHeight="1" x14ac:dyDescent="0.55000000000000004">
      <c r="A716" s="240"/>
      <c r="B716" s="240"/>
      <c r="C716" s="240"/>
      <c r="D716" s="240"/>
      <c r="E716" s="240"/>
      <c r="F716" s="240"/>
      <c r="G716" s="240"/>
      <c r="H716" s="240"/>
      <c r="I716" s="240"/>
      <c r="J716" s="240"/>
      <c r="K716" s="240"/>
      <c r="L716" s="240"/>
      <c r="M716" s="240"/>
      <c r="N716" s="240"/>
      <c r="O716" s="240"/>
      <c r="P716" s="240"/>
      <c r="Q716" s="240"/>
      <c r="R716" s="240"/>
      <c r="S716" s="240"/>
      <c r="T716" s="240"/>
      <c r="U716" s="240"/>
      <c r="V716" s="240"/>
      <c r="W716" s="240"/>
      <c r="X716" s="240"/>
      <c r="Y716" s="240"/>
      <c r="Z716" s="240"/>
    </row>
    <row r="717" spans="1:26" ht="15.75" customHeight="1" x14ac:dyDescent="0.55000000000000004">
      <c r="A717" s="240"/>
      <c r="B717" s="240"/>
      <c r="C717" s="240"/>
      <c r="D717" s="240"/>
      <c r="E717" s="240"/>
      <c r="F717" s="240"/>
      <c r="G717" s="240"/>
      <c r="H717" s="240"/>
      <c r="I717" s="240"/>
      <c r="J717" s="240"/>
      <c r="K717" s="240"/>
      <c r="L717" s="240"/>
      <c r="M717" s="240"/>
      <c r="N717" s="240"/>
      <c r="O717" s="240"/>
      <c r="P717" s="240"/>
      <c r="Q717" s="240"/>
      <c r="R717" s="240"/>
      <c r="S717" s="240"/>
      <c r="T717" s="240"/>
      <c r="U717" s="240"/>
      <c r="V717" s="240"/>
      <c r="W717" s="240"/>
      <c r="X717" s="240"/>
      <c r="Y717" s="240"/>
      <c r="Z717" s="240"/>
    </row>
    <row r="718" spans="1:26" ht="15.75" customHeight="1" x14ac:dyDescent="0.55000000000000004">
      <c r="A718" s="240"/>
      <c r="B718" s="240"/>
      <c r="C718" s="240"/>
      <c r="D718" s="240"/>
      <c r="E718" s="240"/>
      <c r="F718" s="240"/>
      <c r="G718" s="240"/>
      <c r="H718" s="240"/>
      <c r="I718" s="240"/>
      <c r="J718" s="240"/>
      <c r="K718" s="240"/>
      <c r="L718" s="240"/>
      <c r="M718" s="240"/>
      <c r="N718" s="240"/>
      <c r="O718" s="240"/>
      <c r="P718" s="240"/>
      <c r="Q718" s="240"/>
      <c r="R718" s="240"/>
      <c r="S718" s="240"/>
      <c r="T718" s="240"/>
      <c r="U718" s="240"/>
      <c r="V718" s="240"/>
      <c r="W718" s="240"/>
      <c r="X718" s="240"/>
      <c r="Y718" s="240"/>
      <c r="Z718" s="240"/>
    </row>
    <row r="719" spans="1:26" ht="15.75" customHeight="1" x14ac:dyDescent="0.55000000000000004">
      <c r="A719" s="240"/>
      <c r="B719" s="240"/>
      <c r="C719" s="240"/>
      <c r="D719" s="240"/>
      <c r="E719" s="240"/>
      <c r="F719" s="240"/>
      <c r="G719" s="240"/>
      <c r="H719" s="240"/>
      <c r="I719" s="240"/>
      <c r="J719" s="240"/>
      <c r="K719" s="240"/>
      <c r="L719" s="240"/>
      <c r="M719" s="240"/>
      <c r="N719" s="240"/>
      <c r="O719" s="240"/>
      <c r="P719" s="240"/>
      <c r="Q719" s="240"/>
      <c r="R719" s="240"/>
      <c r="S719" s="240"/>
      <c r="T719" s="240"/>
      <c r="U719" s="240"/>
      <c r="V719" s="240"/>
      <c r="W719" s="240"/>
      <c r="X719" s="240"/>
      <c r="Y719" s="240"/>
      <c r="Z719" s="240"/>
    </row>
    <row r="720" spans="1:26" ht="15.75" customHeight="1" x14ac:dyDescent="0.55000000000000004">
      <c r="A720" s="240"/>
      <c r="B720" s="240"/>
      <c r="C720" s="240"/>
      <c r="D720" s="240"/>
      <c r="E720" s="240"/>
      <c r="F720" s="240"/>
      <c r="G720" s="240"/>
      <c r="H720" s="240"/>
      <c r="I720" s="240"/>
      <c r="J720" s="240"/>
      <c r="K720" s="240"/>
      <c r="L720" s="240"/>
      <c r="M720" s="240"/>
      <c r="N720" s="240"/>
      <c r="O720" s="240"/>
      <c r="P720" s="240"/>
      <c r="Q720" s="240"/>
      <c r="R720" s="240"/>
      <c r="S720" s="240"/>
      <c r="T720" s="240"/>
      <c r="U720" s="240"/>
      <c r="V720" s="240"/>
      <c r="W720" s="240"/>
      <c r="X720" s="240"/>
      <c r="Y720" s="240"/>
      <c r="Z720" s="240"/>
    </row>
    <row r="721" spans="1:26" ht="15.75" customHeight="1" x14ac:dyDescent="0.55000000000000004">
      <c r="A721" s="240"/>
      <c r="B721" s="240"/>
      <c r="C721" s="240"/>
      <c r="D721" s="240"/>
      <c r="E721" s="240"/>
      <c r="F721" s="240"/>
      <c r="G721" s="240"/>
      <c r="H721" s="240"/>
      <c r="I721" s="240"/>
      <c r="J721" s="240"/>
      <c r="K721" s="240"/>
      <c r="L721" s="240"/>
      <c r="M721" s="240"/>
      <c r="N721" s="240"/>
      <c r="O721" s="240"/>
      <c r="P721" s="240"/>
      <c r="Q721" s="240"/>
      <c r="R721" s="240"/>
      <c r="S721" s="240"/>
      <c r="T721" s="240"/>
      <c r="U721" s="240"/>
      <c r="V721" s="240"/>
      <c r="W721" s="240"/>
      <c r="X721" s="240"/>
      <c r="Y721" s="240"/>
      <c r="Z721" s="240"/>
    </row>
    <row r="722" spans="1:26" ht="15.75" customHeight="1" x14ac:dyDescent="0.55000000000000004">
      <c r="A722" s="240"/>
      <c r="B722" s="240"/>
      <c r="C722" s="240"/>
      <c r="D722" s="240"/>
      <c r="E722" s="240"/>
      <c r="F722" s="240"/>
      <c r="G722" s="240"/>
      <c r="H722" s="240"/>
      <c r="I722" s="240"/>
      <c r="J722" s="240"/>
      <c r="K722" s="240"/>
      <c r="L722" s="240"/>
      <c r="M722" s="240"/>
      <c r="N722" s="240"/>
      <c r="O722" s="240"/>
      <c r="P722" s="240"/>
      <c r="Q722" s="240"/>
      <c r="R722" s="240"/>
      <c r="S722" s="240"/>
      <c r="T722" s="240"/>
      <c r="U722" s="240"/>
      <c r="V722" s="240"/>
      <c r="W722" s="240"/>
      <c r="X722" s="240"/>
      <c r="Y722" s="240"/>
      <c r="Z722" s="240"/>
    </row>
    <row r="723" spans="1:26" ht="15.75" customHeight="1" x14ac:dyDescent="0.55000000000000004">
      <c r="A723" s="240"/>
      <c r="B723" s="240"/>
      <c r="C723" s="240"/>
      <c r="D723" s="240"/>
      <c r="E723" s="240"/>
      <c r="F723" s="240"/>
      <c r="G723" s="240"/>
      <c r="H723" s="240"/>
      <c r="I723" s="240"/>
      <c r="J723" s="240"/>
      <c r="K723" s="240"/>
      <c r="L723" s="240"/>
      <c r="M723" s="240"/>
      <c r="N723" s="240"/>
      <c r="O723" s="240"/>
      <c r="P723" s="240"/>
      <c r="Q723" s="240"/>
      <c r="R723" s="240"/>
      <c r="S723" s="240"/>
      <c r="T723" s="240"/>
      <c r="U723" s="240"/>
      <c r="V723" s="240"/>
      <c r="W723" s="240"/>
      <c r="X723" s="240"/>
      <c r="Y723" s="240"/>
      <c r="Z723" s="240"/>
    </row>
    <row r="724" spans="1:26" ht="15.75" customHeight="1" x14ac:dyDescent="0.55000000000000004">
      <c r="A724" s="240"/>
      <c r="B724" s="240"/>
      <c r="C724" s="240"/>
      <c r="D724" s="240"/>
      <c r="E724" s="240"/>
      <c r="F724" s="240"/>
      <c r="G724" s="240"/>
      <c r="H724" s="240"/>
      <c r="I724" s="240"/>
      <c r="J724" s="240"/>
      <c r="K724" s="240"/>
      <c r="L724" s="240"/>
      <c r="M724" s="240"/>
      <c r="N724" s="240"/>
      <c r="O724" s="240"/>
      <c r="P724" s="240"/>
      <c r="Q724" s="240"/>
      <c r="R724" s="240"/>
      <c r="S724" s="240"/>
      <c r="T724" s="240"/>
      <c r="U724" s="240"/>
      <c r="V724" s="240"/>
      <c r="W724" s="240"/>
      <c r="X724" s="240"/>
      <c r="Y724" s="240"/>
      <c r="Z724" s="240"/>
    </row>
    <row r="725" spans="1:26" ht="15.75" customHeight="1" x14ac:dyDescent="0.55000000000000004">
      <c r="A725" s="240"/>
      <c r="B725" s="240"/>
      <c r="C725" s="240"/>
      <c r="D725" s="240"/>
      <c r="E725" s="240"/>
      <c r="F725" s="240"/>
      <c r="G725" s="240"/>
      <c r="H725" s="240"/>
      <c r="I725" s="240"/>
      <c r="J725" s="240"/>
      <c r="K725" s="240"/>
      <c r="L725" s="240"/>
      <c r="M725" s="240"/>
      <c r="N725" s="240"/>
      <c r="O725" s="240"/>
      <c r="P725" s="240"/>
      <c r="Q725" s="240"/>
      <c r="R725" s="240"/>
      <c r="S725" s="240"/>
      <c r="T725" s="240"/>
      <c r="U725" s="240"/>
      <c r="V725" s="240"/>
      <c r="W725" s="240"/>
      <c r="X725" s="240"/>
      <c r="Y725" s="240"/>
      <c r="Z725" s="240"/>
    </row>
    <row r="726" spans="1:26" ht="15.75" customHeight="1" x14ac:dyDescent="0.55000000000000004">
      <c r="A726" s="240"/>
      <c r="B726" s="240"/>
      <c r="C726" s="240"/>
      <c r="D726" s="240"/>
      <c r="E726" s="240"/>
      <c r="F726" s="240"/>
      <c r="G726" s="240"/>
      <c r="H726" s="240"/>
      <c r="I726" s="240"/>
      <c r="J726" s="240"/>
      <c r="K726" s="240"/>
      <c r="L726" s="240"/>
      <c r="M726" s="240"/>
      <c r="N726" s="240"/>
      <c r="O726" s="240"/>
      <c r="P726" s="240"/>
      <c r="Q726" s="240"/>
      <c r="R726" s="240"/>
      <c r="S726" s="240"/>
      <c r="T726" s="240"/>
      <c r="U726" s="240"/>
      <c r="V726" s="240"/>
      <c r="W726" s="240"/>
      <c r="X726" s="240"/>
      <c r="Y726" s="240"/>
      <c r="Z726" s="240"/>
    </row>
    <row r="727" spans="1:26" ht="15.75" customHeight="1" x14ac:dyDescent="0.55000000000000004">
      <c r="A727" s="240"/>
      <c r="B727" s="240"/>
      <c r="C727" s="240"/>
      <c r="D727" s="240"/>
      <c r="E727" s="240"/>
      <c r="F727" s="240"/>
      <c r="G727" s="240"/>
      <c r="H727" s="240"/>
      <c r="I727" s="240"/>
      <c r="J727" s="240"/>
      <c r="K727" s="240"/>
      <c r="L727" s="240"/>
      <c r="M727" s="240"/>
      <c r="N727" s="240"/>
      <c r="O727" s="240"/>
      <c r="P727" s="240"/>
      <c r="Q727" s="240"/>
      <c r="R727" s="240"/>
      <c r="S727" s="240"/>
      <c r="T727" s="240"/>
      <c r="U727" s="240"/>
      <c r="V727" s="240"/>
      <c r="W727" s="240"/>
      <c r="X727" s="240"/>
      <c r="Y727" s="240"/>
      <c r="Z727" s="240"/>
    </row>
    <row r="728" spans="1:26" ht="15.75" customHeight="1" x14ac:dyDescent="0.55000000000000004">
      <c r="A728" s="240"/>
      <c r="B728" s="240"/>
      <c r="C728" s="240"/>
      <c r="D728" s="240"/>
      <c r="E728" s="240"/>
      <c r="F728" s="240"/>
      <c r="G728" s="240"/>
      <c r="H728" s="240"/>
      <c r="I728" s="240"/>
      <c r="J728" s="240"/>
      <c r="K728" s="240"/>
      <c r="L728" s="240"/>
      <c r="M728" s="240"/>
      <c r="N728" s="240"/>
      <c r="O728" s="240"/>
      <c r="P728" s="240"/>
      <c r="Q728" s="240"/>
      <c r="R728" s="240"/>
      <c r="S728" s="240"/>
      <c r="T728" s="240"/>
      <c r="U728" s="240"/>
      <c r="V728" s="240"/>
      <c r="W728" s="240"/>
      <c r="X728" s="240"/>
      <c r="Y728" s="240"/>
      <c r="Z728" s="240"/>
    </row>
    <row r="729" spans="1:26" ht="15.75" customHeight="1" x14ac:dyDescent="0.55000000000000004">
      <c r="A729" s="240"/>
      <c r="B729" s="240"/>
      <c r="C729" s="240"/>
      <c r="D729" s="240"/>
      <c r="E729" s="240"/>
      <c r="F729" s="240"/>
      <c r="G729" s="240"/>
      <c r="H729" s="240"/>
      <c r="I729" s="240"/>
      <c r="J729" s="240"/>
      <c r="K729" s="240"/>
      <c r="L729" s="240"/>
      <c r="M729" s="240"/>
      <c r="N729" s="240"/>
      <c r="O729" s="240"/>
      <c r="P729" s="240"/>
      <c r="Q729" s="240"/>
      <c r="R729" s="240"/>
      <c r="S729" s="240"/>
      <c r="T729" s="240"/>
      <c r="U729" s="240"/>
      <c r="V729" s="240"/>
      <c r="W729" s="240"/>
      <c r="X729" s="240"/>
      <c r="Y729" s="240"/>
      <c r="Z729" s="240"/>
    </row>
    <row r="730" spans="1:26" ht="15.75" customHeight="1" x14ac:dyDescent="0.55000000000000004">
      <c r="A730" s="240"/>
      <c r="B730" s="240"/>
      <c r="C730" s="240"/>
      <c r="D730" s="240"/>
      <c r="E730" s="240"/>
      <c r="F730" s="240"/>
      <c r="G730" s="240"/>
      <c r="H730" s="240"/>
      <c r="I730" s="240"/>
      <c r="J730" s="240"/>
      <c r="K730" s="240"/>
      <c r="L730" s="240"/>
      <c r="M730" s="240"/>
      <c r="N730" s="240"/>
      <c r="O730" s="240"/>
      <c r="P730" s="240"/>
      <c r="Q730" s="240"/>
      <c r="R730" s="240"/>
      <c r="S730" s="240"/>
      <c r="T730" s="240"/>
      <c r="U730" s="240"/>
      <c r="V730" s="240"/>
      <c r="W730" s="240"/>
      <c r="X730" s="240"/>
      <c r="Y730" s="240"/>
      <c r="Z730" s="240"/>
    </row>
    <row r="731" spans="1:26" ht="15.75" customHeight="1" x14ac:dyDescent="0.55000000000000004">
      <c r="A731" s="240"/>
      <c r="B731" s="240"/>
      <c r="C731" s="240"/>
      <c r="D731" s="240"/>
      <c r="E731" s="240"/>
      <c r="F731" s="240"/>
      <c r="G731" s="240"/>
      <c r="H731" s="240"/>
      <c r="I731" s="240"/>
      <c r="J731" s="240"/>
      <c r="K731" s="240"/>
      <c r="L731" s="240"/>
      <c r="M731" s="240"/>
      <c r="N731" s="240"/>
      <c r="O731" s="240"/>
      <c r="P731" s="240"/>
      <c r="Q731" s="240"/>
      <c r="R731" s="240"/>
      <c r="S731" s="240"/>
      <c r="T731" s="240"/>
      <c r="U731" s="240"/>
      <c r="V731" s="240"/>
      <c r="W731" s="240"/>
      <c r="X731" s="240"/>
      <c r="Y731" s="240"/>
      <c r="Z731" s="240"/>
    </row>
    <row r="732" spans="1:26" ht="15.75" customHeight="1" x14ac:dyDescent="0.55000000000000004">
      <c r="A732" s="240"/>
      <c r="B732" s="240"/>
      <c r="C732" s="240"/>
      <c r="D732" s="240"/>
      <c r="E732" s="240"/>
      <c r="F732" s="240"/>
      <c r="G732" s="240"/>
      <c r="H732" s="240"/>
      <c r="I732" s="240"/>
      <c r="J732" s="240"/>
      <c r="K732" s="240"/>
      <c r="L732" s="240"/>
      <c r="M732" s="240"/>
      <c r="N732" s="240"/>
      <c r="O732" s="240"/>
      <c r="P732" s="240"/>
      <c r="Q732" s="240"/>
      <c r="R732" s="240"/>
      <c r="S732" s="240"/>
      <c r="T732" s="240"/>
      <c r="U732" s="240"/>
      <c r="V732" s="240"/>
      <c r="W732" s="240"/>
      <c r="X732" s="240"/>
      <c r="Y732" s="240"/>
      <c r="Z732" s="240"/>
    </row>
    <row r="733" spans="1:26" ht="15.75" customHeight="1" x14ac:dyDescent="0.55000000000000004">
      <c r="A733" s="240"/>
      <c r="B733" s="240"/>
      <c r="C733" s="240"/>
      <c r="D733" s="240"/>
      <c r="E733" s="240"/>
      <c r="F733" s="240"/>
      <c r="G733" s="240"/>
      <c r="H733" s="240"/>
      <c r="I733" s="240"/>
      <c r="J733" s="240"/>
      <c r="K733" s="240"/>
      <c r="L733" s="240"/>
      <c r="M733" s="240"/>
      <c r="N733" s="240"/>
      <c r="O733" s="240"/>
      <c r="P733" s="240"/>
      <c r="Q733" s="240"/>
      <c r="R733" s="240"/>
      <c r="S733" s="240"/>
      <c r="T733" s="240"/>
      <c r="U733" s="240"/>
      <c r="V733" s="240"/>
      <c r="W733" s="240"/>
      <c r="X733" s="240"/>
      <c r="Y733" s="240"/>
      <c r="Z733" s="240"/>
    </row>
    <row r="734" spans="1:26" ht="15.75" customHeight="1" x14ac:dyDescent="0.55000000000000004">
      <c r="A734" s="240"/>
      <c r="B734" s="240"/>
      <c r="C734" s="240"/>
      <c r="D734" s="240"/>
      <c r="E734" s="240"/>
      <c r="F734" s="240"/>
      <c r="G734" s="240"/>
      <c r="H734" s="240"/>
      <c r="I734" s="240"/>
      <c r="J734" s="240"/>
      <c r="K734" s="240"/>
      <c r="L734" s="240"/>
      <c r="M734" s="240"/>
      <c r="N734" s="240"/>
      <c r="O734" s="240"/>
      <c r="P734" s="240"/>
      <c r="Q734" s="240"/>
      <c r="R734" s="240"/>
      <c r="S734" s="240"/>
      <c r="T734" s="240"/>
      <c r="U734" s="240"/>
      <c r="V734" s="240"/>
      <c r="W734" s="240"/>
      <c r="X734" s="240"/>
      <c r="Y734" s="240"/>
      <c r="Z734" s="240"/>
    </row>
    <row r="735" spans="1:26" ht="15.75" customHeight="1" x14ac:dyDescent="0.55000000000000004">
      <c r="A735" s="240"/>
      <c r="B735" s="240"/>
      <c r="C735" s="240"/>
      <c r="D735" s="240"/>
      <c r="E735" s="240"/>
      <c r="F735" s="240"/>
      <c r="G735" s="240"/>
      <c r="H735" s="240"/>
      <c r="I735" s="240"/>
      <c r="J735" s="240"/>
      <c r="K735" s="240"/>
      <c r="L735" s="240"/>
      <c r="M735" s="240"/>
      <c r="N735" s="240"/>
      <c r="O735" s="240"/>
      <c r="P735" s="240"/>
      <c r="Q735" s="240"/>
      <c r="R735" s="240"/>
      <c r="S735" s="240"/>
      <c r="T735" s="240"/>
      <c r="U735" s="240"/>
      <c r="V735" s="240"/>
      <c r="W735" s="240"/>
      <c r="X735" s="240"/>
      <c r="Y735" s="240"/>
      <c r="Z735" s="240"/>
    </row>
    <row r="736" spans="1:26" ht="15.75" customHeight="1" x14ac:dyDescent="0.55000000000000004">
      <c r="A736" s="240"/>
      <c r="B736" s="240"/>
      <c r="C736" s="240"/>
      <c r="D736" s="240"/>
      <c r="E736" s="240"/>
      <c r="F736" s="240"/>
      <c r="G736" s="240"/>
      <c r="H736" s="240"/>
      <c r="I736" s="240"/>
      <c r="J736" s="240"/>
      <c r="K736" s="240"/>
      <c r="L736" s="240"/>
      <c r="M736" s="240"/>
      <c r="N736" s="240"/>
      <c r="O736" s="240"/>
      <c r="P736" s="240"/>
      <c r="Q736" s="240"/>
      <c r="R736" s="240"/>
      <c r="S736" s="240"/>
      <c r="T736" s="240"/>
      <c r="U736" s="240"/>
      <c r="V736" s="240"/>
      <c r="W736" s="240"/>
      <c r="X736" s="240"/>
      <c r="Y736" s="240"/>
      <c r="Z736" s="240"/>
    </row>
    <row r="737" spans="1:26" ht="15.75" customHeight="1" x14ac:dyDescent="0.55000000000000004">
      <c r="A737" s="240"/>
      <c r="B737" s="240"/>
      <c r="C737" s="240"/>
      <c r="D737" s="240"/>
      <c r="E737" s="240"/>
      <c r="F737" s="240"/>
      <c r="G737" s="240"/>
      <c r="H737" s="240"/>
      <c r="I737" s="240"/>
      <c r="J737" s="240"/>
      <c r="K737" s="240"/>
      <c r="L737" s="240"/>
      <c r="M737" s="240"/>
      <c r="N737" s="240"/>
      <c r="O737" s="240"/>
      <c r="P737" s="240"/>
      <c r="Q737" s="240"/>
      <c r="R737" s="240"/>
      <c r="S737" s="240"/>
      <c r="T737" s="240"/>
      <c r="U737" s="240"/>
      <c r="V737" s="240"/>
      <c r="W737" s="240"/>
      <c r="X737" s="240"/>
      <c r="Y737" s="240"/>
      <c r="Z737" s="240"/>
    </row>
    <row r="738" spans="1:26" ht="15.75" customHeight="1" x14ac:dyDescent="0.55000000000000004">
      <c r="A738" s="240"/>
      <c r="B738" s="240"/>
      <c r="C738" s="240"/>
      <c r="D738" s="240"/>
      <c r="E738" s="240"/>
      <c r="F738" s="240"/>
      <c r="G738" s="240"/>
      <c r="H738" s="240"/>
      <c r="I738" s="240"/>
      <c r="J738" s="240"/>
      <c r="K738" s="240"/>
      <c r="L738" s="240"/>
      <c r="M738" s="240"/>
      <c r="N738" s="240"/>
      <c r="O738" s="240"/>
      <c r="P738" s="240"/>
      <c r="Q738" s="240"/>
      <c r="R738" s="240"/>
      <c r="S738" s="240"/>
      <c r="T738" s="240"/>
      <c r="U738" s="240"/>
      <c r="V738" s="240"/>
      <c r="W738" s="240"/>
      <c r="X738" s="240"/>
      <c r="Y738" s="240"/>
      <c r="Z738" s="240"/>
    </row>
    <row r="739" spans="1:26" ht="15.75" customHeight="1" x14ac:dyDescent="0.55000000000000004">
      <c r="A739" s="240"/>
      <c r="B739" s="240"/>
      <c r="C739" s="240"/>
      <c r="D739" s="240"/>
      <c r="E739" s="240"/>
      <c r="F739" s="240"/>
      <c r="G739" s="240"/>
      <c r="H739" s="240"/>
      <c r="I739" s="240"/>
      <c r="J739" s="240"/>
      <c r="K739" s="240"/>
      <c r="L739" s="240"/>
      <c r="M739" s="240"/>
      <c r="N739" s="240"/>
      <c r="O739" s="240"/>
      <c r="P739" s="240"/>
      <c r="Q739" s="240"/>
      <c r="R739" s="240"/>
      <c r="S739" s="240"/>
      <c r="T739" s="240"/>
      <c r="U739" s="240"/>
      <c r="V739" s="240"/>
      <c r="W739" s="240"/>
      <c r="X739" s="240"/>
      <c r="Y739" s="240"/>
      <c r="Z739" s="240"/>
    </row>
    <row r="740" spans="1:26" ht="15.75" customHeight="1" x14ac:dyDescent="0.55000000000000004">
      <c r="A740" s="240"/>
      <c r="B740" s="240"/>
      <c r="C740" s="240"/>
      <c r="D740" s="240"/>
      <c r="E740" s="240"/>
      <c r="F740" s="240"/>
      <c r="G740" s="240"/>
      <c r="H740" s="240"/>
      <c r="I740" s="240"/>
      <c r="J740" s="240"/>
      <c r="K740" s="240"/>
      <c r="L740" s="240"/>
      <c r="M740" s="240"/>
      <c r="N740" s="240"/>
      <c r="O740" s="240"/>
      <c r="P740" s="240"/>
      <c r="Q740" s="240"/>
      <c r="R740" s="240"/>
      <c r="S740" s="240"/>
      <c r="T740" s="240"/>
      <c r="U740" s="240"/>
      <c r="V740" s="240"/>
      <c r="W740" s="240"/>
      <c r="X740" s="240"/>
      <c r="Y740" s="240"/>
      <c r="Z740" s="240"/>
    </row>
    <row r="741" spans="1:26" ht="15.75" customHeight="1" x14ac:dyDescent="0.55000000000000004">
      <c r="A741" s="240"/>
      <c r="B741" s="240"/>
      <c r="C741" s="240"/>
      <c r="D741" s="240"/>
      <c r="E741" s="240"/>
      <c r="F741" s="240"/>
      <c r="G741" s="240"/>
      <c r="H741" s="240"/>
      <c r="I741" s="240"/>
      <c r="J741" s="240"/>
      <c r="K741" s="240"/>
      <c r="L741" s="240"/>
      <c r="M741" s="240"/>
      <c r="N741" s="240"/>
      <c r="O741" s="240"/>
      <c r="P741" s="240"/>
      <c r="Q741" s="240"/>
      <c r="R741" s="240"/>
      <c r="S741" s="240"/>
      <c r="T741" s="240"/>
      <c r="U741" s="240"/>
      <c r="V741" s="240"/>
      <c r="W741" s="240"/>
      <c r="X741" s="240"/>
      <c r="Y741" s="240"/>
      <c r="Z741" s="240"/>
    </row>
    <row r="742" spans="1:26" ht="15.75" customHeight="1" x14ac:dyDescent="0.55000000000000004">
      <c r="A742" s="240"/>
      <c r="B742" s="240"/>
      <c r="C742" s="240"/>
      <c r="D742" s="240"/>
      <c r="E742" s="240"/>
      <c r="F742" s="240"/>
      <c r="G742" s="240"/>
      <c r="H742" s="240"/>
      <c r="I742" s="240"/>
      <c r="J742" s="240"/>
      <c r="K742" s="240"/>
      <c r="L742" s="240"/>
      <c r="M742" s="240"/>
      <c r="N742" s="240"/>
      <c r="O742" s="240"/>
      <c r="P742" s="240"/>
      <c r="Q742" s="240"/>
      <c r="R742" s="240"/>
      <c r="S742" s="240"/>
      <c r="T742" s="240"/>
      <c r="U742" s="240"/>
      <c r="V742" s="240"/>
      <c r="W742" s="240"/>
      <c r="X742" s="240"/>
      <c r="Y742" s="240"/>
      <c r="Z742" s="240"/>
    </row>
    <row r="743" spans="1:26" ht="15.75" customHeight="1" x14ac:dyDescent="0.55000000000000004">
      <c r="A743" s="240"/>
      <c r="B743" s="240"/>
      <c r="C743" s="240"/>
      <c r="D743" s="240"/>
      <c r="E743" s="240"/>
      <c r="F743" s="240"/>
      <c r="G743" s="240"/>
      <c r="H743" s="240"/>
      <c r="I743" s="240"/>
      <c r="J743" s="240"/>
      <c r="K743" s="240"/>
      <c r="L743" s="240"/>
      <c r="M743" s="240"/>
      <c r="N743" s="240"/>
      <c r="O743" s="240"/>
      <c r="P743" s="240"/>
      <c r="Q743" s="240"/>
      <c r="R743" s="240"/>
      <c r="S743" s="240"/>
      <c r="T743" s="240"/>
      <c r="U743" s="240"/>
      <c r="V743" s="240"/>
      <c r="W743" s="240"/>
      <c r="X743" s="240"/>
      <c r="Y743" s="240"/>
      <c r="Z743" s="240"/>
    </row>
    <row r="744" spans="1:26" ht="15.75" customHeight="1" x14ac:dyDescent="0.55000000000000004">
      <c r="A744" s="240"/>
      <c r="B744" s="240"/>
      <c r="C744" s="240"/>
      <c r="D744" s="240"/>
      <c r="E744" s="240"/>
      <c r="F744" s="240"/>
      <c r="G744" s="240"/>
      <c r="H744" s="240"/>
      <c r="I744" s="240"/>
      <c r="J744" s="240"/>
      <c r="K744" s="240"/>
      <c r="L744" s="240"/>
      <c r="M744" s="240"/>
      <c r="N744" s="240"/>
      <c r="O744" s="240"/>
      <c r="P744" s="240"/>
      <c r="Q744" s="240"/>
      <c r="R744" s="240"/>
      <c r="S744" s="240"/>
      <c r="T744" s="240"/>
      <c r="U744" s="240"/>
      <c r="V744" s="240"/>
      <c r="W744" s="240"/>
      <c r="X744" s="240"/>
      <c r="Y744" s="240"/>
      <c r="Z744" s="240"/>
    </row>
    <row r="745" spans="1:26" ht="15.75" customHeight="1" x14ac:dyDescent="0.55000000000000004">
      <c r="A745" s="240"/>
      <c r="B745" s="240"/>
      <c r="C745" s="240"/>
      <c r="D745" s="240"/>
      <c r="E745" s="240"/>
      <c r="F745" s="240"/>
      <c r="G745" s="240"/>
      <c r="H745" s="240"/>
      <c r="I745" s="240"/>
      <c r="J745" s="240"/>
      <c r="K745" s="240"/>
      <c r="L745" s="240"/>
      <c r="M745" s="240"/>
      <c r="N745" s="240"/>
      <c r="O745" s="240"/>
      <c r="P745" s="240"/>
      <c r="Q745" s="240"/>
      <c r="R745" s="240"/>
      <c r="S745" s="240"/>
      <c r="T745" s="240"/>
      <c r="U745" s="240"/>
      <c r="V745" s="240"/>
      <c r="W745" s="240"/>
      <c r="X745" s="240"/>
      <c r="Y745" s="240"/>
      <c r="Z745" s="240"/>
    </row>
    <row r="746" spans="1:26" ht="15.75" customHeight="1" x14ac:dyDescent="0.55000000000000004">
      <c r="A746" s="240"/>
      <c r="B746" s="240"/>
      <c r="C746" s="240"/>
      <c r="D746" s="240"/>
      <c r="E746" s="240"/>
      <c r="F746" s="240"/>
      <c r="G746" s="240"/>
      <c r="H746" s="240"/>
      <c r="I746" s="240"/>
      <c r="J746" s="240"/>
      <c r="K746" s="240"/>
      <c r="L746" s="240"/>
      <c r="M746" s="240"/>
      <c r="N746" s="240"/>
      <c r="O746" s="240"/>
      <c r="P746" s="240"/>
      <c r="Q746" s="240"/>
      <c r="R746" s="240"/>
      <c r="S746" s="240"/>
      <c r="T746" s="240"/>
      <c r="U746" s="240"/>
      <c r="V746" s="240"/>
      <c r="W746" s="240"/>
      <c r="X746" s="240"/>
      <c r="Y746" s="240"/>
      <c r="Z746" s="240"/>
    </row>
    <row r="747" spans="1:26" ht="15.75" customHeight="1" x14ac:dyDescent="0.55000000000000004">
      <c r="A747" s="240"/>
      <c r="B747" s="240"/>
      <c r="C747" s="240"/>
      <c r="D747" s="240"/>
      <c r="E747" s="240"/>
      <c r="F747" s="240"/>
      <c r="G747" s="240"/>
      <c r="H747" s="240"/>
      <c r="I747" s="240"/>
      <c r="J747" s="240"/>
      <c r="K747" s="240"/>
      <c r="L747" s="240"/>
      <c r="M747" s="240"/>
      <c r="N747" s="240"/>
      <c r="O747" s="240"/>
      <c r="P747" s="240"/>
      <c r="Q747" s="240"/>
      <c r="R747" s="240"/>
      <c r="S747" s="240"/>
      <c r="T747" s="240"/>
      <c r="U747" s="240"/>
      <c r="V747" s="240"/>
      <c r="W747" s="240"/>
      <c r="X747" s="240"/>
      <c r="Y747" s="240"/>
      <c r="Z747" s="240"/>
    </row>
    <row r="748" spans="1:26" ht="15.75" customHeight="1" x14ac:dyDescent="0.55000000000000004">
      <c r="A748" s="240"/>
      <c r="B748" s="240"/>
      <c r="C748" s="240"/>
      <c r="D748" s="240"/>
      <c r="E748" s="240"/>
      <c r="F748" s="240"/>
      <c r="G748" s="240"/>
      <c r="H748" s="240"/>
      <c r="I748" s="240"/>
      <c r="J748" s="240"/>
      <c r="K748" s="240"/>
      <c r="L748" s="240"/>
      <c r="M748" s="240"/>
      <c r="N748" s="240"/>
      <c r="O748" s="240"/>
      <c r="P748" s="240"/>
      <c r="Q748" s="240"/>
      <c r="R748" s="240"/>
      <c r="S748" s="240"/>
      <c r="T748" s="240"/>
      <c r="U748" s="240"/>
      <c r="V748" s="240"/>
      <c r="W748" s="240"/>
      <c r="X748" s="240"/>
      <c r="Y748" s="240"/>
      <c r="Z748" s="240"/>
    </row>
    <row r="749" spans="1:26" ht="15.75" customHeight="1" x14ac:dyDescent="0.55000000000000004">
      <c r="A749" s="240"/>
      <c r="B749" s="240"/>
      <c r="C749" s="240"/>
      <c r="D749" s="240"/>
      <c r="E749" s="240"/>
      <c r="F749" s="240"/>
      <c r="G749" s="240"/>
      <c r="H749" s="240"/>
      <c r="I749" s="240"/>
      <c r="J749" s="240"/>
      <c r="K749" s="240"/>
      <c r="L749" s="240"/>
      <c r="M749" s="240"/>
      <c r="N749" s="240"/>
      <c r="O749" s="240"/>
      <c r="P749" s="240"/>
      <c r="Q749" s="240"/>
      <c r="R749" s="240"/>
      <c r="S749" s="240"/>
      <c r="T749" s="240"/>
      <c r="U749" s="240"/>
      <c r="V749" s="240"/>
      <c r="W749" s="240"/>
      <c r="X749" s="240"/>
      <c r="Y749" s="240"/>
      <c r="Z749" s="240"/>
    </row>
    <row r="750" spans="1:26" ht="15.75" customHeight="1" x14ac:dyDescent="0.55000000000000004">
      <c r="A750" s="240"/>
      <c r="B750" s="240"/>
      <c r="C750" s="240"/>
      <c r="D750" s="240"/>
      <c r="E750" s="240"/>
      <c r="F750" s="240"/>
      <c r="G750" s="240"/>
      <c r="H750" s="240"/>
      <c r="I750" s="240"/>
      <c r="J750" s="240"/>
      <c r="K750" s="240"/>
      <c r="L750" s="240"/>
      <c r="M750" s="240"/>
      <c r="N750" s="240"/>
      <c r="O750" s="240"/>
      <c r="P750" s="240"/>
      <c r="Q750" s="240"/>
      <c r="R750" s="240"/>
      <c r="S750" s="240"/>
      <c r="T750" s="240"/>
      <c r="U750" s="240"/>
      <c r="V750" s="240"/>
      <c r="W750" s="240"/>
      <c r="X750" s="240"/>
      <c r="Y750" s="240"/>
      <c r="Z750" s="240"/>
    </row>
    <row r="751" spans="1:26" ht="15.75" customHeight="1" x14ac:dyDescent="0.55000000000000004">
      <c r="A751" s="240"/>
      <c r="B751" s="240"/>
      <c r="C751" s="240"/>
      <c r="D751" s="240"/>
      <c r="E751" s="240"/>
      <c r="F751" s="240"/>
      <c r="G751" s="240"/>
      <c r="H751" s="240"/>
      <c r="I751" s="240"/>
      <c r="J751" s="240"/>
      <c r="K751" s="240"/>
      <c r="L751" s="240"/>
      <c r="M751" s="240"/>
      <c r="N751" s="240"/>
      <c r="O751" s="240"/>
      <c r="P751" s="240"/>
      <c r="Q751" s="240"/>
      <c r="R751" s="240"/>
      <c r="S751" s="240"/>
      <c r="T751" s="240"/>
      <c r="U751" s="240"/>
      <c r="V751" s="240"/>
      <c r="W751" s="240"/>
      <c r="X751" s="240"/>
      <c r="Y751" s="240"/>
      <c r="Z751" s="240"/>
    </row>
    <row r="752" spans="1:26" ht="15.75" customHeight="1" x14ac:dyDescent="0.55000000000000004">
      <c r="A752" s="240"/>
      <c r="B752" s="240"/>
      <c r="C752" s="240"/>
      <c r="D752" s="240"/>
      <c r="E752" s="240"/>
      <c r="F752" s="240"/>
      <c r="G752" s="240"/>
      <c r="H752" s="240"/>
      <c r="I752" s="240"/>
      <c r="J752" s="240"/>
      <c r="K752" s="240"/>
      <c r="L752" s="240"/>
      <c r="M752" s="240"/>
      <c r="N752" s="240"/>
      <c r="O752" s="240"/>
      <c r="P752" s="240"/>
      <c r="Q752" s="240"/>
      <c r="R752" s="240"/>
      <c r="S752" s="240"/>
      <c r="T752" s="240"/>
      <c r="U752" s="240"/>
      <c r="V752" s="240"/>
      <c r="W752" s="240"/>
      <c r="X752" s="240"/>
      <c r="Y752" s="240"/>
      <c r="Z752" s="240"/>
    </row>
    <row r="753" spans="1:26" ht="15.75" customHeight="1" x14ac:dyDescent="0.55000000000000004">
      <c r="A753" s="240"/>
      <c r="B753" s="240"/>
      <c r="C753" s="240"/>
      <c r="D753" s="240"/>
      <c r="E753" s="240"/>
      <c r="F753" s="240"/>
      <c r="G753" s="240"/>
      <c r="H753" s="240"/>
      <c r="I753" s="240"/>
      <c r="J753" s="240"/>
      <c r="K753" s="240"/>
      <c r="L753" s="240"/>
      <c r="M753" s="240"/>
      <c r="N753" s="240"/>
      <c r="O753" s="240"/>
      <c r="P753" s="240"/>
      <c r="Q753" s="240"/>
      <c r="R753" s="240"/>
      <c r="S753" s="240"/>
      <c r="T753" s="240"/>
      <c r="U753" s="240"/>
      <c r="V753" s="240"/>
      <c r="W753" s="240"/>
      <c r="X753" s="240"/>
      <c r="Y753" s="240"/>
      <c r="Z753" s="240"/>
    </row>
    <row r="754" spans="1:26" ht="15.75" customHeight="1" x14ac:dyDescent="0.55000000000000004">
      <c r="A754" s="240"/>
      <c r="B754" s="240"/>
      <c r="C754" s="240"/>
      <c r="D754" s="240"/>
      <c r="E754" s="240"/>
      <c r="F754" s="240"/>
      <c r="G754" s="240"/>
      <c r="H754" s="240"/>
      <c r="I754" s="240"/>
      <c r="J754" s="240"/>
      <c r="K754" s="240"/>
      <c r="L754" s="240"/>
      <c r="M754" s="240"/>
      <c r="N754" s="240"/>
      <c r="O754" s="240"/>
      <c r="P754" s="240"/>
      <c r="Q754" s="240"/>
      <c r="R754" s="240"/>
      <c r="S754" s="240"/>
      <c r="T754" s="240"/>
      <c r="U754" s="240"/>
      <c r="V754" s="240"/>
      <c r="W754" s="240"/>
      <c r="X754" s="240"/>
      <c r="Y754" s="240"/>
      <c r="Z754" s="240"/>
    </row>
    <row r="755" spans="1:26" ht="15.75" customHeight="1" x14ac:dyDescent="0.55000000000000004">
      <c r="A755" s="240"/>
      <c r="B755" s="240"/>
      <c r="C755" s="240"/>
      <c r="D755" s="240"/>
      <c r="E755" s="240"/>
      <c r="F755" s="240"/>
      <c r="G755" s="240"/>
      <c r="H755" s="240"/>
      <c r="I755" s="240"/>
      <c r="J755" s="240"/>
      <c r="K755" s="240"/>
      <c r="L755" s="240"/>
      <c r="M755" s="240"/>
      <c r="N755" s="240"/>
      <c r="O755" s="240"/>
      <c r="P755" s="240"/>
      <c r="Q755" s="240"/>
      <c r="R755" s="240"/>
      <c r="S755" s="240"/>
      <c r="T755" s="240"/>
      <c r="U755" s="240"/>
      <c r="V755" s="240"/>
      <c r="W755" s="240"/>
      <c r="X755" s="240"/>
      <c r="Y755" s="240"/>
      <c r="Z755" s="240"/>
    </row>
    <row r="756" spans="1:26" ht="15.75" customHeight="1" x14ac:dyDescent="0.55000000000000004">
      <c r="A756" s="240"/>
      <c r="B756" s="240"/>
      <c r="C756" s="240"/>
      <c r="D756" s="240"/>
      <c r="E756" s="240"/>
      <c r="F756" s="240"/>
      <c r="G756" s="240"/>
      <c r="H756" s="240"/>
      <c r="I756" s="240"/>
      <c r="J756" s="240"/>
      <c r="K756" s="240"/>
      <c r="L756" s="240"/>
      <c r="M756" s="240"/>
      <c r="N756" s="240"/>
      <c r="O756" s="240"/>
      <c r="P756" s="240"/>
      <c r="Q756" s="240"/>
      <c r="R756" s="240"/>
      <c r="S756" s="240"/>
      <c r="T756" s="240"/>
      <c r="U756" s="240"/>
      <c r="V756" s="240"/>
      <c r="W756" s="240"/>
      <c r="X756" s="240"/>
      <c r="Y756" s="240"/>
      <c r="Z756" s="240"/>
    </row>
    <row r="757" spans="1:26" ht="15.75" customHeight="1" x14ac:dyDescent="0.55000000000000004">
      <c r="A757" s="240"/>
      <c r="B757" s="240"/>
      <c r="C757" s="240"/>
      <c r="D757" s="240"/>
      <c r="E757" s="240"/>
      <c r="F757" s="240"/>
      <c r="G757" s="240"/>
      <c r="H757" s="240"/>
      <c r="I757" s="240"/>
      <c r="J757" s="240"/>
      <c r="K757" s="240"/>
      <c r="L757" s="240"/>
      <c r="M757" s="240"/>
      <c r="N757" s="240"/>
      <c r="O757" s="240"/>
      <c r="P757" s="240"/>
      <c r="Q757" s="240"/>
      <c r="R757" s="240"/>
      <c r="S757" s="240"/>
      <c r="T757" s="240"/>
      <c r="U757" s="240"/>
      <c r="V757" s="240"/>
      <c r="W757" s="240"/>
      <c r="X757" s="240"/>
      <c r="Y757" s="240"/>
      <c r="Z757" s="240"/>
    </row>
    <row r="758" spans="1:26" ht="15.75" customHeight="1" x14ac:dyDescent="0.55000000000000004">
      <c r="A758" s="240"/>
      <c r="B758" s="240"/>
      <c r="C758" s="240"/>
      <c r="D758" s="240"/>
      <c r="E758" s="240"/>
      <c r="F758" s="240"/>
      <c r="G758" s="240"/>
      <c r="H758" s="240"/>
      <c r="I758" s="240"/>
      <c r="J758" s="240"/>
      <c r="K758" s="240"/>
      <c r="L758" s="240"/>
      <c r="M758" s="240"/>
      <c r="N758" s="240"/>
      <c r="O758" s="240"/>
      <c r="P758" s="240"/>
      <c r="Q758" s="240"/>
      <c r="R758" s="240"/>
      <c r="S758" s="240"/>
      <c r="T758" s="240"/>
      <c r="U758" s="240"/>
      <c r="V758" s="240"/>
      <c r="W758" s="240"/>
      <c r="X758" s="240"/>
      <c r="Y758" s="240"/>
      <c r="Z758" s="240"/>
    </row>
    <row r="759" spans="1:26" ht="15.75" customHeight="1" x14ac:dyDescent="0.55000000000000004">
      <c r="A759" s="240"/>
      <c r="B759" s="240"/>
      <c r="C759" s="240"/>
      <c r="D759" s="240"/>
      <c r="E759" s="240"/>
      <c r="F759" s="240"/>
      <c r="G759" s="240"/>
      <c r="H759" s="240"/>
      <c r="I759" s="240"/>
      <c r="J759" s="240"/>
      <c r="K759" s="240"/>
      <c r="L759" s="240"/>
      <c r="M759" s="240"/>
      <c r="N759" s="240"/>
      <c r="O759" s="240"/>
      <c r="P759" s="240"/>
      <c r="Q759" s="240"/>
      <c r="R759" s="240"/>
      <c r="S759" s="240"/>
      <c r="T759" s="240"/>
      <c r="U759" s="240"/>
      <c r="V759" s="240"/>
      <c r="W759" s="240"/>
      <c r="X759" s="240"/>
      <c r="Y759" s="240"/>
      <c r="Z759" s="240"/>
    </row>
    <row r="760" spans="1:26" ht="15.75" customHeight="1" x14ac:dyDescent="0.55000000000000004">
      <c r="A760" s="240"/>
      <c r="B760" s="240"/>
      <c r="C760" s="240"/>
      <c r="D760" s="240"/>
      <c r="E760" s="240"/>
      <c r="F760" s="240"/>
      <c r="G760" s="240"/>
      <c r="H760" s="240"/>
      <c r="I760" s="240"/>
      <c r="J760" s="240"/>
      <c r="K760" s="240"/>
      <c r="L760" s="240"/>
      <c r="M760" s="240"/>
      <c r="N760" s="240"/>
      <c r="O760" s="240"/>
      <c r="P760" s="240"/>
      <c r="Q760" s="240"/>
      <c r="R760" s="240"/>
      <c r="S760" s="240"/>
      <c r="T760" s="240"/>
      <c r="U760" s="240"/>
      <c r="V760" s="240"/>
      <c r="W760" s="240"/>
      <c r="X760" s="240"/>
      <c r="Y760" s="240"/>
      <c r="Z760" s="240"/>
    </row>
    <row r="761" spans="1:26" ht="15.75" customHeight="1" x14ac:dyDescent="0.55000000000000004">
      <c r="A761" s="240"/>
      <c r="B761" s="240"/>
      <c r="C761" s="240"/>
      <c r="D761" s="240"/>
      <c r="E761" s="240"/>
      <c r="F761" s="240"/>
      <c r="G761" s="240"/>
      <c r="H761" s="240"/>
      <c r="I761" s="240"/>
      <c r="J761" s="240"/>
      <c r="K761" s="240"/>
      <c r="L761" s="240"/>
      <c r="M761" s="240"/>
      <c r="N761" s="240"/>
      <c r="O761" s="240"/>
      <c r="P761" s="240"/>
      <c r="Q761" s="240"/>
      <c r="R761" s="240"/>
      <c r="S761" s="240"/>
      <c r="T761" s="240"/>
      <c r="U761" s="240"/>
      <c r="V761" s="240"/>
      <c r="W761" s="240"/>
      <c r="X761" s="240"/>
      <c r="Y761" s="240"/>
      <c r="Z761" s="240"/>
    </row>
    <row r="762" spans="1:26" ht="15.75" customHeight="1" x14ac:dyDescent="0.55000000000000004">
      <c r="A762" s="240"/>
      <c r="B762" s="240"/>
      <c r="C762" s="240"/>
      <c r="D762" s="240"/>
      <c r="E762" s="240"/>
      <c r="F762" s="240"/>
      <c r="G762" s="240"/>
      <c r="H762" s="240"/>
      <c r="I762" s="240"/>
      <c r="J762" s="240"/>
      <c r="K762" s="240"/>
      <c r="L762" s="240"/>
      <c r="M762" s="240"/>
      <c r="N762" s="240"/>
      <c r="O762" s="240"/>
      <c r="P762" s="240"/>
      <c r="Q762" s="240"/>
      <c r="R762" s="240"/>
      <c r="S762" s="240"/>
      <c r="T762" s="240"/>
      <c r="U762" s="240"/>
      <c r="V762" s="240"/>
      <c r="W762" s="240"/>
      <c r="X762" s="240"/>
      <c r="Y762" s="240"/>
      <c r="Z762" s="240"/>
    </row>
    <row r="763" spans="1:26" ht="15.75" customHeight="1" x14ac:dyDescent="0.55000000000000004">
      <c r="A763" s="240"/>
      <c r="B763" s="240"/>
      <c r="C763" s="240"/>
      <c r="D763" s="240"/>
      <c r="E763" s="240"/>
      <c r="F763" s="240"/>
      <c r="G763" s="240"/>
      <c r="H763" s="240"/>
      <c r="I763" s="240"/>
      <c r="J763" s="240"/>
      <c r="K763" s="240"/>
      <c r="L763" s="240"/>
      <c r="M763" s="240"/>
      <c r="N763" s="240"/>
      <c r="O763" s="240"/>
      <c r="P763" s="240"/>
      <c r="Q763" s="240"/>
      <c r="R763" s="240"/>
      <c r="S763" s="240"/>
      <c r="T763" s="240"/>
      <c r="U763" s="240"/>
      <c r="V763" s="240"/>
      <c r="W763" s="240"/>
      <c r="X763" s="240"/>
      <c r="Y763" s="240"/>
      <c r="Z763" s="240"/>
    </row>
    <row r="764" spans="1:26" ht="15.75" customHeight="1" x14ac:dyDescent="0.55000000000000004">
      <c r="A764" s="240"/>
      <c r="B764" s="240"/>
      <c r="C764" s="240"/>
      <c r="D764" s="240"/>
      <c r="E764" s="240"/>
      <c r="F764" s="240"/>
      <c r="G764" s="240"/>
      <c r="H764" s="240"/>
      <c r="I764" s="240"/>
      <c r="J764" s="240"/>
      <c r="K764" s="240"/>
      <c r="L764" s="240"/>
      <c r="M764" s="240"/>
      <c r="N764" s="240"/>
      <c r="O764" s="240"/>
      <c r="P764" s="240"/>
      <c r="Q764" s="240"/>
      <c r="R764" s="240"/>
      <c r="S764" s="240"/>
      <c r="T764" s="240"/>
      <c r="U764" s="240"/>
      <c r="V764" s="240"/>
      <c r="W764" s="240"/>
      <c r="X764" s="240"/>
      <c r="Y764" s="240"/>
      <c r="Z764" s="240"/>
    </row>
    <row r="765" spans="1:26" ht="15.75" customHeight="1" x14ac:dyDescent="0.55000000000000004">
      <c r="A765" s="240"/>
      <c r="B765" s="240"/>
      <c r="C765" s="240"/>
      <c r="D765" s="240"/>
      <c r="E765" s="240"/>
      <c r="F765" s="240"/>
      <c r="G765" s="240"/>
      <c r="H765" s="240"/>
      <c r="I765" s="240"/>
      <c r="J765" s="240"/>
      <c r="K765" s="240"/>
      <c r="L765" s="240"/>
      <c r="M765" s="240"/>
      <c r="N765" s="240"/>
      <c r="O765" s="240"/>
      <c r="P765" s="240"/>
      <c r="Q765" s="240"/>
      <c r="R765" s="240"/>
      <c r="S765" s="240"/>
      <c r="T765" s="240"/>
      <c r="U765" s="240"/>
      <c r="V765" s="240"/>
      <c r="W765" s="240"/>
      <c r="X765" s="240"/>
      <c r="Y765" s="240"/>
      <c r="Z765" s="240"/>
    </row>
    <row r="766" spans="1:26" ht="15.75" customHeight="1" x14ac:dyDescent="0.55000000000000004">
      <c r="A766" s="240"/>
      <c r="B766" s="240"/>
      <c r="C766" s="240"/>
      <c r="D766" s="240"/>
      <c r="E766" s="240"/>
      <c r="F766" s="240"/>
      <c r="G766" s="240"/>
      <c r="H766" s="240"/>
      <c r="I766" s="240"/>
      <c r="J766" s="240"/>
      <c r="K766" s="240"/>
      <c r="L766" s="240"/>
      <c r="M766" s="240"/>
      <c r="N766" s="240"/>
      <c r="O766" s="240"/>
      <c r="P766" s="240"/>
      <c r="Q766" s="240"/>
      <c r="R766" s="240"/>
      <c r="S766" s="240"/>
      <c r="T766" s="240"/>
      <c r="U766" s="240"/>
      <c r="V766" s="240"/>
      <c r="W766" s="240"/>
      <c r="X766" s="240"/>
      <c r="Y766" s="240"/>
      <c r="Z766" s="240"/>
    </row>
    <row r="767" spans="1:26" ht="15.75" customHeight="1" x14ac:dyDescent="0.55000000000000004">
      <c r="A767" s="240"/>
      <c r="B767" s="240"/>
      <c r="C767" s="240"/>
      <c r="D767" s="240"/>
      <c r="E767" s="240"/>
      <c r="F767" s="240"/>
      <c r="G767" s="240"/>
      <c r="H767" s="240"/>
      <c r="I767" s="240"/>
      <c r="J767" s="240"/>
      <c r="K767" s="240"/>
      <c r="L767" s="240"/>
      <c r="M767" s="240"/>
      <c r="N767" s="240"/>
      <c r="O767" s="240"/>
      <c r="P767" s="240"/>
      <c r="Q767" s="240"/>
      <c r="R767" s="240"/>
      <c r="S767" s="240"/>
      <c r="T767" s="240"/>
      <c r="U767" s="240"/>
      <c r="V767" s="240"/>
      <c r="W767" s="240"/>
      <c r="X767" s="240"/>
      <c r="Y767" s="240"/>
      <c r="Z767" s="240"/>
    </row>
    <row r="768" spans="1:26" ht="15.75" customHeight="1" x14ac:dyDescent="0.55000000000000004">
      <c r="A768" s="240"/>
      <c r="B768" s="240"/>
      <c r="C768" s="240"/>
      <c r="D768" s="240"/>
      <c r="E768" s="240"/>
      <c r="F768" s="240"/>
      <c r="G768" s="240"/>
      <c r="H768" s="240"/>
      <c r="I768" s="240"/>
      <c r="J768" s="240"/>
      <c r="K768" s="240"/>
      <c r="L768" s="240"/>
      <c r="M768" s="240"/>
      <c r="N768" s="240"/>
      <c r="O768" s="240"/>
      <c r="P768" s="240"/>
      <c r="Q768" s="240"/>
      <c r="R768" s="240"/>
      <c r="S768" s="240"/>
      <c r="T768" s="240"/>
      <c r="U768" s="240"/>
      <c r="V768" s="240"/>
      <c r="W768" s="240"/>
      <c r="X768" s="240"/>
      <c r="Y768" s="240"/>
      <c r="Z768" s="240"/>
    </row>
    <row r="769" spans="1:26" ht="15.75" customHeight="1" x14ac:dyDescent="0.55000000000000004">
      <c r="A769" s="240"/>
      <c r="B769" s="240"/>
      <c r="C769" s="240"/>
      <c r="D769" s="240"/>
      <c r="E769" s="240"/>
      <c r="F769" s="240"/>
      <c r="G769" s="240"/>
      <c r="H769" s="240"/>
      <c r="I769" s="240"/>
      <c r="J769" s="240"/>
      <c r="K769" s="240"/>
      <c r="L769" s="240"/>
      <c r="M769" s="240"/>
      <c r="N769" s="240"/>
      <c r="O769" s="240"/>
      <c r="P769" s="240"/>
      <c r="Q769" s="240"/>
      <c r="R769" s="240"/>
      <c r="S769" s="240"/>
      <c r="T769" s="240"/>
      <c r="U769" s="240"/>
      <c r="V769" s="240"/>
      <c r="W769" s="240"/>
      <c r="X769" s="240"/>
      <c r="Y769" s="240"/>
      <c r="Z769" s="240"/>
    </row>
    <row r="770" spans="1:26" ht="15.75" customHeight="1" x14ac:dyDescent="0.55000000000000004">
      <c r="A770" s="240"/>
      <c r="B770" s="240"/>
      <c r="C770" s="240"/>
      <c r="D770" s="240"/>
      <c r="E770" s="240"/>
      <c r="F770" s="240"/>
      <c r="G770" s="240"/>
      <c r="H770" s="240"/>
      <c r="I770" s="240"/>
      <c r="J770" s="240"/>
      <c r="K770" s="240"/>
      <c r="L770" s="240"/>
      <c r="M770" s="240"/>
      <c r="N770" s="240"/>
      <c r="O770" s="240"/>
      <c r="P770" s="240"/>
      <c r="Q770" s="240"/>
      <c r="R770" s="240"/>
      <c r="S770" s="240"/>
      <c r="T770" s="240"/>
      <c r="U770" s="240"/>
      <c r="V770" s="240"/>
      <c r="W770" s="240"/>
      <c r="X770" s="240"/>
      <c r="Y770" s="240"/>
      <c r="Z770" s="240"/>
    </row>
    <row r="771" spans="1:26" ht="15.75" customHeight="1" x14ac:dyDescent="0.55000000000000004">
      <c r="A771" s="240"/>
      <c r="B771" s="240"/>
      <c r="C771" s="240"/>
      <c r="D771" s="240"/>
      <c r="E771" s="240"/>
      <c r="F771" s="240"/>
      <c r="G771" s="240"/>
      <c r="H771" s="240"/>
      <c r="I771" s="240"/>
      <c r="J771" s="240"/>
      <c r="K771" s="240"/>
      <c r="L771" s="240"/>
      <c r="M771" s="240"/>
      <c r="N771" s="240"/>
      <c r="O771" s="240"/>
      <c r="P771" s="240"/>
      <c r="Q771" s="240"/>
      <c r="R771" s="240"/>
      <c r="S771" s="240"/>
      <c r="T771" s="240"/>
      <c r="U771" s="240"/>
      <c r="V771" s="240"/>
      <c r="W771" s="240"/>
      <c r="X771" s="240"/>
      <c r="Y771" s="240"/>
      <c r="Z771" s="240"/>
    </row>
    <row r="772" spans="1:26" ht="15.75" customHeight="1" x14ac:dyDescent="0.55000000000000004">
      <c r="A772" s="240"/>
      <c r="B772" s="240"/>
      <c r="C772" s="240"/>
      <c r="D772" s="240"/>
      <c r="E772" s="240"/>
      <c r="F772" s="240"/>
      <c r="G772" s="240"/>
      <c r="H772" s="240"/>
      <c r="I772" s="240"/>
      <c r="J772" s="240"/>
      <c r="K772" s="240"/>
      <c r="L772" s="240"/>
      <c r="M772" s="240"/>
      <c r="N772" s="240"/>
      <c r="O772" s="240"/>
      <c r="P772" s="240"/>
      <c r="Q772" s="240"/>
      <c r="R772" s="240"/>
      <c r="S772" s="240"/>
      <c r="T772" s="240"/>
      <c r="U772" s="240"/>
      <c r="V772" s="240"/>
      <c r="W772" s="240"/>
      <c r="X772" s="240"/>
      <c r="Y772" s="240"/>
      <c r="Z772" s="240"/>
    </row>
    <row r="773" spans="1:26" ht="15.75" customHeight="1" x14ac:dyDescent="0.55000000000000004">
      <c r="A773" s="240"/>
      <c r="B773" s="240"/>
      <c r="C773" s="240"/>
      <c r="D773" s="240"/>
      <c r="E773" s="240"/>
      <c r="F773" s="240"/>
      <c r="G773" s="240"/>
      <c r="H773" s="240"/>
      <c r="I773" s="240"/>
      <c r="J773" s="240"/>
      <c r="K773" s="240"/>
      <c r="L773" s="240"/>
      <c r="M773" s="240"/>
      <c r="N773" s="240"/>
      <c r="O773" s="240"/>
      <c r="P773" s="240"/>
      <c r="Q773" s="240"/>
      <c r="R773" s="240"/>
      <c r="S773" s="240"/>
      <c r="T773" s="240"/>
      <c r="U773" s="240"/>
      <c r="V773" s="240"/>
      <c r="W773" s="240"/>
      <c r="X773" s="240"/>
      <c r="Y773" s="240"/>
      <c r="Z773" s="240"/>
    </row>
    <row r="774" spans="1:26" ht="15.75" customHeight="1" x14ac:dyDescent="0.55000000000000004">
      <c r="A774" s="240"/>
      <c r="B774" s="240"/>
      <c r="C774" s="240"/>
      <c r="D774" s="240"/>
      <c r="E774" s="240"/>
      <c r="F774" s="240"/>
      <c r="G774" s="240"/>
      <c r="H774" s="240"/>
      <c r="I774" s="240"/>
      <c r="J774" s="240"/>
      <c r="K774" s="240"/>
      <c r="L774" s="240"/>
      <c r="M774" s="240"/>
      <c r="N774" s="240"/>
      <c r="O774" s="240"/>
      <c r="P774" s="240"/>
      <c r="Q774" s="240"/>
      <c r="R774" s="240"/>
      <c r="S774" s="240"/>
      <c r="T774" s="240"/>
      <c r="U774" s="240"/>
      <c r="V774" s="240"/>
      <c r="W774" s="240"/>
      <c r="X774" s="240"/>
      <c r="Y774" s="240"/>
      <c r="Z774" s="240"/>
    </row>
    <row r="775" spans="1:26" ht="15.75" customHeight="1" x14ac:dyDescent="0.55000000000000004">
      <c r="A775" s="240"/>
      <c r="B775" s="240"/>
      <c r="C775" s="240"/>
      <c r="D775" s="240"/>
      <c r="E775" s="240"/>
      <c r="F775" s="240"/>
      <c r="G775" s="240"/>
      <c r="H775" s="240"/>
      <c r="I775" s="240"/>
      <c r="J775" s="240"/>
      <c r="K775" s="240"/>
      <c r="L775" s="240"/>
      <c r="M775" s="240"/>
      <c r="N775" s="240"/>
      <c r="O775" s="240"/>
      <c r="P775" s="240"/>
      <c r="Q775" s="240"/>
      <c r="R775" s="240"/>
      <c r="S775" s="240"/>
      <c r="T775" s="240"/>
      <c r="U775" s="240"/>
      <c r="V775" s="240"/>
      <c r="W775" s="240"/>
      <c r="X775" s="240"/>
      <c r="Y775" s="240"/>
      <c r="Z775" s="240"/>
    </row>
    <row r="776" spans="1:26" ht="15.75" customHeight="1" x14ac:dyDescent="0.55000000000000004">
      <c r="A776" s="240"/>
      <c r="B776" s="240"/>
      <c r="C776" s="240"/>
      <c r="D776" s="240"/>
      <c r="E776" s="240"/>
      <c r="F776" s="240"/>
      <c r="G776" s="240"/>
      <c r="H776" s="240"/>
      <c r="I776" s="240"/>
      <c r="J776" s="240"/>
      <c r="K776" s="240"/>
      <c r="L776" s="240"/>
      <c r="M776" s="240"/>
      <c r="N776" s="240"/>
      <c r="O776" s="240"/>
      <c r="P776" s="240"/>
      <c r="Q776" s="240"/>
      <c r="R776" s="240"/>
      <c r="S776" s="240"/>
      <c r="T776" s="240"/>
      <c r="U776" s="240"/>
      <c r="V776" s="240"/>
      <c r="W776" s="240"/>
      <c r="X776" s="240"/>
      <c r="Y776" s="240"/>
      <c r="Z776" s="240"/>
    </row>
    <row r="777" spans="1:26" ht="15.75" customHeight="1" x14ac:dyDescent="0.55000000000000004">
      <c r="A777" s="240"/>
      <c r="B777" s="240"/>
      <c r="C777" s="240"/>
      <c r="D777" s="240"/>
      <c r="E777" s="240"/>
      <c r="F777" s="240"/>
      <c r="G777" s="240"/>
      <c r="H777" s="240"/>
      <c r="I777" s="240"/>
      <c r="J777" s="240"/>
      <c r="K777" s="240"/>
      <c r="L777" s="240"/>
      <c r="M777" s="240"/>
      <c r="N777" s="240"/>
      <c r="O777" s="240"/>
      <c r="P777" s="240"/>
      <c r="Q777" s="240"/>
      <c r="R777" s="240"/>
      <c r="S777" s="240"/>
      <c r="T777" s="240"/>
      <c r="U777" s="240"/>
      <c r="V777" s="240"/>
      <c r="W777" s="240"/>
      <c r="X777" s="240"/>
      <c r="Y777" s="240"/>
      <c r="Z777" s="240"/>
    </row>
    <row r="778" spans="1:26" ht="15.75" customHeight="1" x14ac:dyDescent="0.55000000000000004">
      <c r="A778" s="240"/>
      <c r="B778" s="240"/>
      <c r="C778" s="240"/>
      <c r="D778" s="240"/>
      <c r="E778" s="240"/>
      <c r="F778" s="240"/>
      <c r="G778" s="240"/>
      <c r="H778" s="240"/>
      <c r="I778" s="240"/>
      <c r="J778" s="240"/>
      <c r="K778" s="240"/>
      <c r="L778" s="240"/>
      <c r="M778" s="240"/>
      <c r="N778" s="240"/>
      <c r="O778" s="240"/>
      <c r="P778" s="240"/>
      <c r="Q778" s="240"/>
      <c r="R778" s="240"/>
      <c r="S778" s="240"/>
      <c r="T778" s="240"/>
      <c r="U778" s="240"/>
      <c r="V778" s="240"/>
      <c r="W778" s="240"/>
      <c r="X778" s="240"/>
      <c r="Y778" s="240"/>
      <c r="Z778" s="240"/>
    </row>
    <row r="779" spans="1:26" ht="15.75" customHeight="1" x14ac:dyDescent="0.55000000000000004">
      <c r="A779" s="240"/>
      <c r="B779" s="240"/>
      <c r="C779" s="240"/>
      <c r="D779" s="240"/>
      <c r="E779" s="240"/>
      <c r="F779" s="240"/>
      <c r="G779" s="240"/>
      <c r="H779" s="240"/>
      <c r="I779" s="240"/>
      <c r="J779" s="240"/>
      <c r="K779" s="240"/>
      <c r="L779" s="240"/>
      <c r="M779" s="240"/>
      <c r="N779" s="240"/>
      <c r="O779" s="240"/>
      <c r="P779" s="240"/>
      <c r="Q779" s="240"/>
      <c r="R779" s="240"/>
      <c r="S779" s="240"/>
      <c r="T779" s="240"/>
      <c r="U779" s="240"/>
      <c r="V779" s="240"/>
      <c r="W779" s="240"/>
      <c r="X779" s="240"/>
      <c r="Y779" s="240"/>
      <c r="Z779" s="240"/>
    </row>
    <row r="780" spans="1:26" ht="15.75" customHeight="1" x14ac:dyDescent="0.55000000000000004">
      <c r="A780" s="240"/>
      <c r="B780" s="240"/>
      <c r="C780" s="240"/>
      <c r="D780" s="240"/>
      <c r="E780" s="240"/>
      <c r="F780" s="240"/>
      <c r="G780" s="240"/>
      <c r="H780" s="240"/>
      <c r="I780" s="240"/>
      <c r="J780" s="240"/>
      <c r="K780" s="240"/>
      <c r="L780" s="240"/>
      <c r="M780" s="240"/>
      <c r="N780" s="240"/>
      <c r="O780" s="240"/>
      <c r="P780" s="240"/>
      <c r="Q780" s="240"/>
      <c r="R780" s="240"/>
      <c r="S780" s="240"/>
      <c r="T780" s="240"/>
      <c r="U780" s="240"/>
      <c r="V780" s="240"/>
      <c r="W780" s="240"/>
      <c r="X780" s="240"/>
      <c r="Y780" s="240"/>
      <c r="Z780" s="240"/>
    </row>
    <row r="781" spans="1:26" ht="15.75" customHeight="1" x14ac:dyDescent="0.55000000000000004">
      <c r="A781" s="240"/>
      <c r="B781" s="240"/>
      <c r="C781" s="240"/>
      <c r="D781" s="240"/>
      <c r="E781" s="240"/>
      <c r="F781" s="240"/>
      <c r="G781" s="240"/>
      <c r="H781" s="240"/>
      <c r="I781" s="240"/>
      <c r="J781" s="240"/>
      <c r="K781" s="240"/>
      <c r="L781" s="240"/>
      <c r="M781" s="240"/>
      <c r="N781" s="240"/>
      <c r="O781" s="240"/>
      <c r="P781" s="240"/>
      <c r="Q781" s="240"/>
      <c r="R781" s="240"/>
      <c r="S781" s="240"/>
      <c r="T781" s="240"/>
      <c r="U781" s="240"/>
      <c r="V781" s="240"/>
      <c r="W781" s="240"/>
      <c r="X781" s="240"/>
      <c r="Y781" s="240"/>
      <c r="Z781" s="240"/>
    </row>
    <row r="782" spans="1:26" ht="15.75" customHeight="1" x14ac:dyDescent="0.55000000000000004">
      <c r="A782" s="240"/>
      <c r="B782" s="240"/>
      <c r="C782" s="240"/>
      <c r="D782" s="240"/>
      <c r="E782" s="240"/>
      <c r="F782" s="240"/>
      <c r="G782" s="240"/>
      <c r="H782" s="240"/>
      <c r="I782" s="240"/>
      <c r="J782" s="240"/>
      <c r="K782" s="240"/>
      <c r="L782" s="240"/>
      <c r="M782" s="240"/>
      <c r="N782" s="240"/>
      <c r="O782" s="240"/>
      <c r="P782" s="240"/>
      <c r="Q782" s="240"/>
      <c r="R782" s="240"/>
      <c r="S782" s="240"/>
      <c r="T782" s="240"/>
      <c r="U782" s="240"/>
      <c r="V782" s="240"/>
      <c r="W782" s="240"/>
      <c r="X782" s="240"/>
      <c r="Y782" s="240"/>
      <c r="Z782" s="240"/>
    </row>
    <row r="783" spans="1:26" ht="15.75" customHeight="1" x14ac:dyDescent="0.55000000000000004">
      <c r="A783" s="240"/>
      <c r="B783" s="240"/>
      <c r="C783" s="240"/>
      <c r="D783" s="240"/>
      <c r="E783" s="240"/>
      <c r="F783" s="240"/>
      <c r="G783" s="240"/>
      <c r="H783" s="240"/>
      <c r="I783" s="240"/>
      <c r="J783" s="240"/>
      <c r="K783" s="240"/>
      <c r="L783" s="240"/>
      <c r="M783" s="240"/>
      <c r="N783" s="240"/>
      <c r="O783" s="240"/>
      <c r="P783" s="240"/>
      <c r="Q783" s="240"/>
      <c r="R783" s="240"/>
      <c r="S783" s="240"/>
      <c r="T783" s="240"/>
      <c r="U783" s="240"/>
      <c r="V783" s="240"/>
      <c r="W783" s="240"/>
      <c r="X783" s="240"/>
      <c r="Y783" s="240"/>
      <c r="Z783" s="240"/>
    </row>
    <row r="784" spans="1:26" ht="15.75" customHeight="1" x14ac:dyDescent="0.55000000000000004">
      <c r="A784" s="240"/>
      <c r="B784" s="240"/>
      <c r="C784" s="240"/>
      <c r="D784" s="240"/>
      <c r="E784" s="240"/>
      <c r="F784" s="240"/>
      <c r="G784" s="240"/>
      <c r="H784" s="240"/>
      <c r="I784" s="240"/>
      <c r="J784" s="240"/>
      <c r="K784" s="240"/>
      <c r="L784" s="240"/>
      <c r="M784" s="240"/>
      <c r="N784" s="240"/>
      <c r="O784" s="240"/>
      <c r="P784" s="240"/>
      <c r="Q784" s="240"/>
      <c r="R784" s="240"/>
      <c r="S784" s="240"/>
      <c r="T784" s="240"/>
      <c r="U784" s="240"/>
      <c r="V784" s="240"/>
      <c r="W784" s="240"/>
      <c r="X784" s="240"/>
      <c r="Y784" s="240"/>
      <c r="Z784" s="240"/>
    </row>
    <row r="785" spans="1:26" ht="15.75" customHeight="1" x14ac:dyDescent="0.55000000000000004">
      <c r="A785" s="240"/>
      <c r="B785" s="240"/>
      <c r="C785" s="240"/>
      <c r="D785" s="240"/>
      <c r="E785" s="240"/>
      <c r="F785" s="240"/>
      <c r="G785" s="240"/>
      <c r="H785" s="240"/>
      <c r="I785" s="240"/>
      <c r="J785" s="240"/>
      <c r="K785" s="240"/>
      <c r="L785" s="240"/>
      <c r="M785" s="240"/>
      <c r="N785" s="240"/>
      <c r="O785" s="240"/>
      <c r="P785" s="240"/>
      <c r="Q785" s="240"/>
      <c r="R785" s="240"/>
      <c r="S785" s="240"/>
      <c r="T785" s="240"/>
      <c r="U785" s="240"/>
      <c r="V785" s="240"/>
      <c r="W785" s="240"/>
      <c r="X785" s="240"/>
      <c r="Y785" s="240"/>
      <c r="Z785" s="240"/>
    </row>
    <row r="786" spans="1:26" ht="15.75" customHeight="1" x14ac:dyDescent="0.55000000000000004">
      <c r="A786" s="240"/>
      <c r="B786" s="240"/>
      <c r="C786" s="240"/>
      <c r="D786" s="240"/>
      <c r="E786" s="240"/>
      <c r="F786" s="240"/>
      <c r="G786" s="240"/>
      <c r="H786" s="240"/>
      <c r="I786" s="240"/>
      <c r="J786" s="240"/>
      <c r="K786" s="240"/>
      <c r="L786" s="240"/>
      <c r="M786" s="240"/>
      <c r="N786" s="240"/>
      <c r="O786" s="240"/>
      <c r="P786" s="240"/>
      <c r="Q786" s="240"/>
      <c r="R786" s="240"/>
      <c r="S786" s="240"/>
      <c r="T786" s="240"/>
      <c r="U786" s="240"/>
      <c r="V786" s="240"/>
      <c r="W786" s="240"/>
      <c r="X786" s="240"/>
      <c r="Y786" s="240"/>
      <c r="Z786" s="240"/>
    </row>
    <row r="787" spans="1:26" ht="15.75" customHeight="1" x14ac:dyDescent="0.55000000000000004">
      <c r="A787" s="240"/>
      <c r="B787" s="240"/>
      <c r="C787" s="240"/>
      <c r="D787" s="240"/>
      <c r="E787" s="240"/>
      <c r="F787" s="240"/>
      <c r="G787" s="240"/>
      <c r="H787" s="240"/>
      <c r="I787" s="240"/>
      <c r="J787" s="240"/>
      <c r="K787" s="240"/>
      <c r="L787" s="240"/>
      <c r="M787" s="240"/>
      <c r="N787" s="240"/>
      <c r="O787" s="240"/>
      <c r="P787" s="240"/>
      <c r="Q787" s="240"/>
      <c r="R787" s="240"/>
      <c r="S787" s="240"/>
      <c r="T787" s="240"/>
      <c r="U787" s="240"/>
      <c r="V787" s="240"/>
      <c r="W787" s="240"/>
      <c r="X787" s="240"/>
      <c r="Y787" s="240"/>
      <c r="Z787" s="240"/>
    </row>
    <row r="788" spans="1:26" ht="15.75" customHeight="1" x14ac:dyDescent="0.55000000000000004">
      <c r="A788" s="240"/>
      <c r="B788" s="240"/>
      <c r="C788" s="240"/>
      <c r="D788" s="240"/>
      <c r="E788" s="240"/>
      <c r="F788" s="240"/>
      <c r="G788" s="240"/>
      <c r="H788" s="240"/>
      <c r="I788" s="240"/>
      <c r="J788" s="240"/>
      <c r="K788" s="240"/>
      <c r="L788" s="240"/>
      <c r="M788" s="240"/>
      <c r="N788" s="240"/>
      <c r="O788" s="240"/>
      <c r="P788" s="240"/>
      <c r="Q788" s="240"/>
      <c r="R788" s="240"/>
      <c r="S788" s="240"/>
      <c r="T788" s="240"/>
      <c r="U788" s="240"/>
      <c r="V788" s="240"/>
      <c r="W788" s="240"/>
      <c r="X788" s="240"/>
      <c r="Y788" s="240"/>
      <c r="Z788" s="240"/>
    </row>
    <row r="789" spans="1:26" ht="15.75" customHeight="1" x14ac:dyDescent="0.55000000000000004">
      <c r="A789" s="240"/>
      <c r="B789" s="240"/>
      <c r="C789" s="240"/>
      <c r="D789" s="240"/>
      <c r="E789" s="240"/>
      <c r="F789" s="240"/>
      <c r="G789" s="240"/>
      <c r="H789" s="240"/>
      <c r="I789" s="240"/>
      <c r="J789" s="240"/>
      <c r="K789" s="240"/>
      <c r="L789" s="240"/>
      <c r="M789" s="240"/>
      <c r="N789" s="240"/>
      <c r="O789" s="240"/>
      <c r="P789" s="240"/>
      <c r="Q789" s="240"/>
      <c r="R789" s="240"/>
      <c r="S789" s="240"/>
      <c r="T789" s="240"/>
      <c r="U789" s="240"/>
      <c r="V789" s="240"/>
      <c r="W789" s="240"/>
      <c r="X789" s="240"/>
      <c r="Y789" s="240"/>
      <c r="Z789" s="240"/>
    </row>
    <row r="790" spans="1:26" ht="15.75" customHeight="1" x14ac:dyDescent="0.55000000000000004">
      <c r="A790" s="240"/>
      <c r="B790" s="240"/>
      <c r="C790" s="240"/>
      <c r="D790" s="240"/>
      <c r="E790" s="240"/>
      <c r="F790" s="240"/>
      <c r="G790" s="240"/>
      <c r="H790" s="240"/>
      <c r="I790" s="240"/>
      <c r="J790" s="240"/>
      <c r="K790" s="240"/>
      <c r="L790" s="240"/>
      <c r="M790" s="240"/>
      <c r="N790" s="240"/>
      <c r="O790" s="240"/>
      <c r="P790" s="240"/>
      <c r="Q790" s="240"/>
      <c r="R790" s="240"/>
      <c r="S790" s="240"/>
      <c r="T790" s="240"/>
      <c r="U790" s="240"/>
      <c r="V790" s="240"/>
      <c r="W790" s="240"/>
      <c r="X790" s="240"/>
      <c r="Y790" s="240"/>
      <c r="Z790" s="240"/>
    </row>
    <row r="791" spans="1:26" ht="15.75" customHeight="1" x14ac:dyDescent="0.55000000000000004">
      <c r="A791" s="240"/>
      <c r="B791" s="240"/>
      <c r="C791" s="240"/>
      <c r="D791" s="240"/>
      <c r="E791" s="240"/>
      <c r="F791" s="240"/>
      <c r="G791" s="240"/>
      <c r="H791" s="240"/>
      <c r="I791" s="240"/>
      <c r="J791" s="240"/>
      <c r="K791" s="240"/>
      <c r="L791" s="240"/>
      <c r="M791" s="240"/>
      <c r="N791" s="240"/>
      <c r="O791" s="240"/>
      <c r="P791" s="240"/>
      <c r="Q791" s="240"/>
      <c r="R791" s="240"/>
      <c r="S791" s="240"/>
      <c r="T791" s="240"/>
      <c r="U791" s="240"/>
      <c r="V791" s="240"/>
      <c r="W791" s="240"/>
      <c r="X791" s="240"/>
      <c r="Y791" s="240"/>
      <c r="Z791" s="240"/>
    </row>
    <row r="792" spans="1:26" ht="15.75" customHeight="1" x14ac:dyDescent="0.55000000000000004">
      <c r="A792" s="240"/>
      <c r="B792" s="240"/>
      <c r="C792" s="240"/>
      <c r="D792" s="240"/>
      <c r="E792" s="240"/>
      <c r="F792" s="240"/>
      <c r="G792" s="240"/>
      <c r="H792" s="240"/>
      <c r="I792" s="240"/>
      <c r="J792" s="240"/>
      <c r="K792" s="240"/>
      <c r="L792" s="240"/>
      <c r="M792" s="240"/>
      <c r="N792" s="240"/>
      <c r="O792" s="240"/>
      <c r="P792" s="240"/>
      <c r="Q792" s="240"/>
      <c r="R792" s="240"/>
      <c r="S792" s="240"/>
      <c r="T792" s="240"/>
      <c r="U792" s="240"/>
      <c r="V792" s="240"/>
      <c r="W792" s="240"/>
      <c r="X792" s="240"/>
      <c r="Y792" s="240"/>
      <c r="Z792" s="240"/>
    </row>
    <row r="793" spans="1:26" ht="15.75" customHeight="1" x14ac:dyDescent="0.55000000000000004">
      <c r="A793" s="240"/>
      <c r="B793" s="240"/>
      <c r="C793" s="240"/>
      <c r="D793" s="240"/>
      <c r="E793" s="240"/>
      <c r="F793" s="240"/>
      <c r="G793" s="240"/>
      <c r="H793" s="240"/>
      <c r="I793" s="240"/>
      <c r="J793" s="240"/>
      <c r="K793" s="240"/>
      <c r="L793" s="240"/>
      <c r="M793" s="240"/>
      <c r="N793" s="240"/>
      <c r="O793" s="240"/>
      <c r="P793" s="240"/>
      <c r="Q793" s="240"/>
      <c r="R793" s="240"/>
      <c r="S793" s="240"/>
      <c r="T793" s="240"/>
      <c r="U793" s="240"/>
      <c r="V793" s="240"/>
      <c r="W793" s="240"/>
      <c r="X793" s="240"/>
      <c r="Y793" s="240"/>
      <c r="Z793" s="240"/>
    </row>
    <row r="794" spans="1:26" ht="15.75" customHeight="1" x14ac:dyDescent="0.55000000000000004">
      <c r="A794" s="240"/>
      <c r="B794" s="240"/>
      <c r="C794" s="240"/>
      <c r="D794" s="240"/>
      <c r="E794" s="240"/>
      <c r="F794" s="240"/>
      <c r="G794" s="240"/>
      <c r="H794" s="240"/>
      <c r="I794" s="240"/>
      <c r="J794" s="240"/>
      <c r="K794" s="240"/>
      <c r="L794" s="240"/>
      <c r="M794" s="240"/>
      <c r="N794" s="240"/>
      <c r="O794" s="240"/>
      <c r="P794" s="240"/>
      <c r="Q794" s="240"/>
      <c r="R794" s="240"/>
      <c r="S794" s="240"/>
      <c r="T794" s="240"/>
      <c r="U794" s="240"/>
      <c r="V794" s="240"/>
      <c r="W794" s="240"/>
      <c r="X794" s="240"/>
      <c r="Y794" s="240"/>
      <c r="Z794" s="240"/>
    </row>
    <row r="795" spans="1:26" ht="15.75" customHeight="1" x14ac:dyDescent="0.55000000000000004">
      <c r="A795" s="240"/>
      <c r="B795" s="240"/>
      <c r="C795" s="240"/>
      <c r="D795" s="240"/>
      <c r="E795" s="240"/>
      <c r="F795" s="240"/>
      <c r="G795" s="240"/>
      <c r="H795" s="240"/>
      <c r="I795" s="240"/>
      <c r="J795" s="240"/>
      <c r="K795" s="240"/>
      <c r="L795" s="240"/>
      <c r="M795" s="240"/>
      <c r="N795" s="240"/>
      <c r="O795" s="240"/>
      <c r="P795" s="240"/>
      <c r="Q795" s="240"/>
      <c r="R795" s="240"/>
      <c r="S795" s="240"/>
      <c r="T795" s="240"/>
      <c r="U795" s="240"/>
      <c r="V795" s="240"/>
      <c r="W795" s="240"/>
      <c r="X795" s="240"/>
      <c r="Y795" s="240"/>
      <c r="Z795" s="240"/>
    </row>
    <row r="796" spans="1:26" ht="15.75" customHeight="1" x14ac:dyDescent="0.55000000000000004">
      <c r="A796" s="240"/>
      <c r="B796" s="240"/>
      <c r="C796" s="240"/>
      <c r="D796" s="240"/>
      <c r="E796" s="240"/>
      <c r="F796" s="240"/>
      <c r="G796" s="240"/>
      <c r="H796" s="240"/>
      <c r="I796" s="240"/>
      <c r="J796" s="240"/>
      <c r="K796" s="240"/>
      <c r="L796" s="240"/>
      <c r="M796" s="240"/>
      <c r="N796" s="240"/>
      <c r="O796" s="240"/>
      <c r="P796" s="240"/>
      <c r="Q796" s="240"/>
      <c r="R796" s="240"/>
      <c r="S796" s="240"/>
      <c r="T796" s="240"/>
      <c r="U796" s="240"/>
      <c r="V796" s="240"/>
      <c r="W796" s="240"/>
      <c r="X796" s="240"/>
      <c r="Y796" s="240"/>
      <c r="Z796" s="240"/>
    </row>
    <row r="797" spans="1:26" ht="15.75" customHeight="1" x14ac:dyDescent="0.55000000000000004">
      <c r="A797" s="240"/>
      <c r="B797" s="240"/>
      <c r="C797" s="240"/>
      <c r="D797" s="240"/>
      <c r="E797" s="240"/>
      <c r="F797" s="240"/>
      <c r="G797" s="240"/>
      <c r="H797" s="240"/>
      <c r="I797" s="240"/>
      <c r="J797" s="240"/>
      <c r="K797" s="240"/>
      <c r="L797" s="240"/>
      <c r="M797" s="240"/>
      <c r="N797" s="240"/>
      <c r="O797" s="240"/>
      <c r="P797" s="240"/>
      <c r="Q797" s="240"/>
      <c r="R797" s="240"/>
      <c r="S797" s="240"/>
      <c r="T797" s="240"/>
      <c r="U797" s="240"/>
      <c r="V797" s="240"/>
      <c r="W797" s="240"/>
      <c r="X797" s="240"/>
      <c r="Y797" s="240"/>
      <c r="Z797" s="240"/>
    </row>
    <row r="798" spans="1:26" ht="15.75" customHeight="1" x14ac:dyDescent="0.55000000000000004">
      <c r="A798" s="240"/>
      <c r="B798" s="240"/>
      <c r="C798" s="240"/>
      <c r="D798" s="240"/>
      <c r="E798" s="240"/>
      <c r="F798" s="240"/>
      <c r="G798" s="240"/>
      <c r="H798" s="240"/>
      <c r="I798" s="240"/>
      <c r="J798" s="240"/>
      <c r="K798" s="240"/>
      <c r="L798" s="240"/>
      <c r="M798" s="240"/>
      <c r="N798" s="240"/>
      <c r="O798" s="240"/>
      <c r="P798" s="240"/>
      <c r="Q798" s="240"/>
      <c r="R798" s="240"/>
      <c r="S798" s="240"/>
      <c r="T798" s="240"/>
      <c r="U798" s="240"/>
      <c r="V798" s="240"/>
      <c r="W798" s="240"/>
      <c r="X798" s="240"/>
      <c r="Y798" s="240"/>
      <c r="Z798" s="240"/>
    </row>
    <row r="799" spans="1:26" ht="15.75" customHeight="1" x14ac:dyDescent="0.55000000000000004">
      <c r="A799" s="240"/>
      <c r="B799" s="240"/>
      <c r="C799" s="240"/>
      <c r="D799" s="240"/>
      <c r="E799" s="240"/>
      <c r="F799" s="240"/>
      <c r="G799" s="240"/>
      <c r="H799" s="240"/>
      <c r="I799" s="240"/>
      <c r="J799" s="240"/>
      <c r="K799" s="240"/>
      <c r="L799" s="240"/>
      <c r="M799" s="240"/>
      <c r="N799" s="240"/>
      <c r="O799" s="240"/>
      <c r="P799" s="240"/>
      <c r="Q799" s="240"/>
      <c r="R799" s="240"/>
      <c r="S799" s="240"/>
      <c r="T799" s="240"/>
      <c r="U799" s="240"/>
      <c r="V799" s="240"/>
      <c r="W799" s="240"/>
      <c r="X799" s="240"/>
      <c r="Y799" s="240"/>
      <c r="Z799" s="240"/>
    </row>
    <row r="800" spans="1:26" ht="15.75" customHeight="1" x14ac:dyDescent="0.55000000000000004">
      <c r="A800" s="240"/>
      <c r="B800" s="240"/>
      <c r="C800" s="240"/>
      <c r="D800" s="240"/>
      <c r="E800" s="240"/>
      <c r="F800" s="240"/>
      <c r="G800" s="240"/>
      <c r="H800" s="240"/>
      <c r="I800" s="240"/>
      <c r="J800" s="240"/>
      <c r="K800" s="240"/>
      <c r="L800" s="240"/>
      <c r="M800" s="240"/>
      <c r="N800" s="240"/>
      <c r="O800" s="240"/>
      <c r="P800" s="240"/>
      <c r="Q800" s="240"/>
      <c r="R800" s="240"/>
      <c r="S800" s="240"/>
      <c r="T800" s="240"/>
      <c r="U800" s="240"/>
      <c r="V800" s="240"/>
      <c r="W800" s="240"/>
      <c r="X800" s="240"/>
      <c r="Y800" s="240"/>
      <c r="Z800" s="240"/>
    </row>
    <row r="801" spans="1:26" ht="15.75" customHeight="1" x14ac:dyDescent="0.55000000000000004">
      <c r="A801" s="240"/>
      <c r="B801" s="240"/>
      <c r="C801" s="240"/>
      <c r="D801" s="240"/>
      <c r="E801" s="240"/>
      <c r="F801" s="240"/>
      <c r="G801" s="240"/>
      <c r="H801" s="240"/>
      <c r="I801" s="240"/>
      <c r="J801" s="240"/>
      <c r="K801" s="240"/>
      <c r="L801" s="240"/>
      <c r="M801" s="240"/>
      <c r="N801" s="240"/>
      <c r="O801" s="240"/>
      <c r="P801" s="240"/>
      <c r="Q801" s="240"/>
      <c r="R801" s="240"/>
      <c r="S801" s="240"/>
      <c r="T801" s="240"/>
      <c r="U801" s="240"/>
      <c r="V801" s="240"/>
      <c r="W801" s="240"/>
      <c r="X801" s="240"/>
      <c r="Y801" s="240"/>
      <c r="Z801" s="240"/>
    </row>
    <row r="802" spans="1:26" ht="15.75" customHeight="1" x14ac:dyDescent="0.55000000000000004">
      <c r="A802" s="240"/>
      <c r="B802" s="240"/>
      <c r="C802" s="240"/>
      <c r="D802" s="240"/>
      <c r="E802" s="240"/>
      <c r="F802" s="240"/>
      <c r="G802" s="240"/>
      <c r="H802" s="240"/>
      <c r="I802" s="240"/>
      <c r="J802" s="240"/>
      <c r="K802" s="240"/>
      <c r="L802" s="240"/>
      <c r="M802" s="240"/>
      <c r="N802" s="240"/>
      <c r="O802" s="240"/>
      <c r="P802" s="240"/>
      <c r="Q802" s="240"/>
      <c r="R802" s="240"/>
      <c r="S802" s="240"/>
      <c r="T802" s="240"/>
      <c r="U802" s="240"/>
      <c r="V802" s="240"/>
      <c r="W802" s="240"/>
      <c r="X802" s="240"/>
      <c r="Y802" s="240"/>
      <c r="Z802" s="240"/>
    </row>
    <row r="803" spans="1:26" ht="15.75" customHeight="1" x14ac:dyDescent="0.55000000000000004">
      <c r="A803" s="240"/>
      <c r="B803" s="240"/>
      <c r="C803" s="240"/>
      <c r="D803" s="240"/>
      <c r="E803" s="240"/>
      <c r="F803" s="240"/>
      <c r="G803" s="240"/>
      <c r="H803" s="240"/>
      <c r="I803" s="240"/>
      <c r="J803" s="240"/>
      <c r="K803" s="240"/>
      <c r="L803" s="240"/>
      <c r="M803" s="240"/>
      <c r="N803" s="240"/>
      <c r="O803" s="240"/>
      <c r="P803" s="240"/>
      <c r="Q803" s="240"/>
      <c r="R803" s="240"/>
      <c r="S803" s="240"/>
      <c r="T803" s="240"/>
      <c r="U803" s="240"/>
      <c r="V803" s="240"/>
      <c r="W803" s="240"/>
      <c r="X803" s="240"/>
      <c r="Y803" s="240"/>
      <c r="Z803" s="240"/>
    </row>
    <row r="804" spans="1:26" ht="15.75" customHeight="1" x14ac:dyDescent="0.55000000000000004">
      <c r="A804" s="240"/>
      <c r="B804" s="240"/>
      <c r="C804" s="240"/>
      <c r="D804" s="240"/>
      <c r="E804" s="240"/>
      <c r="F804" s="240"/>
      <c r="G804" s="240"/>
      <c r="H804" s="240"/>
      <c r="I804" s="240"/>
      <c r="J804" s="240"/>
      <c r="K804" s="240"/>
      <c r="L804" s="240"/>
      <c r="M804" s="240"/>
      <c r="N804" s="240"/>
      <c r="O804" s="240"/>
      <c r="P804" s="240"/>
      <c r="Q804" s="240"/>
      <c r="R804" s="240"/>
      <c r="S804" s="240"/>
      <c r="T804" s="240"/>
      <c r="U804" s="240"/>
      <c r="V804" s="240"/>
      <c r="W804" s="240"/>
      <c r="X804" s="240"/>
      <c r="Y804" s="240"/>
      <c r="Z804" s="240"/>
    </row>
    <row r="805" spans="1:26" ht="15.75" customHeight="1" x14ac:dyDescent="0.55000000000000004">
      <c r="A805" s="240"/>
      <c r="B805" s="240"/>
      <c r="C805" s="240"/>
      <c r="D805" s="240"/>
      <c r="E805" s="240"/>
      <c r="F805" s="240"/>
      <c r="G805" s="240"/>
      <c r="H805" s="240"/>
      <c r="I805" s="240"/>
      <c r="J805" s="240"/>
      <c r="K805" s="240"/>
      <c r="L805" s="240"/>
      <c r="M805" s="240"/>
      <c r="N805" s="240"/>
      <c r="O805" s="240"/>
      <c r="P805" s="240"/>
      <c r="Q805" s="240"/>
      <c r="R805" s="240"/>
      <c r="S805" s="240"/>
      <c r="T805" s="240"/>
      <c r="U805" s="240"/>
      <c r="V805" s="240"/>
      <c r="W805" s="240"/>
      <c r="X805" s="240"/>
      <c r="Y805" s="240"/>
      <c r="Z805" s="240"/>
    </row>
    <row r="806" spans="1:26" ht="15.75" customHeight="1" x14ac:dyDescent="0.55000000000000004">
      <c r="A806" s="240"/>
      <c r="B806" s="240"/>
      <c r="C806" s="240"/>
      <c r="D806" s="240"/>
      <c r="E806" s="240"/>
      <c r="F806" s="240"/>
      <c r="G806" s="240"/>
      <c r="H806" s="240"/>
      <c r="I806" s="240"/>
      <c r="J806" s="240"/>
      <c r="K806" s="240"/>
      <c r="L806" s="240"/>
      <c r="M806" s="240"/>
      <c r="N806" s="240"/>
      <c r="O806" s="240"/>
      <c r="P806" s="240"/>
      <c r="Q806" s="240"/>
      <c r="R806" s="240"/>
      <c r="S806" s="240"/>
      <c r="T806" s="240"/>
      <c r="U806" s="240"/>
      <c r="V806" s="240"/>
      <c r="W806" s="240"/>
      <c r="X806" s="240"/>
      <c r="Y806" s="240"/>
      <c r="Z806" s="240"/>
    </row>
    <row r="807" spans="1:26" ht="15.75" customHeight="1" x14ac:dyDescent="0.55000000000000004">
      <c r="A807" s="240"/>
      <c r="B807" s="240"/>
      <c r="C807" s="240"/>
      <c r="D807" s="240"/>
      <c r="E807" s="240"/>
      <c r="F807" s="240"/>
      <c r="G807" s="240"/>
      <c r="H807" s="240"/>
      <c r="I807" s="240"/>
      <c r="J807" s="240"/>
      <c r="K807" s="240"/>
      <c r="L807" s="240"/>
      <c r="M807" s="240"/>
      <c r="N807" s="240"/>
      <c r="O807" s="240"/>
      <c r="P807" s="240"/>
      <c r="Q807" s="240"/>
      <c r="R807" s="240"/>
      <c r="S807" s="240"/>
      <c r="T807" s="240"/>
      <c r="U807" s="240"/>
      <c r="V807" s="240"/>
      <c r="W807" s="240"/>
      <c r="X807" s="240"/>
      <c r="Y807" s="240"/>
      <c r="Z807" s="240"/>
    </row>
    <row r="808" spans="1:26" ht="15.75" customHeight="1" x14ac:dyDescent="0.55000000000000004">
      <c r="A808" s="240"/>
      <c r="B808" s="240"/>
      <c r="C808" s="240"/>
      <c r="D808" s="240"/>
      <c r="E808" s="240"/>
      <c r="F808" s="240"/>
      <c r="G808" s="240"/>
      <c r="H808" s="240"/>
      <c r="I808" s="240"/>
      <c r="J808" s="240"/>
      <c r="K808" s="240"/>
      <c r="L808" s="240"/>
      <c r="M808" s="240"/>
      <c r="N808" s="240"/>
      <c r="O808" s="240"/>
      <c r="P808" s="240"/>
      <c r="Q808" s="240"/>
      <c r="R808" s="240"/>
      <c r="S808" s="240"/>
      <c r="T808" s="240"/>
      <c r="U808" s="240"/>
      <c r="V808" s="240"/>
      <c r="W808" s="240"/>
      <c r="X808" s="240"/>
      <c r="Y808" s="240"/>
      <c r="Z808" s="240"/>
    </row>
    <row r="809" spans="1:26" ht="15.75" customHeight="1" x14ac:dyDescent="0.55000000000000004">
      <c r="A809" s="240"/>
      <c r="B809" s="240"/>
      <c r="C809" s="240"/>
      <c r="D809" s="240"/>
      <c r="E809" s="240"/>
      <c r="F809" s="240"/>
      <c r="G809" s="240"/>
      <c r="H809" s="240"/>
      <c r="I809" s="240"/>
      <c r="J809" s="240"/>
      <c r="K809" s="240"/>
      <c r="L809" s="240"/>
      <c r="M809" s="240"/>
      <c r="N809" s="240"/>
      <c r="O809" s="240"/>
      <c r="P809" s="240"/>
      <c r="Q809" s="240"/>
      <c r="R809" s="240"/>
      <c r="S809" s="240"/>
      <c r="T809" s="240"/>
      <c r="U809" s="240"/>
      <c r="V809" s="240"/>
      <c r="W809" s="240"/>
      <c r="X809" s="240"/>
      <c r="Y809" s="240"/>
      <c r="Z809" s="240"/>
    </row>
    <row r="810" spans="1:26" ht="15.75" customHeight="1" x14ac:dyDescent="0.55000000000000004">
      <c r="A810" s="240"/>
      <c r="B810" s="240"/>
      <c r="C810" s="240"/>
      <c r="D810" s="240"/>
      <c r="E810" s="240"/>
      <c r="F810" s="240"/>
      <c r="G810" s="240"/>
      <c r="H810" s="240"/>
      <c r="I810" s="240"/>
      <c r="J810" s="240"/>
      <c r="K810" s="240"/>
      <c r="L810" s="240"/>
      <c r="M810" s="240"/>
      <c r="N810" s="240"/>
      <c r="O810" s="240"/>
      <c r="P810" s="240"/>
      <c r="Q810" s="240"/>
      <c r="R810" s="240"/>
      <c r="S810" s="240"/>
      <c r="T810" s="240"/>
      <c r="U810" s="240"/>
      <c r="V810" s="240"/>
      <c r="W810" s="240"/>
      <c r="X810" s="240"/>
      <c r="Y810" s="240"/>
      <c r="Z810" s="240"/>
    </row>
    <row r="811" spans="1:26" ht="15.75" customHeight="1" x14ac:dyDescent="0.55000000000000004">
      <c r="A811" s="240"/>
      <c r="B811" s="240"/>
      <c r="C811" s="240"/>
      <c r="D811" s="240"/>
      <c r="E811" s="240"/>
      <c r="F811" s="240"/>
      <c r="G811" s="240"/>
      <c r="H811" s="240"/>
      <c r="I811" s="240"/>
      <c r="J811" s="240"/>
      <c r="K811" s="240"/>
      <c r="L811" s="240"/>
      <c r="M811" s="240"/>
      <c r="N811" s="240"/>
      <c r="O811" s="240"/>
      <c r="P811" s="240"/>
      <c r="Q811" s="240"/>
      <c r="R811" s="240"/>
      <c r="S811" s="240"/>
      <c r="T811" s="240"/>
      <c r="U811" s="240"/>
      <c r="V811" s="240"/>
      <c r="W811" s="240"/>
      <c r="X811" s="240"/>
      <c r="Y811" s="240"/>
      <c r="Z811" s="240"/>
    </row>
    <row r="812" spans="1:26" ht="15.75" customHeight="1" x14ac:dyDescent="0.55000000000000004">
      <c r="A812" s="240"/>
      <c r="B812" s="240"/>
      <c r="C812" s="240"/>
      <c r="D812" s="240"/>
      <c r="E812" s="240"/>
      <c r="F812" s="240"/>
      <c r="G812" s="240"/>
      <c r="H812" s="240"/>
      <c r="I812" s="240"/>
      <c r="J812" s="240"/>
      <c r="K812" s="240"/>
      <c r="L812" s="240"/>
      <c r="M812" s="240"/>
      <c r="N812" s="240"/>
      <c r="O812" s="240"/>
      <c r="P812" s="240"/>
      <c r="Q812" s="240"/>
      <c r="R812" s="240"/>
      <c r="S812" s="240"/>
      <c r="T812" s="240"/>
      <c r="U812" s="240"/>
      <c r="V812" s="240"/>
      <c r="W812" s="240"/>
      <c r="X812" s="240"/>
      <c r="Y812" s="240"/>
      <c r="Z812" s="240"/>
    </row>
    <row r="813" spans="1:26" ht="15.75" customHeight="1" x14ac:dyDescent="0.55000000000000004">
      <c r="A813" s="240"/>
      <c r="B813" s="240"/>
      <c r="C813" s="240"/>
      <c r="D813" s="240"/>
      <c r="E813" s="240"/>
      <c r="F813" s="240"/>
      <c r="G813" s="240"/>
      <c r="H813" s="240"/>
      <c r="I813" s="240"/>
      <c r="J813" s="240"/>
      <c r="K813" s="240"/>
      <c r="L813" s="240"/>
      <c r="M813" s="240"/>
      <c r="N813" s="240"/>
      <c r="O813" s="240"/>
      <c r="P813" s="240"/>
      <c r="Q813" s="240"/>
      <c r="R813" s="240"/>
      <c r="S813" s="240"/>
      <c r="T813" s="240"/>
      <c r="U813" s="240"/>
      <c r="V813" s="240"/>
      <c r="W813" s="240"/>
      <c r="X813" s="240"/>
      <c r="Y813" s="240"/>
      <c r="Z813" s="240"/>
    </row>
    <row r="814" spans="1:26" ht="15.75" customHeight="1" x14ac:dyDescent="0.55000000000000004">
      <c r="A814" s="240"/>
      <c r="B814" s="240"/>
      <c r="C814" s="240"/>
      <c r="D814" s="240"/>
      <c r="E814" s="240"/>
      <c r="F814" s="240"/>
      <c r="G814" s="240"/>
      <c r="H814" s="240"/>
      <c r="I814" s="240"/>
      <c r="J814" s="240"/>
      <c r="K814" s="240"/>
      <c r="L814" s="240"/>
      <c r="M814" s="240"/>
      <c r="N814" s="240"/>
      <c r="O814" s="240"/>
      <c r="P814" s="240"/>
      <c r="Q814" s="240"/>
      <c r="R814" s="240"/>
      <c r="S814" s="240"/>
      <c r="T814" s="240"/>
      <c r="U814" s="240"/>
      <c r="V814" s="240"/>
      <c r="W814" s="240"/>
      <c r="X814" s="240"/>
      <c r="Y814" s="240"/>
      <c r="Z814" s="240"/>
    </row>
    <row r="815" spans="1:26" ht="15.75" customHeight="1" x14ac:dyDescent="0.55000000000000004">
      <c r="A815" s="240"/>
      <c r="B815" s="240"/>
      <c r="C815" s="240"/>
      <c r="D815" s="240"/>
      <c r="E815" s="240"/>
      <c r="F815" s="240"/>
      <c r="G815" s="240"/>
      <c r="H815" s="240"/>
      <c r="I815" s="240"/>
      <c r="J815" s="240"/>
      <c r="K815" s="240"/>
      <c r="L815" s="240"/>
      <c r="M815" s="240"/>
      <c r="N815" s="240"/>
      <c r="O815" s="240"/>
      <c r="P815" s="240"/>
      <c r="Q815" s="240"/>
      <c r="R815" s="240"/>
      <c r="S815" s="240"/>
      <c r="T815" s="240"/>
      <c r="U815" s="240"/>
      <c r="V815" s="240"/>
      <c r="W815" s="240"/>
      <c r="X815" s="240"/>
      <c r="Y815" s="240"/>
      <c r="Z815" s="240"/>
    </row>
    <row r="816" spans="1:26" ht="15.75" customHeight="1" x14ac:dyDescent="0.55000000000000004">
      <c r="A816" s="240"/>
      <c r="B816" s="240"/>
      <c r="C816" s="240"/>
      <c r="D816" s="240"/>
      <c r="E816" s="240"/>
      <c r="F816" s="240"/>
      <c r="G816" s="240"/>
      <c r="H816" s="240"/>
      <c r="I816" s="240"/>
      <c r="J816" s="240"/>
      <c r="K816" s="240"/>
      <c r="L816" s="240"/>
      <c r="M816" s="240"/>
      <c r="N816" s="240"/>
      <c r="O816" s="240"/>
      <c r="P816" s="240"/>
      <c r="Q816" s="240"/>
      <c r="R816" s="240"/>
      <c r="S816" s="240"/>
      <c r="T816" s="240"/>
      <c r="U816" s="240"/>
      <c r="V816" s="240"/>
      <c r="W816" s="240"/>
      <c r="X816" s="240"/>
      <c r="Y816" s="240"/>
      <c r="Z816" s="240"/>
    </row>
    <row r="817" spans="1:26" ht="15.75" customHeight="1" x14ac:dyDescent="0.55000000000000004">
      <c r="A817" s="240"/>
      <c r="B817" s="240"/>
      <c r="C817" s="240"/>
      <c r="D817" s="240"/>
      <c r="E817" s="240"/>
      <c r="F817" s="240"/>
      <c r="G817" s="240"/>
      <c r="H817" s="240"/>
      <c r="I817" s="240"/>
      <c r="J817" s="240"/>
      <c r="K817" s="240"/>
      <c r="L817" s="240"/>
      <c r="M817" s="240"/>
      <c r="N817" s="240"/>
      <c r="O817" s="240"/>
      <c r="P817" s="240"/>
      <c r="Q817" s="240"/>
      <c r="R817" s="240"/>
      <c r="S817" s="240"/>
      <c r="T817" s="240"/>
      <c r="U817" s="240"/>
      <c r="V817" s="240"/>
      <c r="W817" s="240"/>
      <c r="X817" s="240"/>
      <c r="Y817" s="240"/>
      <c r="Z817" s="240"/>
    </row>
    <row r="818" spans="1:26" ht="15.75" customHeight="1" x14ac:dyDescent="0.55000000000000004">
      <c r="A818" s="240"/>
      <c r="B818" s="240"/>
      <c r="C818" s="240"/>
      <c r="D818" s="240"/>
      <c r="E818" s="240"/>
      <c r="F818" s="240"/>
      <c r="G818" s="240"/>
      <c r="H818" s="240"/>
      <c r="I818" s="240"/>
      <c r="J818" s="240"/>
      <c r="K818" s="240"/>
      <c r="L818" s="240"/>
      <c r="M818" s="240"/>
      <c r="N818" s="240"/>
      <c r="O818" s="240"/>
      <c r="P818" s="240"/>
      <c r="Q818" s="240"/>
      <c r="R818" s="240"/>
      <c r="S818" s="240"/>
      <c r="T818" s="240"/>
      <c r="U818" s="240"/>
      <c r="V818" s="240"/>
      <c r="W818" s="240"/>
      <c r="X818" s="240"/>
      <c r="Y818" s="240"/>
      <c r="Z818" s="240"/>
    </row>
    <row r="819" spans="1:26" ht="15.75" customHeight="1" x14ac:dyDescent="0.55000000000000004">
      <c r="A819" s="240"/>
      <c r="B819" s="240"/>
      <c r="C819" s="240"/>
      <c r="D819" s="240"/>
      <c r="E819" s="240"/>
      <c r="F819" s="240"/>
      <c r="G819" s="240"/>
      <c r="H819" s="240"/>
      <c r="I819" s="240"/>
      <c r="J819" s="240"/>
      <c r="K819" s="240"/>
      <c r="L819" s="240"/>
      <c r="M819" s="240"/>
      <c r="N819" s="240"/>
      <c r="O819" s="240"/>
      <c r="P819" s="240"/>
      <c r="Q819" s="240"/>
      <c r="R819" s="240"/>
      <c r="S819" s="240"/>
      <c r="T819" s="240"/>
      <c r="U819" s="240"/>
      <c r="V819" s="240"/>
      <c r="W819" s="240"/>
      <c r="X819" s="240"/>
      <c r="Y819" s="240"/>
      <c r="Z819" s="240"/>
    </row>
    <row r="820" spans="1:26" ht="15.75" customHeight="1" x14ac:dyDescent="0.55000000000000004">
      <c r="A820" s="240"/>
      <c r="B820" s="240"/>
      <c r="C820" s="240"/>
      <c r="D820" s="240"/>
      <c r="E820" s="240"/>
      <c r="F820" s="240"/>
      <c r="G820" s="240"/>
      <c r="H820" s="240"/>
      <c r="I820" s="240"/>
      <c r="J820" s="240"/>
      <c r="K820" s="240"/>
      <c r="L820" s="240"/>
      <c r="M820" s="240"/>
      <c r="N820" s="240"/>
      <c r="O820" s="240"/>
      <c r="P820" s="240"/>
      <c r="Q820" s="240"/>
      <c r="R820" s="240"/>
      <c r="S820" s="240"/>
      <c r="T820" s="240"/>
      <c r="U820" s="240"/>
      <c r="V820" s="240"/>
      <c r="W820" s="240"/>
      <c r="X820" s="240"/>
      <c r="Y820" s="240"/>
      <c r="Z820" s="240"/>
    </row>
    <row r="821" spans="1:26" ht="15.75" customHeight="1" x14ac:dyDescent="0.55000000000000004">
      <c r="A821" s="240"/>
      <c r="B821" s="240"/>
      <c r="C821" s="240"/>
      <c r="D821" s="240"/>
      <c r="E821" s="240"/>
      <c r="F821" s="240"/>
      <c r="G821" s="240"/>
      <c r="H821" s="240"/>
      <c r="I821" s="240"/>
      <c r="J821" s="240"/>
      <c r="K821" s="240"/>
      <c r="L821" s="240"/>
      <c r="M821" s="240"/>
      <c r="N821" s="240"/>
      <c r="O821" s="240"/>
      <c r="P821" s="240"/>
      <c r="Q821" s="240"/>
      <c r="R821" s="240"/>
      <c r="S821" s="240"/>
      <c r="T821" s="240"/>
      <c r="U821" s="240"/>
      <c r="V821" s="240"/>
      <c r="W821" s="240"/>
      <c r="X821" s="240"/>
      <c r="Y821" s="240"/>
      <c r="Z821" s="240"/>
    </row>
    <row r="822" spans="1:26" ht="15.75" customHeight="1" x14ac:dyDescent="0.55000000000000004">
      <c r="A822" s="240"/>
      <c r="B822" s="240"/>
      <c r="C822" s="240"/>
      <c r="D822" s="240"/>
      <c r="E822" s="240"/>
      <c r="F822" s="240"/>
      <c r="G822" s="240"/>
      <c r="H822" s="240"/>
      <c r="I822" s="240"/>
      <c r="J822" s="240"/>
      <c r="K822" s="240"/>
      <c r="L822" s="240"/>
      <c r="M822" s="240"/>
      <c r="N822" s="240"/>
      <c r="O822" s="240"/>
      <c r="P822" s="240"/>
      <c r="Q822" s="240"/>
      <c r="R822" s="240"/>
      <c r="S822" s="240"/>
      <c r="T822" s="240"/>
      <c r="U822" s="240"/>
      <c r="V822" s="240"/>
      <c r="W822" s="240"/>
      <c r="X822" s="240"/>
      <c r="Y822" s="240"/>
      <c r="Z822" s="240"/>
    </row>
    <row r="823" spans="1:26" ht="15.75" customHeight="1" x14ac:dyDescent="0.55000000000000004">
      <c r="A823" s="240"/>
      <c r="B823" s="240"/>
      <c r="C823" s="240"/>
      <c r="D823" s="240"/>
      <c r="E823" s="240"/>
      <c r="F823" s="240"/>
      <c r="G823" s="240"/>
      <c r="H823" s="240"/>
      <c r="I823" s="240"/>
      <c r="J823" s="240"/>
      <c r="K823" s="240"/>
      <c r="L823" s="240"/>
      <c r="M823" s="240"/>
      <c r="N823" s="240"/>
      <c r="O823" s="240"/>
      <c r="P823" s="240"/>
      <c r="Q823" s="240"/>
      <c r="R823" s="240"/>
      <c r="S823" s="240"/>
      <c r="T823" s="240"/>
      <c r="U823" s="240"/>
      <c r="V823" s="240"/>
      <c r="W823" s="240"/>
      <c r="X823" s="240"/>
      <c r="Y823" s="240"/>
      <c r="Z823" s="240"/>
    </row>
    <row r="824" spans="1:26" ht="15.75" customHeight="1" x14ac:dyDescent="0.55000000000000004">
      <c r="A824" s="240"/>
      <c r="B824" s="240"/>
      <c r="C824" s="240"/>
      <c r="D824" s="240"/>
      <c r="E824" s="240"/>
      <c r="F824" s="240"/>
      <c r="G824" s="240"/>
      <c r="H824" s="240"/>
      <c r="I824" s="240"/>
      <c r="J824" s="240"/>
      <c r="K824" s="240"/>
      <c r="L824" s="240"/>
      <c r="M824" s="240"/>
      <c r="N824" s="240"/>
      <c r="O824" s="240"/>
      <c r="P824" s="240"/>
      <c r="Q824" s="240"/>
      <c r="R824" s="240"/>
      <c r="S824" s="240"/>
      <c r="T824" s="240"/>
      <c r="U824" s="240"/>
      <c r="V824" s="240"/>
      <c r="W824" s="240"/>
      <c r="X824" s="240"/>
      <c r="Y824" s="240"/>
      <c r="Z824" s="240"/>
    </row>
    <row r="825" spans="1:26" ht="15.75" customHeight="1" x14ac:dyDescent="0.55000000000000004">
      <c r="A825" s="240"/>
      <c r="B825" s="240"/>
      <c r="C825" s="240"/>
      <c r="D825" s="240"/>
      <c r="E825" s="240"/>
      <c r="F825" s="240"/>
      <c r="G825" s="240"/>
      <c r="H825" s="240"/>
      <c r="I825" s="240"/>
      <c r="J825" s="240"/>
      <c r="K825" s="240"/>
      <c r="L825" s="240"/>
      <c r="M825" s="240"/>
      <c r="N825" s="240"/>
      <c r="O825" s="240"/>
      <c r="P825" s="240"/>
      <c r="Q825" s="240"/>
      <c r="R825" s="240"/>
      <c r="S825" s="240"/>
      <c r="T825" s="240"/>
      <c r="U825" s="240"/>
      <c r="V825" s="240"/>
      <c r="W825" s="240"/>
      <c r="X825" s="240"/>
      <c r="Y825" s="240"/>
      <c r="Z825" s="240"/>
    </row>
    <row r="826" spans="1:26" ht="15.75" customHeight="1" x14ac:dyDescent="0.55000000000000004">
      <c r="A826" s="240"/>
      <c r="B826" s="240"/>
      <c r="C826" s="240"/>
      <c r="D826" s="240"/>
      <c r="E826" s="240"/>
      <c r="F826" s="240"/>
      <c r="G826" s="240"/>
      <c r="H826" s="240"/>
      <c r="I826" s="240"/>
      <c r="J826" s="240"/>
      <c r="K826" s="240"/>
      <c r="L826" s="240"/>
      <c r="M826" s="240"/>
      <c r="N826" s="240"/>
      <c r="O826" s="240"/>
      <c r="P826" s="240"/>
      <c r="Q826" s="240"/>
      <c r="R826" s="240"/>
      <c r="S826" s="240"/>
      <c r="T826" s="240"/>
      <c r="U826" s="240"/>
      <c r="V826" s="240"/>
      <c r="W826" s="240"/>
      <c r="X826" s="240"/>
      <c r="Y826" s="240"/>
      <c r="Z826" s="240"/>
    </row>
    <row r="827" spans="1:26" ht="15.75" customHeight="1" x14ac:dyDescent="0.55000000000000004">
      <c r="A827" s="240"/>
      <c r="B827" s="240"/>
      <c r="C827" s="240"/>
      <c r="D827" s="240"/>
      <c r="E827" s="240"/>
      <c r="F827" s="240"/>
      <c r="G827" s="240"/>
      <c r="H827" s="240"/>
      <c r="I827" s="240"/>
      <c r="J827" s="240"/>
      <c r="K827" s="240"/>
      <c r="L827" s="240"/>
      <c r="M827" s="240"/>
      <c r="N827" s="240"/>
      <c r="O827" s="240"/>
      <c r="P827" s="240"/>
      <c r="Q827" s="240"/>
      <c r="R827" s="240"/>
      <c r="S827" s="240"/>
      <c r="T827" s="240"/>
      <c r="U827" s="240"/>
      <c r="V827" s="240"/>
      <c r="W827" s="240"/>
      <c r="X827" s="240"/>
      <c r="Y827" s="240"/>
      <c r="Z827" s="240"/>
    </row>
    <row r="828" spans="1:26" ht="15.75" customHeight="1" x14ac:dyDescent="0.55000000000000004">
      <c r="A828" s="240"/>
      <c r="B828" s="240"/>
      <c r="C828" s="240"/>
      <c r="D828" s="240"/>
      <c r="E828" s="240"/>
      <c r="F828" s="240"/>
      <c r="G828" s="240"/>
      <c r="H828" s="240"/>
      <c r="I828" s="240"/>
      <c r="J828" s="240"/>
      <c r="K828" s="240"/>
      <c r="L828" s="240"/>
      <c r="M828" s="240"/>
      <c r="N828" s="240"/>
      <c r="O828" s="240"/>
      <c r="P828" s="240"/>
      <c r="Q828" s="240"/>
      <c r="R828" s="240"/>
      <c r="S828" s="240"/>
      <c r="T828" s="240"/>
      <c r="U828" s="240"/>
      <c r="V828" s="240"/>
      <c r="W828" s="240"/>
      <c r="X828" s="240"/>
      <c r="Y828" s="240"/>
      <c r="Z828" s="240"/>
    </row>
    <row r="829" spans="1:26" ht="15.75" customHeight="1" x14ac:dyDescent="0.55000000000000004">
      <c r="A829" s="240"/>
      <c r="B829" s="240"/>
      <c r="C829" s="240"/>
      <c r="D829" s="240"/>
      <c r="E829" s="240"/>
      <c r="F829" s="240"/>
      <c r="G829" s="240"/>
      <c r="H829" s="240"/>
      <c r="I829" s="240"/>
      <c r="J829" s="240"/>
      <c r="K829" s="240"/>
      <c r="L829" s="240"/>
      <c r="M829" s="240"/>
      <c r="N829" s="240"/>
      <c r="O829" s="240"/>
      <c r="P829" s="240"/>
      <c r="Q829" s="240"/>
      <c r="R829" s="240"/>
      <c r="S829" s="240"/>
      <c r="T829" s="240"/>
      <c r="U829" s="240"/>
      <c r="V829" s="240"/>
      <c r="W829" s="240"/>
      <c r="X829" s="240"/>
      <c r="Y829" s="240"/>
      <c r="Z829" s="240"/>
    </row>
    <row r="830" spans="1:26" ht="15.75" customHeight="1" x14ac:dyDescent="0.55000000000000004">
      <c r="A830" s="240"/>
      <c r="B830" s="240"/>
      <c r="C830" s="240"/>
      <c r="D830" s="240"/>
      <c r="E830" s="240"/>
      <c r="F830" s="240"/>
      <c r="G830" s="240"/>
      <c r="H830" s="240"/>
      <c r="I830" s="240"/>
      <c r="J830" s="240"/>
      <c r="K830" s="240"/>
      <c r="L830" s="240"/>
      <c r="M830" s="240"/>
      <c r="N830" s="240"/>
      <c r="O830" s="240"/>
      <c r="P830" s="240"/>
      <c r="Q830" s="240"/>
      <c r="R830" s="240"/>
      <c r="S830" s="240"/>
      <c r="T830" s="240"/>
      <c r="U830" s="240"/>
      <c r="V830" s="240"/>
      <c r="W830" s="240"/>
      <c r="X830" s="240"/>
      <c r="Y830" s="240"/>
      <c r="Z830" s="240"/>
    </row>
    <row r="831" spans="1:26" ht="15.75" customHeight="1" x14ac:dyDescent="0.55000000000000004">
      <c r="A831" s="240"/>
      <c r="B831" s="240"/>
      <c r="C831" s="240"/>
      <c r="D831" s="240"/>
      <c r="E831" s="240"/>
      <c r="F831" s="240"/>
      <c r="G831" s="240"/>
      <c r="H831" s="240"/>
      <c r="I831" s="240"/>
      <c r="J831" s="240"/>
      <c r="K831" s="240"/>
      <c r="L831" s="240"/>
      <c r="M831" s="240"/>
      <c r="N831" s="240"/>
      <c r="O831" s="240"/>
      <c r="P831" s="240"/>
      <c r="Q831" s="240"/>
      <c r="R831" s="240"/>
      <c r="S831" s="240"/>
      <c r="T831" s="240"/>
      <c r="U831" s="240"/>
      <c r="V831" s="240"/>
      <c r="W831" s="240"/>
      <c r="X831" s="240"/>
      <c r="Y831" s="240"/>
      <c r="Z831" s="240"/>
    </row>
    <row r="832" spans="1:26" ht="15.75" customHeight="1" x14ac:dyDescent="0.55000000000000004">
      <c r="A832" s="240"/>
      <c r="B832" s="240"/>
      <c r="C832" s="240"/>
      <c r="D832" s="240"/>
      <c r="E832" s="240"/>
      <c r="F832" s="240"/>
      <c r="G832" s="240"/>
      <c r="H832" s="240"/>
      <c r="I832" s="240"/>
      <c r="J832" s="240"/>
      <c r="K832" s="240"/>
      <c r="L832" s="240"/>
      <c r="M832" s="240"/>
      <c r="N832" s="240"/>
      <c r="O832" s="240"/>
      <c r="P832" s="240"/>
      <c r="Q832" s="240"/>
      <c r="R832" s="240"/>
      <c r="S832" s="240"/>
      <c r="T832" s="240"/>
      <c r="U832" s="240"/>
      <c r="V832" s="240"/>
      <c r="W832" s="240"/>
      <c r="X832" s="240"/>
      <c r="Y832" s="240"/>
      <c r="Z832" s="240"/>
    </row>
    <row r="833" spans="1:26" ht="15.75" customHeight="1" x14ac:dyDescent="0.55000000000000004">
      <c r="A833" s="240"/>
      <c r="B833" s="240"/>
      <c r="C833" s="240"/>
      <c r="D833" s="240"/>
      <c r="E833" s="240"/>
      <c r="F833" s="240"/>
      <c r="G833" s="240"/>
      <c r="H833" s="240"/>
      <c r="I833" s="240"/>
      <c r="J833" s="240"/>
      <c r="K833" s="240"/>
      <c r="L833" s="240"/>
      <c r="M833" s="240"/>
      <c r="N833" s="240"/>
      <c r="O833" s="240"/>
      <c r="P833" s="240"/>
      <c r="Q833" s="240"/>
      <c r="R833" s="240"/>
      <c r="S833" s="240"/>
      <c r="T833" s="240"/>
      <c r="U833" s="240"/>
      <c r="V833" s="240"/>
      <c r="W833" s="240"/>
      <c r="X833" s="240"/>
      <c r="Y833" s="240"/>
      <c r="Z833" s="240"/>
    </row>
    <row r="834" spans="1:26" ht="15.75" customHeight="1" x14ac:dyDescent="0.55000000000000004">
      <c r="A834" s="240"/>
      <c r="B834" s="240"/>
      <c r="C834" s="240"/>
      <c r="D834" s="240"/>
      <c r="E834" s="240"/>
      <c r="F834" s="240"/>
      <c r="G834" s="240"/>
      <c r="H834" s="240"/>
      <c r="I834" s="240"/>
      <c r="J834" s="240"/>
      <c r="K834" s="240"/>
      <c r="L834" s="240"/>
      <c r="M834" s="240"/>
      <c r="N834" s="240"/>
      <c r="O834" s="240"/>
      <c r="P834" s="240"/>
      <c r="Q834" s="240"/>
      <c r="R834" s="240"/>
      <c r="S834" s="240"/>
      <c r="T834" s="240"/>
      <c r="U834" s="240"/>
      <c r="V834" s="240"/>
      <c r="W834" s="240"/>
      <c r="X834" s="240"/>
      <c r="Y834" s="240"/>
      <c r="Z834" s="240"/>
    </row>
    <row r="835" spans="1:26" ht="15.75" customHeight="1" x14ac:dyDescent="0.55000000000000004">
      <c r="A835" s="240"/>
      <c r="B835" s="240"/>
      <c r="C835" s="240"/>
      <c r="D835" s="240"/>
      <c r="E835" s="240"/>
      <c r="F835" s="240"/>
      <c r="G835" s="240"/>
      <c r="H835" s="240"/>
      <c r="I835" s="240"/>
      <c r="J835" s="240"/>
      <c r="K835" s="240"/>
      <c r="L835" s="240"/>
      <c r="M835" s="240"/>
      <c r="N835" s="240"/>
      <c r="O835" s="240"/>
      <c r="P835" s="240"/>
      <c r="Q835" s="240"/>
      <c r="R835" s="240"/>
      <c r="S835" s="240"/>
      <c r="T835" s="240"/>
      <c r="U835" s="240"/>
      <c r="V835" s="240"/>
      <c r="W835" s="240"/>
      <c r="X835" s="240"/>
      <c r="Y835" s="240"/>
      <c r="Z835" s="240"/>
    </row>
    <row r="836" spans="1:26" ht="15.75" customHeight="1" x14ac:dyDescent="0.55000000000000004">
      <c r="A836" s="240"/>
      <c r="B836" s="240"/>
      <c r="C836" s="240"/>
      <c r="D836" s="240"/>
      <c r="E836" s="240"/>
      <c r="F836" s="240"/>
      <c r="G836" s="240"/>
      <c r="H836" s="240"/>
      <c r="I836" s="240"/>
      <c r="J836" s="240"/>
      <c r="K836" s="240"/>
      <c r="L836" s="240"/>
      <c r="M836" s="240"/>
      <c r="N836" s="240"/>
      <c r="O836" s="240"/>
      <c r="P836" s="240"/>
      <c r="Q836" s="240"/>
      <c r="R836" s="240"/>
      <c r="S836" s="240"/>
      <c r="T836" s="240"/>
      <c r="U836" s="240"/>
      <c r="V836" s="240"/>
      <c r="W836" s="240"/>
      <c r="X836" s="240"/>
      <c r="Y836" s="240"/>
      <c r="Z836" s="240"/>
    </row>
    <row r="837" spans="1:26" ht="15.75" customHeight="1" x14ac:dyDescent="0.55000000000000004">
      <c r="A837" s="240"/>
      <c r="B837" s="240"/>
      <c r="C837" s="240"/>
      <c r="D837" s="240"/>
      <c r="E837" s="240"/>
      <c r="F837" s="240"/>
      <c r="G837" s="240"/>
      <c r="H837" s="240"/>
      <c r="I837" s="240"/>
      <c r="J837" s="240"/>
      <c r="K837" s="240"/>
      <c r="L837" s="240"/>
      <c r="M837" s="240"/>
      <c r="N837" s="240"/>
      <c r="O837" s="240"/>
      <c r="P837" s="240"/>
      <c r="Q837" s="240"/>
      <c r="R837" s="240"/>
      <c r="S837" s="240"/>
      <c r="T837" s="240"/>
      <c r="U837" s="240"/>
      <c r="V837" s="240"/>
      <c r="W837" s="240"/>
      <c r="X837" s="240"/>
      <c r="Y837" s="240"/>
      <c r="Z837" s="240"/>
    </row>
    <row r="838" spans="1:26" ht="15.75" customHeight="1" x14ac:dyDescent="0.55000000000000004">
      <c r="A838" s="240"/>
      <c r="B838" s="240"/>
      <c r="C838" s="240"/>
      <c r="D838" s="240"/>
      <c r="E838" s="240"/>
      <c r="F838" s="240"/>
      <c r="G838" s="240"/>
      <c r="H838" s="240"/>
      <c r="I838" s="240"/>
      <c r="J838" s="240"/>
      <c r="K838" s="240"/>
      <c r="L838" s="240"/>
      <c r="M838" s="240"/>
      <c r="N838" s="240"/>
      <c r="O838" s="240"/>
      <c r="P838" s="240"/>
      <c r="Q838" s="240"/>
      <c r="R838" s="240"/>
      <c r="S838" s="240"/>
      <c r="T838" s="240"/>
      <c r="U838" s="240"/>
      <c r="V838" s="240"/>
      <c r="W838" s="240"/>
      <c r="X838" s="240"/>
      <c r="Y838" s="240"/>
      <c r="Z838" s="240"/>
    </row>
    <row r="839" spans="1:26" ht="15.75" customHeight="1" x14ac:dyDescent="0.55000000000000004">
      <c r="A839" s="240"/>
      <c r="B839" s="240"/>
      <c r="C839" s="240"/>
      <c r="D839" s="240"/>
      <c r="E839" s="240"/>
      <c r="F839" s="240"/>
      <c r="G839" s="240"/>
      <c r="H839" s="240"/>
      <c r="I839" s="240"/>
      <c r="J839" s="240"/>
      <c r="K839" s="240"/>
      <c r="L839" s="240"/>
      <c r="M839" s="240"/>
      <c r="N839" s="240"/>
      <c r="O839" s="240"/>
      <c r="P839" s="240"/>
      <c r="Q839" s="240"/>
      <c r="R839" s="240"/>
      <c r="S839" s="240"/>
      <c r="T839" s="240"/>
      <c r="U839" s="240"/>
      <c r="V839" s="240"/>
      <c r="W839" s="240"/>
      <c r="X839" s="240"/>
      <c r="Y839" s="240"/>
      <c r="Z839" s="240"/>
    </row>
    <row r="840" spans="1:26" ht="15.75" customHeight="1" x14ac:dyDescent="0.55000000000000004">
      <c r="A840" s="240"/>
      <c r="B840" s="240"/>
      <c r="C840" s="240"/>
      <c r="D840" s="240"/>
      <c r="E840" s="240"/>
      <c r="F840" s="240"/>
      <c r="G840" s="240"/>
      <c r="H840" s="240"/>
      <c r="I840" s="240"/>
      <c r="J840" s="240"/>
      <c r="K840" s="240"/>
      <c r="L840" s="240"/>
      <c r="M840" s="240"/>
      <c r="N840" s="240"/>
      <c r="O840" s="240"/>
      <c r="P840" s="240"/>
      <c r="Q840" s="240"/>
      <c r="R840" s="240"/>
      <c r="S840" s="240"/>
      <c r="T840" s="240"/>
      <c r="U840" s="240"/>
      <c r="V840" s="240"/>
      <c r="W840" s="240"/>
      <c r="X840" s="240"/>
      <c r="Y840" s="240"/>
      <c r="Z840" s="240"/>
    </row>
    <row r="841" spans="1:26" ht="15.75" customHeight="1" x14ac:dyDescent="0.55000000000000004">
      <c r="A841" s="240"/>
      <c r="B841" s="240"/>
      <c r="C841" s="240"/>
      <c r="D841" s="240"/>
      <c r="E841" s="240"/>
      <c r="F841" s="240"/>
      <c r="G841" s="240"/>
      <c r="H841" s="240"/>
      <c r="I841" s="240"/>
      <c r="J841" s="240"/>
      <c r="K841" s="240"/>
      <c r="L841" s="240"/>
      <c r="M841" s="240"/>
      <c r="N841" s="240"/>
      <c r="O841" s="240"/>
      <c r="P841" s="240"/>
      <c r="Q841" s="240"/>
      <c r="R841" s="240"/>
      <c r="S841" s="240"/>
      <c r="T841" s="240"/>
      <c r="U841" s="240"/>
      <c r="V841" s="240"/>
      <c r="W841" s="240"/>
      <c r="X841" s="240"/>
      <c r="Y841" s="240"/>
      <c r="Z841" s="240"/>
    </row>
    <row r="842" spans="1:26" ht="15.75" customHeight="1" x14ac:dyDescent="0.55000000000000004">
      <c r="A842" s="240"/>
      <c r="B842" s="240"/>
      <c r="C842" s="240"/>
      <c r="D842" s="240"/>
      <c r="E842" s="240"/>
      <c r="F842" s="240"/>
      <c r="G842" s="240"/>
      <c r="H842" s="240"/>
      <c r="I842" s="240"/>
      <c r="J842" s="240"/>
      <c r="K842" s="240"/>
      <c r="L842" s="240"/>
      <c r="M842" s="240"/>
      <c r="N842" s="240"/>
      <c r="O842" s="240"/>
      <c r="P842" s="240"/>
      <c r="Q842" s="240"/>
      <c r="R842" s="240"/>
      <c r="S842" s="240"/>
      <c r="T842" s="240"/>
      <c r="U842" s="240"/>
      <c r="V842" s="240"/>
      <c r="W842" s="240"/>
      <c r="X842" s="240"/>
      <c r="Y842" s="240"/>
      <c r="Z842" s="240"/>
    </row>
    <row r="843" spans="1:26" ht="15.75" customHeight="1" x14ac:dyDescent="0.55000000000000004">
      <c r="A843" s="240"/>
      <c r="B843" s="240"/>
      <c r="C843" s="240"/>
      <c r="D843" s="240"/>
      <c r="E843" s="240"/>
      <c r="F843" s="240"/>
      <c r="G843" s="240"/>
      <c r="H843" s="240"/>
      <c r="I843" s="240"/>
      <c r="J843" s="240"/>
      <c r="K843" s="240"/>
      <c r="L843" s="240"/>
      <c r="M843" s="240"/>
      <c r="N843" s="240"/>
      <c r="O843" s="240"/>
      <c r="P843" s="240"/>
      <c r="Q843" s="240"/>
      <c r="R843" s="240"/>
      <c r="S843" s="240"/>
      <c r="T843" s="240"/>
      <c r="U843" s="240"/>
      <c r="V843" s="240"/>
      <c r="W843" s="240"/>
      <c r="X843" s="240"/>
      <c r="Y843" s="240"/>
      <c r="Z843" s="240"/>
    </row>
    <row r="844" spans="1:26" ht="15.75" customHeight="1" x14ac:dyDescent="0.55000000000000004">
      <c r="A844" s="240"/>
      <c r="B844" s="240"/>
      <c r="C844" s="240"/>
      <c r="D844" s="240"/>
      <c r="E844" s="240"/>
      <c r="F844" s="240"/>
      <c r="G844" s="240"/>
      <c r="H844" s="240"/>
      <c r="I844" s="240"/>
      <c r="J844" s="240"/>
      <c r="K844" s="240"/>
      <c r="L844" s="240"/>
      <c r="M844" s="240"/>
      <c r="N844" s="240"/>
      <c r="O844" s="240"/>
      <c r="P844" s="240"/>
      <c r="Q844" s="240"/>
      <c r="R844" s="240"/>
      <c r="S844" s="240"/>
      <c r="T844" s="240"/>
      <c r="U844" s="240"/>
      <c r="V844" s="240"/>
      <c r="W844" s="240"/>
      <c r="X844" s="240"/>
      <c r="Y844" s="240"/>
      <c r="Z844" s="240"/>
    </row>
    <row r="845" spans="1:26" ht="15.75" customHeight="1" x14ac:dyDescent="0.55000000000000004">
      <c r="A845" s="240"/>
      <c r="B845" s="240"/>
      <c r="C845" s="240"/>
      <c r="D845" s="240"/>
      <c r="E845" s="240"/>
      <c r="F845" s="240"/>
      <c r="G845" s="240"/>
      <c r="H845" s="240"/>
      <c r="I845" s="240"/>
      <c r="J845" s="240"/>
      <c r="K845" s="240"/>
      <c r="L845" s="240"/>
      <c r="M845" s="240"/>
      <c r="N845" s="240"/>
      <c r="O845" s="240"/>
      <c r="P845" s="240"/>
      <c r="Q845" s="240"/>
      <c r="R845" s="240"/>
      <c r="S845" s="240"/>
      <c r="T845" s="240"/>
      <c r="U845" s="240"/>
      <c r="V845" s="240"/>
      <c r="W845" s="240"/>
      <c r="X845" s="240"/>
      <c r="Y845" s="240"/>
      <c r="Z845" s="240"/>
    </row>
    <row r="846" spans="1:26" ht="15.75" customHeight="1" x14ac:dyDescent="0.55000000000000004">
      <c r="A846" s="240"/>
      <c r="B846" s="240"/>
      <c r="C846" s="240"/>
      <c r="D846" s="240"/>
      <c r="E846" s="240"/>
      <c r="F846" s="240"/>
      <c r="G846" s="240"/>
      <c r="H846" s="240"/>
      <c r="I846" s="240"/>
      <c r="J846" s="240"/>
      <c r="K846" s="240"/>
      <c r="L846" s="240"/>
      <c r="M846" s="240"/>
      <c r="N846" s="240"/>
      <c r="O846" s="240"/>
      <c r="P846" s="240"/>
      <c r="Q846" s="240"/>
      <c r="R846" s="240"/>
      <c r="S846" s="240"/>
      <c r="T846" s="240"/>
      <c r="U846" s="240"/>
      <c r="V846" s="240"/>
      <c r="W846" s="240"/>
      <c r="X846" s="240"/>
      <c r="Y846" s="240"/>
      <c r="Z846" s="240"/>
    </row>
    <row r="847" spans="1:26" ht="15.75" customHeight="1" x14ac:dyDescent="0.55000000000000004">
      <c r="A847" s="240"/>
      <c r="B847" s="240"/>
      <c r="C847" s="240"/>
      <c r="D847" s="240"/>
      <c r="E847" s="240"/>
      <c r="F847" s="240"/>
      <c r="G847" s="240"/>
      <c r="H847" s="240"/>
      <c r="I847" s="240"/>
      <c r="J847" s="240"/>
      <c r="K847" s="240"/>
      <c r="L847" s="240"/>
      <c r="M847" s="240"/>
      <c r="N847" s="240"/>
      <c r="O847" s="240"/>
      <c r="P847" s="240"/>
      <c r="Q847" s="240"/>
      <c r="R847" s="240"/>
      <c r="S847" s="240"/>
      <c r="T847" s="240"/>
      <c r="U847" s="240"/>
      <c r="V847" s="240"/>
      <c r="W847" s="240"/>
      <c r="X847" s="240"/>
      <c r="Y847" s="240"/>
      <c r="Z847" s="240"/>
    </row>
    <row r="848" spans="1:26" ht="15.75" customHeight="1" x14ac:dyDescent="0.55000000000000004">
      <c r="A848" s="240"/>
      <c r="B848" s="240"/>
      <c r="C848" s="240"/>
      <c r="D848" s="240"/>
      <c r="E848" s="240"/>
      <c r="F848" s="240"/>
      <c r="G848" s="240"/>
      <c r="H848" s="240"/>
      <c r="I848" s="240"/>
      <c r="J848" s="240"/>
      <c r="K848" s="240"/>
      <c r="L848" s="240"/>
      <c r="M848" s="240"/>
      <c r="N848" s="240"/>
      <c r="O848" s="240"/>
      <c r="P848" s="240"/>
      <c r="Q848" s="240"/>
      <c r="R848" s="240"/>
      <c r="S848" s="240"/>
      <c r="T848" s="240"/>
      <c r="U848" s="240"/>
      <c r="V848" s="240"/>
      <c r="W848" s="240"/>
      <c r="X848" s="240"/>
      <c r="Y848" s="240"/>
      <c r="Z848" s="240"/>
    </row>
    <row r="849" spans="1:26" ht="15.75" customHeight="1" x14ac:dyDescent="0.55000000000000004">
      <c r="A849" s="240"/>
      <c r="B849" s="240"/>
      <c r="C849" s="240"/>
      <c r="D849" s="240"/>
      <c r="E849" s="240"/>
      <c r="F849" s="240"/>
      <c r="G849" s="240"/>
      <c r="H849" s="240"/>
      <c r="I849" s="240"/>
      <c r="J849" s="240"/>
      <c r="K849" s="240"/>
      <c r="L849" s="240"/>
      <c r="M849" s="240"/>
      <c r="N849" s="240"/>
      <c r="O849" s="240"/>
      <c r="P849" s="240"/>
      <c r="Q849" s="240"/>
      <c r="R849" s="240"/>
      <c r="S849" s="240"/>
      <c r="T849" s="240"/>
      <c r="U849" s="240"/>
      <c r="V849" s="240"/>
      <c r="W849" s="240"/>
      <c r="X849" s="240"/>
      <c r="Y849" s="240"/>
      <c r="Z849" s="240"/>
    </row>
    <row r="850" spans="1:26" ht="15.75" customHeight="1" x14ac:dyDescent="0.55000000000000004">
      <c r="A850" s="240"/>
      <c r="B850" s="240"/>
      <c r="C850" s="240"/>
      <c r="D850" s="240"/>
      <c r="E850" s="240"/>
      <c r="F850" s="240"/>
      <c r="G850" s="240"/>
      <c r="H850" s="240"/>
      <c r="I850" s="240"/>
      <c r="J850" s="240"/>
      <c r="K850" s="240"/>
      <c r="L850" s="240"/>
      <c r="M850" s="240"/>
      <c r="N850" s="240"/>
      <c r="O850" s="240"/>
      <c r="P850" s="240"/>
      <c r="Q850" s="240"/>
      <c r="R850" s="240"/>
      <c r="S850" s="240"/>
      <c r="T850" s="240"/>
      <c r="U850" s="240"/>
      <c r="V850" s="240"/>
      <c r="W850" s="240"/>
      <c r="X850" s="240"/>
      <c r="Y850" s="240"/>
      <c r="Z850" s="240"/>
    </row>
    <row r="851" spans="1:26" ht="15.75" customHeight="1" x14ac:dyDescent="0.55000000000000004">
      <c r="A851" s="240"/>
      <c r="B851" s="240"/>
      <c r="C851" s="240"/>
      <c r="D851" s="240"/>
      <c r="E851" s="240"/>
      <c r="F851" s="240"/>
      <c r="G851" s="240"/>
      <c r="H851" s="240"/>
      <c r="I851" s="240"/>
      <c r="J851" s="240"/>
      <c r="K851" s="240"/>
      <c r="L851" s="240"/>
      <c r="M851" s="240"/>
      <c r="N851" s="240"/>
      <c r="O851" s="240"/>
      <c r="P851" s="240"/>
      <c r="Q851" s="240"/>
      <c r="R851" s="240"/>
      <c r="S851" s="240"/>
      <c r="T851" s="240"/>
      <c r="U851" s="240"/>
      <c r="V851" s="240"/>
      <c r="W851" s="240"/>
      <c r="X851" s="240"/>
      <c r="Y851" s="240"/>
      <c r="Z851" s="240"/>
    </row>
    <row r="852" spans="1:26" ht="15.75" customHeight="1" x14ac:dyDescent="0.55000000000000004">
      <c r="A852" s="240"/>
      <c r="B852" s="240"/>
      <c r="C852" s="240"/>
      <c r="D852" s="240"/>
      <c r="E852" s="240"/>
      <c r="F852" s="240"/>
      <c r="G852" s="240"/>
      <c r="H852" s="240"/>
      <c r="I852" s="240"/>
      <c r="J852" s="240"/>
      <c r="K852" s="240"/>
      <c r="L852" s="240"/>
      <c r="M852" s="240"/>
      <c r="N852" s="240"/>
      <c r="O852" s="240"/>
      <c r="P852" s="240"/>
      <c r="Q852" s="240"/>
      <c r="R852" s="240"/>
      <c r="S852" s="240"/>
      <c r="T852" s="240"/>
      <c r="U852" s="240"/>
      <c r="V852" s="240"/>
      <c r="W852" s="240"/>
      <c r="X852" s="240"/>
      <c r="Y852" s="240"/>
      <c r="Z852" s="240"/>
    </row>
    <row r="853" spans="1:26" ht="15.75" customHeight="1" x14ac:dyDescent="0.55000000000000004">
      <c r="A853" s="240"/>
      <c r="B853" s="240"/>
      <c r="C853" s="240"/>
      <c r="D853" s="240"/>
      <c r="E853" s="240"/>
      <c r="F853" s="240"/>
      <c r="G853" s="240"/>
      <c r="H853" s="240"/>
      <c r="I853" s="240"/>
      <c r="J853" s="240"/>
      <c r="K853" s="240"/>
      <c r="L853" s="240"/>
      <c r="M853" s="240"/>
      <c r="N853" s="240"/>
      <c r="O853" s="240"/>
      <c r="P853" s="240"/>
      <c r="Q853" s="240"/>
      <c r="R853" s="240"/>
      <c r="S853" s="240"/>
      <c r="T853" s="240"/>
      <c r="U853" s="240"/>
      <c r="V853" s="240"/>
      <c r="W853" s="240"/>
      <c r="X853" s="240"/>
      <c r="Y853" s="240"/>
      <c r="Z853" s="240"/>
    </row>
    <row r="854" spans="1:26" ht="15.75" customHeight="1" x14ac:dyDescent="0.55000000000000004">
      <c r="A854" s="240"/>
      <c r="B854" s="240"/>
      <c r="C854" s="240"/>
      <c r="D854" s="240"/>
      <c r="E854" s="240"/>
      <c r="F854" s="240"/>
      <c r="G854" s="240"/>
      <c r="H854" s="240"/>
      <c r="I854" s="240"/>
      <c r="J854" s="240"/>
      <c r="K854" s="240"/>
      <c r="L854" s="240"/>
      <c r="M854" s="240"/>
      <c r="N854" s="240"/>
      <c r="O854" s="240"/>
      <c r="P854" s="240"/>
      <c r="Q854" s="240"/>
      <c r="R854" s="240"/>
      <c r="S854" s="240"/>
      <c r="T854" s="240"/>
      <c r="U854" s="240"/>
      <c r="V854" s="240"/>
      <c r="W854" s="240"/>
      <c r="X854" s="240"/>
      <c r="Y854" s="240"/>
      <c r="Z854" s="240"/>
    </row>
    <row r="855" spans="1:26" ht="15.75" customHeight="1" x14ac:dyDescent="0.55000000000000004">
      <c r="A855" s="240"/>
      <c r="B855" s="240"/>
      <c r="C855" s="240"/>
      <c r="D855" s="240"/>
      <c r="E855" s="240"/>
      <c r="F855" s="240"/>
      <c r="G855" s="240"/>
      <c r="H855" s="240"/>
      <c r="I855" s="240"/>
      <c r="J855" s="240"/>
      <c r="K855" s="240"/>
      <c r="L855" s="240"/>
      <c r="M855" s="240"/>
      <c r="N855" s="240"/>
      <c r="O855" s="240"/>
      <c r="P855" s="240"/>
      <c r="Q855" s="240"/>
      <c r="R855" s="240"/>
      <c r="S855" s="240"/>
      <c r="T855" s="240"/>
      <c r="U855" s="240"/>
      <c r="V855" s="240"/>
      <c r="W855" s="240"/>
      <c r="X855" s="240"/>
      <c r="Y855" s="240"/>
      <c r="Z855" s="240"/>
    </row>
    <row r="856" spans="1:26" ht="15.75" customHeight="1" x14ac:dyDescent="0.55000000000000004">
      <c r="A856" s="240"/>
      <c r="B856" s="240"/>
      <c r="C856" s="240"/>
      <c r="D856" s="240"/>
      <c r="E856" s="240"/>
      <c r="F856" s="240"/>
      <c r="G856" s="240"/>
      <c r="H856" s="240"/>
      <c r="I856" s="240"/>
      <c r="J856" s="240"/>
      <c r="K856" s="240"/>
      <c r="L856" s="240"/>
      <c r="M856" s="240"/>
      <c r="N856" s="240"/>
      <c r="O856" s="240"/>
      <c r="P856" s="240"/>
      <c r="Q856" s="240"/>
      <c r="R856" s="240"/>
      <c r="S856" s="240"/>
      <c r="T856" s="240"/>
      <c r="U856" s="240"/>
      <c r="V856" s="240"/>
      <c r="W856" s="240"/>
      <c r="X856" s="240"/>
      <c r="Y856" s="240"/>
      <c r="Z856" s="240"/>
    </row>
    <row r="857" spans="1:26" ht="15.75" customHeight="1" x14ac:dyDescent="0.55000000000000004">
      <c r="A857" s="240"/>
      <c r="B857" s="240"/>
      <c r="C857" s="240"/>
      <c r="D857" s="240"/>
      <c r="E857" s="240"/>
      <c r="F857" s="240"/>
      <c r="G857" s="240"/>
      <c r="H857" s="240"/>
      <c r="I857" s="240"/>
      <c r="J857" s="240"/>
      <c r="K857" s="240"/>
      <c r="L857" s="240"/>
      <c r="M857" s="240"/>
      <c r="N857" s="240"/>
      <c r="O857" s="240"/>
      <c r="P857" s="240"/>
      <c r="Q857" s="240"/>
      <c r="R857" s="240"/>
      <c r="S857" s="240"/>
      <c r="T857" s="240"/>
      <c r="U857" s="240"/>
      <c r="V857" s="240"/>
      <c r="W857" s="240"/>
      <c r="X857" s="240"/>
      <c r="Y857" s="240"/>
      <c r="Z857" s="240"/>
    </row>
    <row r="858" spans="1:26" ht="15.75" customHeight="1" x14ac:dyDescent="0.55000000000000004">
      <c r="A858" s="240"/>
      <c r="B858" s="240"/>
      <c r="C858" s="240"/>
      <c r="D858" s="240"/>
      <c r="E858" s="240"/>
      <c r="F858" s="240"/>
      <c r="G858" s="240"/>
      <c r="H858" s="240"/>
      <c r="I858" s="240"/>
      <c r="J858" s="240"/>
      <c r="K858" s="240"/>
      <c r="L858" s="240"/>
      <c r="M858" s="240"/>
      <c r="N858" s="240"/>
      <c r="O858" s="240"/>
      <c r="P858" s="240"/>
      <c r="Q858" s="240"/>
      <c r="R858" s="240"/>
      <c r="S858" s="240"/>
      <c r="T858" s="240"/>
      <c r="U858" s="240"/>
      <c r="V858" s="240"/>
      <c r="W858" s="240"/>
      <c r="X858" s="240"/>
      <c r="Y858" s="240"/>
      <c r="Z858" s="240"/>
    </row>
    <row r="859" spans="1:26" ht="15.75" customHeight="1" x14ac:dyDescent="0.55000000000000004">
      <c r="A859" s="240"/>
      <c r="B859" s="240"/>
      <c r="C859" s="240"/>
      <c r="D859" s="240"/>
      <c r="E859" s="240"/>
      <c r="F859" s="240"/>
      <c r="G859" s="240"/>
      <c r="H859" s="240"/>
      <c r="I859" s="240"/>
      <c r="J859" s="240"/>
      <c r="K859" s="240"/>
      <c r="L859" s="240"/>
      <c r="M859" s="240"/>
      <c r="N859" s="240"/>
      <c r="O859" s="240"/>
      <c r="P859" s="240"/>
      <c r="Q859" s="240"/>
      <c r="R859" s="240"/>
      <c r="S859" s="240"/>
      <c r="T859" s="240"/>
      <c r="U859" s="240"/>
      <c r="V859" s="240"/>
      <c r="W859" s="240"/>
      <c r="X859" s="240"/>
      <c r="Y859" s="240"/>
      <c r="Z859" s="240"/>
    </row>
    <row r="860" spans="1:26" ht="15.75" customHeight="1" x14ac:dyDescent="0.55000000000000004">
      <c r="A860" s="240"/>
      <c r="B860" s="240"/>
      <c r="C860" s="240"/>
      <c r="D860" s="240"/>
      <c r="E860" s="240"/>
      <c r="F860" s="240"/>
      <c r="G860" s="240"/>
      <c r="H860" s="240"/>
      <c r="I860" s="240"/>
      <c r="J860" s="240"/>
      <c r="K860" s="240"/>
      <c r="L860" s="240"/>
      <c r="M860" s="240"/>
      <c r="N860" s="240"/>
      <c r="O860" s="240"/>
      <c r="P860" s="240"/>
      <c r="Q860" s="240"/>
      <c r="R860" s="240"/>
      <c r="S860" s="240"/>
      <c r="T860" s="240"/>
      <c r="U860" s="240"/>
      <c r="V860" s="240"/>
      <c r="W860" s="240"/>
      <c r="X860" s="240"/>
      <c r="Y860" s="240"/>
      <c r="Z860" s="240"/>
    </row>
    <row r="861" spans="1:26" ht="15.75" customHeight="1" x14ac:dyDescent="0.55000000000000004">
      <c r="A861" s="240"/>
      <c r="B861" s="240"/>
      <c r="C861" s="240"/>
      <c r="D861" s="240"/>
      <c r="E861" s="240"/>
      <c r="F861" s="240"/>
      <c r="G861" s="240"/>
      <c r="H861" s="240"/>
      <c r="I861" s="240"/>
      <c r="J861" s="240"/>
      <c r="K861" s="240"/>
      <c r="L861" s="240"/>
      <c r="M861" s="240"/>
      <c r="N861" s="240"/>
      <c r="O861" s="240"/>
      <c r="P861" s="240"/>
      <c r="Q861" s="240"/>
      <c r="R861" s="240"/>
      <c r="S861" s="240"/>
      <c r="T861" s="240"/>
      <c r="U861" s="240"/>
      <c r="V861" s="240"/>
      <c r="W861" s="240"/>
      <c r="X861" s="240"/>
      <c r="Y861" s="240"/>
      <c r="Z861" s="240"/>
    </row>
    <row r="862" spans="1:26" ht="15.75" customHeight="1" x14ac:dyDescent="0.55000000000000004">
      <c r="A862" s="240"/>
      <c r="B862" s="240"/>
      <c r="C862" s="240"/>
      <c r="D862" s="240"/>
      <c r="E862" s="240"/>
      <c r="F862" s="240"/>
      <c r="G862" s="240"/>
      <c r="H862" s="240"/>
      <c r="I862" s="240"/>
      <c r="J862" s="240"/>
      <c r="K862" s="240"/>
      <c r="L862" s="240"/>
      <c r="M862" s="240"/>
      <c r="N862" s="240"/>
      <c r="O862" s="240"/>
      <c r="P862" s="240"/>
      <c r="Q862" s="240"/>
      <c r="R862" s="240"/>
      <c r="S862" s="240"/>
      <c r="T862" s="240"/>
      <c r="U862" s="240"/>
      <c r="V862" s="240"/>
      <c r="W862" s="240"/>
      <c r="X862" s="240"/>
      <c r="Y862" s="240"/>
      <c r="Z862" s="240"/>
    </row>
    <row r="863" spans="1:26" ht="15.75" customHeight="1" x14ac:dyDescent="0.55000000000000004">
      <c r="A863" s="240"/>
      <c r="B863" s="240"/>
      <c r="C863" s="240"/>
      <c r="D863" s="240"/>
      <c r="E863" s="240"/>
      <c r="F863" s="240"/>
      <c r="G863" s="240"/>
      <c r="H863" s="240"/>
      <c r="I863" s="240"/>
      <c r="J863" s="240"/>
      <c r="K863" s="240"/>
      <c r="L863" s="240"/>
      <c r="M863" s="240"/>
      <c r="N863" s="240"/>
      <c r="O863" s="240"/>
      <c r="P863" s="240"/>
      <c r="Q863" s="240"/>
      <c r="R863" s="240"/>
      <c r="S863" s="240"/>
      <c r="T863" s="240"/>
      <c r="U863" s="240"/>
      <c r="V863" s="240"/>
      <c r="W863" s="240"/>
      <c r="X863" s="240"/>
      <c r="Y863" s="240"/>
      <c r="Z863" s="240"/>
    </row>
    <row r="864" spans="1:26" ht="15.75" customHeight="1" x14ac:dyDescent="0.55000000000000004">
      <c r="A864" s="240"/>
      <c r="B864" s="240"/>
      <c r="C864" s="240"/>
      <c r="D864" s="240"/>
      <c r="E864" s="240"/>
      <c r="F864" s="240"/>
      <c r="G864" s="240"/>
      <c r="H864" s="240"/>
      <c r="I864" s="240"/>
      <c r="J864" s="240"/>
      <c r="K864" s="240"/>
      <c r="L864" s="240"/>
      <c r="M864" s="240"/>
      <c r="N864" s="240"/>
      <c r="O864" s="240"/>
      <c r="P864" s="240"/>
      <c r="Q864" s="240"/>
      <c r="R864" s="240"/>
      <c r="S864" s="240"/>
      <c r="T864" s="240"/>
      <c r="U864" s="240"/>
      <c r="V864" s="240"/>
      <c r="W864" s="240"/>
      <c r="X864" s="240"/>
      <c r="Y864" s="240"/>
      <c r="Z864" s="240"/>
    </row>
    <row r="865" spans="1:26" ht="15.75" customHeight="1" x14ac:dyDescent="0.55000000000000004">
      <c r="A865" s="240"/>
      <c r="B865" s="240"/>
      <c r="C865" s="240"/>
      <c r="D865" s="240"/>
      <c r="E865" s="240"/>
      <c r="F865" s="240"/>
      <c r="G865" s="240"/>
      <c r="H865" s="240"/>
      <c r="I865" s="240"/>
      <c r="J865" s="240"/>
      <c r="K865" s="240"/>
      <c r="L865" s="240"/>
      <c r="M865" s="240"/>
      <c r="N865" s="240"/>
      <c r="O865" s="240"/>
      <c r="P865" s="240"/>
      <c r="Q865" s="240"/>
      <c r="R865" s="240"/>
      <c r="S865" s="240"/>
      <c r="T865" s="240"/>
      <c r="U865" s="240"/>
      <c r="V865" s="240"/>
      <c r="W865" s="240"/>
      <c r="X865" s="240"/>
      <c r="Y865" s="240"/>
      <c r="Z865" s="240"/>
    </row>
    <row r="866" spans="1:26" ht="15.75" customHeight="1" x14ac:dyDescent="0.55000000000000004">
      <c r="A866" s="240"/>
      <c r="B866" s="240"/>
      <c r="C866" s="240"/>
      <c r="D866" s="240"/>
      <c r="E866" s="240"/>
      <c r="F866" s="240"/>
      <c r="G866" s="240"/>
      <c r="H866" s="240"/>
      <c r="I866" s="240"/>
      <c r="J866" s="240"/>
      <c r="K866" s="240"/>
      <c r="L866" s="240"/>
      <c r="M866" s="240"/>
      <c r="N866" s="240"/>
      <c r="O866" s="240"/>
      <c r="P866" s="240"/>
      <c r="Q866" s="240"/>
      <c r="R866" s="240"/>
      <c r="S866" s="240"/>
      <c r="T866" s="240"/>
      <c r="U866" s="240"/>
      <c r="V866" s="240"/>
      <c r="W866" s="240"/>
      <c r="X866" s="240"/>
      <c r="Y866" s="240"/>
      <c r="Z866" s="240"/>
    </row>
    <row r="867" spans="1:26" ht="15.75" customHeight="1" x14ac:dyDescent="0.55000000000000004">
      <c r="A867" s="240"/>
      <c r="B867" s="240"/>
      <c r="C867" s="240"/>
      <c r="D867" s="240"/>
      <c r="E867" s="240"/>
      <c r="F867" s="240"/>
      <c r="G867" s="240"/>
      <c r="H867" s="240"/>
      <c r="I867" s="240"/>
      <c r="J867" s="240"/>
      <c r="K867" s="240"/>
      <c r="L867" s="240"/>
      <c r="M867" s="240"/>
      <c r="N867" s="240"/>
      <c r="O867" s="240"/>
      <c r="P867" s="240"/>
      <c r="Q867" s="240"/>
      <c r="R867" s="240"/>
      <c r="S867" s="240"/>
      <c r="T867" s="240"/>
      <c r="U867" s="240"/>
      <c r="V867" s="240"/>
      <c r="W867" s="240"/>
      <c r="X867" s="240"/>
      <c r="Y867" s="240"/>
      <c r="Z867" s="240"/>
    </row>
    <row r="868" spans="1:26" ht="15.75" customHeight="1" x14ac:dyDescent="0.55000000000000004">
      <c r="A868" s="240"/>
      <c r="B868" s="240"/>
      <c r="C868" s="240"/>
      <c r="D868" s="240"/>
      <c r="E868" s="240"/>
      <c r="F868" s="240"/>
      <c r="G868" s="240"/>
      <c r="H868" s="240"/>
      <c r="I868" s="240"/>
      <c r="J868" s="240"/>
      <c r="K868" s="240"/>
      <c r="L868" s="240"/>
      <c r="M868" s="240"/>
      <c r="N868" s="240"/>
      <c r="O868" s="240"/>
      <c r="P868" s="240"/>
      <c r="Q868" s="240"/>
      <c r="R868" s="240"/>
      <c r="S868" s="240"/>
      <c r="T868" s="240"/>
      <c r="U868" s="240"/>
      <c r="V868" s="240"/>
      <c r="W868" s="240"/>
      <c r="X868" s="240"/>
      <c r="Y868" s="240"/>
      <c r="Z868" s="240"/>
    </row>
    <row r="869" spans="1:26" ht="15.75" customHeight="1" x14ac:dyDescent="0.55000000000000004">
      <c r="A869" s="240"/>
      <c r="B869" s="240"/>
      <c r="C869" s="240"/>
      <c r="D869" s="240"/>
      <c r="E869" s="240"/>
      <c r="F869" s="240"/>
      <c r="G869" s="240"/>
      <c r="H869" s="240"/>
      <c r="I869" s="240"/>
      <c r="J869" s="240"/>
      <c r="K869" s="240"/>
      <c r="L869" s="240"/>
      <c r="M869" s="240"/>
      <c r="N869" s="240"/>
      <c r="O869" s="240"/>
      <c r="P869" s="240"/>
      <c r="Q869" s="240"/>
      <c r="R869" s="240"/>
      <c r="S869" s="240"/>
      <c r="T869" s="240"/>
      <c r="U869" s="240"/>
      <c r="V869" s="240"/>
      <c r="W869" s="240"/>
      <c r="X869" s="240"/>
      <c r="Y869" s="240"/>
      <c r="Z869" s="240"/>
    </row>
    <row r="870" spans="1:26" ht="15.75" customHeight="1" x14ac:dyDescent="0.55000000000000004">
      <c r="A870" s="240"/>
      <c r="B870" s="240"/>
      <c r="C870" s="240"/>
      <c r="D870" s="240"/>
      <c r="E870" s="240"/>
      <c r="F870" s="240"/>
      <c r="G870" s="240"/>
      <c r="H870" s="240"/>
      <c r="I870" s="240"/>
      <c r="J870" s="240"/>
      <c r="K870" s="240"/>
      <c r="L870" s="240"/>
      <c r="M870" s="240"/>
      <c r="N870" s="240"/>
      <c r="O870" s="240"/>
      <c r="P870" s="240"/>
      <c r="Q870" s="240"/>
      <c r="R870" s="240"/>
      <c r="S870" s="240"/>
      <c r="T870" s="240"/>
      <c r="U870" s="240"/>
      <c r="V870" s="240"/>
      <c r="W870" s="240"/>
      <c r="X870" s="240"/>
      <c r="Y870" s="240"/>
      <c r="Z870" s="240"/>
    </row>
    <row r="871" spans="1:26" ht="15.75" customHeight="1" x14ac:dyDescent="0.55000000000000004">
      <c r="A871" s="240"/>
      <c r="B871" s="240"/>
      <c r="C871" s="240"/>
      <c r="D871" s="240"/>
      <c r="E871" s="240"/>
      <c r="F871" s="240"/>
      <c r="G871" s="240"/>
      <c r="H871" s="240"/>
      <c r="I871" s="240"/>
      <c r="J871" s="240"/>
      <c r="K871" s="240"/>
      <c r="L871" s="240"/>
      <c r="M871" s="240"/>
      <c r="N871" s="240"/>
      <c r="O871" s="240"/>
      <c r="P871" s="240"/>
      <c r="Q871" s="240"/>
      <c r="R871" s="240"/>
      <c r="S871" s="240"/>
      <c r="T871" s="240"/>
      <c r="U871" s="240"/>
      <c r="V871" s="240"/>
      <c r="W871" s="240"/>
      <c r="X871" s="240"/>
      <c r="Y871" s="240"/>
      <c r="Z871" s="240"/>
    </row>
    <row r="872" spans="1:26" ht="15.75" customHeight="1" x14ac:dyDescent="0.55000000000000004">
      <c r="A872" s="240"/>
      <c r="B872" s="240"/>
      <c r="C872" s="240"/>
      <c r="D872" s="240"/>
      <c r="E872" s="240"/>
      <c r="F872" s="240"/>
      <c r="G872" s="240"/>
      <c r="H872" s="240"/>
      <c r="I872" s="240"/>
      <c r="J872" s="240"/>
      <c r="K872" s="240"/>
      <c r="L872" s="240"/>
      <c r="M872" s="240"/>
      <c r="N872" s="240"/>
      <c r="O872" s="240"/>
      <c r="P872" s="240"/>
      <c r="Q872" s="240"/>
      <c r="R872" s="240"/>
      <c r="S872" s="240"/>
      <c r="T872" s="240"/>
      <c r="U872" s="240"/>
      <c r="V872" s="240"/>
      <c r="W872" s="240"/>
      <c r="X872" s="240"/>
      <c r="Y872" s="240"/>
      <c r="Z872" s="240"/>
    </row>
    <row r="873" spans="1:26" ht="15.75" customHeight="1" x14ac:dyDescent="0.55000000000000004">
      <c r="A873" s="240"/>
      <c r="B873" s="240"/>
      <c r="C873" s="240"/>
      <c r="D873" s="240"/>
      <c r="E873" s="240"/>
      <c r="F873" s="240"/>
      <c r="G873" s="240"/>
      <c r="H873" s="240"/>
      <c r="I873" s="240"/>
      <c r="J873" s="240"/>
      <c r="K873" s="240"/>
      <c r="L873" s="240"/>
      <c r="M873" s="240"/>
      <c r="N873" s="240"/>
      <c r="O873" s="240"/>
      <c r="P873" s="240"/>
      <c r="Q873" s="240"/>
      <c r="R873" s="240"/>
      <c r="S873" s="240"/>
      <c r="T873" s="240"/>
      <c r="U873" s="240"/>
      <c r="V873" s="240"/>
      <c r="W873" s="240"/>
      <c r="X873" s="240"/>
      <c r="Y873" s="240"/>
      <c r="Z873" s="240"/>
    </row>
    <row r="874" spans="1:26" ht="15.75" customHeight="1" x14ac:dyDescent="0.55000000000000004">
      <c r="A874" s="240"/>
      <c r="B874" s="240"/>
      <c r="C874" s="240"/>
      <c r="D874" s="240"/>
      <c r="E874" s="240"/>
      <c r="F874" s="240"/>
      <c r="G874" s="240"/>
      <c r="H874" s="240"/>
      <c r="I874" s="240"/>
      <c r="J874" s="240"/>
      <c r="K874" s="240"/>
      <c r="L874" s="240"/>
      <c r="M874" s="240"/>
      <c r="N874" s="240"/>
      <c r="O874" s="240"/>
      <c r="P874" s="240"/>
      <c r="Q874" s="240"/>
      <c r="R874" s="240"/>
      <c r="S874" s="240"/>
      <c r="T874" s="240"/>
      <c r="U874" s="240"/>
      <c r="V874" s="240"/>
      <c r="W874" s="240"/>
      <c r="X874" s="240"/>
      <c r="Y874" s="240"/>
      <c r="Z874" s="240"/>
    </row>
    <row r="875" spans="1:26" ht="15.75" customHeight="1" x14ac:dyDescent="0.55000000000000004">
      <c r="A875" s="240"/>
      <c r="B875" s="240"/>
      <c r="C875" s="240"/>
      <c r="D875" s="240"/>
      <c r="E875" s="240"/>
      <c r="F875" s="240"/>
      <c r="G875" s="240"/>
      <c r="H875" s="240"/>
      <c r="I875" s="240"/>
      <c r="J875" s="240"/>
      <c r="K875" s="240"/>
      <c r="L875" s="240"/>
      <c r="M875" s="240"/>
      <c r="N875" s="240"/>
      <c r="O875" s="240"/>
      <c r="P875" s="240"/>
      <c r="Q875" s="240"/>
      <c r="R875" s="240"/>
      <c r="S875" s="240"/>
      <c r="T875" s="240"/>
      <c r="U875" s="240"/>
      <c r="V875" s="240"/>
      <c r="W875" s="240"/>
      <c r="X875" s="240"/>
      <c r="Y875" s="240"/>
      <c r="Z875" s="240"/>
    </row>
    <row r="876" spans="1:26" ht="15.75" customHeight="1" x14ac:dyDescent="0.55000000000000004">
      <c r="A876" s="240"/>
      <c r="B876" s="240"/>
      <c r="C876" s="240"/>
      <c r="D876" s="240"/>
      <c r="E876" s="240"/>
      <c r="F876" s="240"/>
      <c r="G876" s="240"/>
      <c r="H876" s="240"/>
      <c r="I876" s="240"/>
      <c r="J876" s="240"/>
      <c r="K876" s="240"/>
      <c r="L876" s="240"/>
      <c r="M876" s="240"/>
      <c r="N876" s="240"/>
      <c r="O876" s="240"/>
      <c r="P876" s="240"/>
      <c r="Q876" s="240"/>
      <c r="R876" s="240"/>
      <c r="S876" s="240"/>
      <c r="T876" s="240"/>
      <c r="U876" s="240"/>
      <c r="V876" s="240"/>
      <c r="W876" s="240"/>
      <c r="X876" s="240"/>
      <c r="Y876" s="240"/>
      <c r="Z876" s="240"/>
    </row>
    <row r="877" spans="1:26" ht="15.75" customHeight="1" x14ac:dyDescent="0.55000000000000004">
      <c r="A877" s="240"/>
      <c r="B877" s="240"/>
      <c r="C877" s="240"/>
      <c r="D877" s="240"/>
      <c r="E877" s="240"/>
      <c r="F877" s="240"/>
      <c r="G877" s="240"/>
      <c r="H877" s="240"/>
      <c r="I877" s="240"/>
      <c r="J877" s="240"/>
      <c r="K877" s="240"/>
      <c r="L877" s="240"/>
      <c r="M877" s="240"/>
      <c r="N877" s="240"/>
      <c r="O877" s="240"/>
      <c r="P877" s="240"/>
      <c r="Q877" s="240"/>
      <c r="R877" s="240"/>
      <c r="S877" s="240"/>
      <c r="T877" s="240"/>
      <c r="U877" s="240"/>
      <c r="V877" s="240"/>
      <c r="W877" s="240"/>
      <c r="X877" s="240"/>
      <c r="Y877" s="240"/>
      <c r="Z877" s="240"/>
    </row>
    <row r="878" spans="1:26" ht="15.75" customHeight="1" x14ac:dyDescent="0.55000000000000004">
      <c r="A878" s="240"/>
      <c r="B878" s="240"/>
      <c r="C878" s="240"/>
      <c r="D878" s="240"/>
      <c r="E878" s="240"/>
      <c r="F878" s="240"/>
      <c r="G878" s="240"/>
      <c r="H878" s="240"/>
      <c r="I878" s="240"/>
      <c r="J878" s="240"/>
      <c r="K878" s="240"/>
      <c r="L878" s="240"/>
      <c r="M878" s="240"/>
      <c r="N878" s="240"/>
      <c r="O878" s="240"/>
      <c r="P878" s="240"/>
      <c r="Q878" s="240"/>
      <c r="R878" s="240"/>
      <c r="S878" s="240"/>
      <c r="T878" s="240"/>
      <c r="U878" s="240"/>
      <c r="V878" s="240"/>
      <c r="W878" s="240"/>
      <c r="X878" s="240"/>
      <c r="Y878" s="240"/>
      <c r="Z878" s="240"/>
    </row>
    <row r="879" spans="1:26" ht="15.75" customHeight="1" x14ac:dyDescent="0.55000000000000004">
      <c r="A879" s="240"/>
      <c r="B879" s="240"/>
      <c r="C879" s="240"/>
      <c r="D879" s="240"/>
      <c r="E879" s="240"/>
      <c r="F879" s="240"/>
      <c r="G879" s="240"/>
      <c r="H879" s="240"/>
      <c r="I879" s="240"/>
      <c r="J879" s="240"/>
      <c r="K879" s="240"/>
      <c r="L879" s="240"/>
      <c r="M879" s="240"/>
      <c r="N879" s="240"/>
      <c r="O879" s="240"/>
      <c r="P879" s="240"/>
      <c r="Q879" s="240"/>
      <c r="R879" s="240"/>
      <c r="S879" s="240"/>
      <c r="T879" s="240"/>
      <c r="U879" s="240"/>
      <c r="V879" s="240"/>
      <c r="W879" s="240"/>
      <c r="X879" s="240"/>
      <c r="Y879" s="240"/>
      <c r="Z879" s="240"/>
    </row>
    <row r="880" spans="1:26" ht="15.75" customHeight="1" x14ac:dyDescent="0.55000000000000004">
      <c r="A880" s="240"/>
      <c r="B880" s="240"/>
      <c r="C880" s="240"/>
      <c r="D880" s="240"/>
      <c r="E880" s="240"/>
      <c r="F880" s="240"/>
      <c r="G880" s="240"/>
      <c r="H880" s="240"/>
      <c r="I880" s="240"/>
      <c r="J880" s="240"/>
      <c r="K880" s="240"/>
      <c r="L880" s="240"/>
      <c r="M880" s="240"/>
      <c r="N880" s="240"/>
      <c r="O880" s="240"/>
      <c r="P880" s="240"/>
      <c r="Q880" s="240"/>
      <c r="R880" s="240"/>
      <c r="S880" s="240"/>
      <c r="T880" s="240"/>
      <c r="U880" s="240"/>
      <c r="V880" s="240"/>
      <c r="W880" s="240"/>
      <c r="X880" s="240"/>
      <c r="Y880" s="240"/>
      <c r="Z880" s="240"/>
    </row>
    <row r="881" spans="1:26" ht="15.75" customHeight="1" x14ac:dyDescent="0.55000000000000004">
      <c r="A881" s="240"/>
      <c r="B881" s="240"/>
      <c r="C881" s="240"/>
      <c r="D881" s="240"/>
      <c r="E881" s="240"/>
      <c r="F881" s="240"/>
      <c r="G881" s="240"/>
      <c r="H881" s="240"/>
      <c r="I881" s="240"/>
      <c r="J881" s="240"/>
      <c r="K881" s="240"/>
      <c r="L881" s="240"/>
      <c r="M881" s="240"/>
      <c r="N881" s="240"/>
      <c r="O881" s="240"/>
      <c r="P881" s="240"/>
      <c r="Q881" s="240"/>
      <c r="R881" s="240"/>
      <c r="S881" s="240"/>
      <c r="T881" s="240"/>
      <c r="U881" s="240"/>
      <c r="V881" s="240"/>
      <c r="W881" s="240"/>
      <c r="X881" s="240"/>
      <c r="Y881" s="240"/>
      <c r="Z881" s="240"/>
    </row>
    <row r="882" spans="1:26" ht="15.75" customHeight="1" x14ac:dyDescent="0.55000000000000004">
      <c r="A882" s="240"/>
      <c r="B882" s="240"/>
      <c r="C882" s="240"/>
      <c r="D882" s="240"/>
      <c r="E882" s="240"/>
      <c r="F882" s="240"/>
      <c r="G882" s="240"/>
      <c r="H882" s="240"/>
      <c r="I882" s="240"/>
      <c r="J882" s="240"/>
      <c r="K882" s="240"/>
      <c r="L882" s="240"/>
      <c r="M882" s="240"/>
      <c r="N882" s="240"/>
      <c r="O882" s="240"/>
      <c r="P882" s="240"/>
      <c r="Q882" s="240"/>
      <c r="R882" s="240"/>
      <c r="S882" s="240"/>
      <c r="T882" s="240"/>
      <c r="U882" s="240"/>
      <c r="V882" s="240"/>
      <c r="W882" s="240"/>
      <c r="X882" s="240"/>
      <c r="Y882" s="240"/>
      <c r="Z882" s="240"/>
    </row>
    <row r="883" spans="1:26" ht="15.75" customHeight="1" x14ac:dyDescent="0.55000000000000004">
      <c r="A883" s="240"/>
      <c r="B883" s="240"/>
      <c r="C883" s="240"/>
      <c r="D883" s="240"/>
      <c r="E883" s="240"/>
      <c r="F883" s="240"/>
      <c r="G883" s="240"/>
      <c r="H883" s="240"/>
      <c r="I883" s="240"/>
      <c r="J883" s="240"/>
      <c r="K883" s="240"/>
      <c r="L883" s="240"/>
      <c r="M883" s="240"/>
      <c r="N883" s="240"/>
      <c r="O883" s="240"/>
      <c r="P883" s="240"/>
      <c r="Q883" s="240"/>
      <c r="R883" s="240"/>
      <c r="S883" s="240"/>
      <c r="T883" s="240"/>
      <c r="U883" s="240"/>
      <c r="V883" s="240"/>
      <c r="W883" s="240"/>
      <c r="X883" s="240"/>
      <c r="Y883" s="240"/>
      <c r="Z883" s="240"/>
    </row>
    <row r="884" spans="1:26" ht="15.75" customHeight="1" x14ac:dyDescent="0.55000000000000004">
      <c r="A884" s="240"/>
      <c r="B884" s="240"/>
      <c r="C884" s="240"/>
      <c r="D884" s="240"/>
      <c r="E884" s="240"/>
      <c r="F884" s="240"/>
      <c r="G884" s="240"/>
      <c r="H884" s="240"/>
      <c r="I884" s="240"/>
      <c r="J884" s="240"/>
      <c r="K884" s="240"/>
      <c r="L884" s="240"/>
      <c r="M884" s="240"/>
      <c r="N884" s="240"/>
      <c r="O884" s="240"/>
      <c r="P884" s="240"/>
      <c r="Q884" s="240"/>
      <c r="R884" s="240"/>
      <c r="S884" s="240"/>
      <c r="T884" s="240"/>
      <c r="U884" s="240"/>
      <c r="V884" s="240"/>
      <c r="W884" s="240"/>
      <c r="X884" s="240"/>
      <c r="Y884" s="240"/>
      <c r="Z884" s="240"/>
    </row>
    <row r="885" spans="1:26" ht="15.75" customHeight="1" x14ac:dyDescent="0.55000000000000004">
      <c r="A885" s="240"/>
      <c r="B885" s="240"/>
      <c r="C885" s="240"/>
      <c r="D885" s="240"/>
      <c r="E885" s="240"/>
      <c r="F885" s="240"/>
      <c r="G885" s="240"/>
      <c r="H885" s="240"/>
      <c r="I885" s="240"/>
      <c r="J885" s="240"/>
      <c r="K885" s="240"/>
      <c r="L885" s="240"/>
      <c r="M885" s="240"/>
      <c r="N885" s="240"/>
      <c r="O885" s="240"/>
      <c r="P885" s="240"/>
      <c r="Q885" s="240"/>
      <c r="R885" s="240"/>
      <c r="S885" s="240"/>
      <c r="T885" s="240"/>
      <c r="U885" s="240"/>
      <c r="V885" s="240"/>
      <c r="W885" s="240"/>
      <c r="X885" s="240"/>
      <c r="Y885" s="240"/>
      <c r="Z885" s="240"/>
    </row>
    <row r="886" spans="1:26" ht="15.75" customHeight="1" x14ac:dyDescent="0.55000000000000004">
      <c r="A886" s="240"/>
      <c r="B886" s="240"/>
      <c r="C886" s="240"/>
      <c r="D886" s="240"/>
      <c r="E886" s="240"/>
      <c r="F886" s="240"/>
      <c r="G886" s="240"/>
      <c r="H886" s="240"/>
      <c r="I886" s="240"/>
      <c r="J886" s="240"/>
      <c r="K886" s="240"/>
      <c r="L886" s="240"/>
      <c r="M886" s="240"/>
      <c r="N886" s="240"/>
      <c r="O886" s="240"/>
      <c r="P886" s="240"/>
      <c r="Q886" s="240"/>
      <c r="R886" s="240"/>
      <c r="S886" s="240"/>
      <c r="T886" s="240"/>
      <c r="U886" s="240"/>
      <c r="V886" s="240"/>
      <c r="W886" s="240"/>
      <c r="X886" s="240"/>
      <c r="Y886" s="240"/>
      <c r="Z886" s="240"/>
    </row>
    <row r="887" spans="1:26" ht="15.75" customHeight="1" x14ac:dyDescent="0.55000000000000004">
      <c r="A887" s="240"/>
      <c r="B887" s="240"/>
      <c r="C887" s="240"/>
      <c r="D887" s="240"/>
      <c r="E887" s="240"/>
      <c r="F887" s="240"/>
      <c r="G887" s="240"/>
      <c r="H887" s="240"/>
      <c r="I887" s="240"/>
      <c r="J887" s="240"/>
      <c r="K887" s="240"/>
      <c r="L887" s="240"/>
      <c r="M887" s="240"/>
      <c r="N887" s="240"/>
      <c r="O887" s="240"/>
      <c r="P887" s="240"/>
      <c r="Q887" s="240"/>
      <c r="R887" s="240"/>
      <c r="S887" s="240"/>
      <c r="T887" s="240"/>
      <c r="U887" s="240"/>
      <c r="V887" s="240"/>
      <c r="W887" s="240"/>
      <c r="X887" s="240"/>
      <c r="Y887" s="240"/>
      <c r="Z887" s="240"/>
    </row>
    <row r="888" spans="1:26" ht="15.75" customHeight="1" x14ac:dyDescent="0.55000000000000004">
      <c r="A888" s="240"/>
      <c r="B888" s="240"/>
      <c r="C888" s="240"/>
      <c r="D888" s="240"/>
      <c r="E888" s="240"/>
      <c r="F888" s="240"/>
      <c r="G888" s="240"/>
      <c r="H888" s="240"/>
      <c r="I888" s="240"/>
      <c r="J888" s="240"/>
      <c r="K888" s="240"/>
      <c r="L888" s="240"/>
      <c r="M888" s="240"/>
      <c r="N888" s="240"/>
      <c r="O888" s="240"/>
      <c r="P888" s="240"/>
      <c r="Q888" s="240"/>
      <c r="R888" s="240"/>
      <c r="S888" s="240"/>
      <c r="T888" s="240"/>
      <c r="U888" s="240"/>
      <c r="V888" s="240"/>
      <c r="W888" s="240"/>
      <c r="X888" s="240"/>
      <c r="Y888" s="240"/>
      <c r="Z888" s="240"/>
    </row>
    <row r="889" spans="1:26" ht="15.75" customHeight="1" x14ac:dyDescent="0.55000000000000004">
      <c r="A889" s="240"/>
      <c r="B889" s="240"/>
      <c r="C889" s="240"/>
      <c r="D889" s="240"/>
      <c r="E889" s="240"/>
      <c r="F889" s="240"/>
      <c r="G889" s="240"/>
      <c r="H889" s="240"/>
      <c r="I889" s="240"/>
      <c r="J889" s="240"/>
      <c r="K889" s="240"/>
      <c r="L889" s="240"/>
      <c r="M889" s="240"/>
      <c r="N889" s="240"/>
      <c r="O889" s="240"/>
      <c r="P889" s="240"/>
      <c r="Q889" s="240"/>
      <c r="R889" s="240"/>
      <c r="S889" s="240"/>
      <c r="T889" s="240"/>
      <c r="U889" s="240"/>
      <c r="V889" s="240"/>
      <c r="W889" s="240"/>
      <c r="X889" s="240"/>
      <c r="Y889" s="240"/>
      <c r="Z889" s="240"/>
    </row>
    <row r="890" spans="1:26" ht="15.75" customHeight="1" x14ac:dyDescent="0.55000000000000004">
      <c r="A890" s="240"/>
      <c r="B890" s="240"/>
      <c r="C890" s="240"/>
      <c r="D890" s="240"/>
      <c r="E890" s="240"/>
      <c r="F890" s="240"/>
      <c r="G890" s="240"/>
      <c r="H890" s="240"/>
      <c r="I890" s="240"/>
      <c r="J890" s="240"/>
      <c r="K890" s="240"/>
      <c r="L890" s="240"/>
      <c r="M890" s="240"/>
      <c r="N890" s="240"/>
      <c r="O890" s="240"/>
      <c r="P890" s="240"/>
      <c r="Q890" s="240"/>
      <c r="R890" s="240"/>
      <c r="S890" s="240"/>
      <c r="T890" s="240"/>
      <c r="U890" s="240"/>
      <c r="V890" s="240"/>
      <c r="W890" s="240"/>
      <c r="X890" s="240"/>
      <c r="Y890" s="240"/>
      <c r="Z890" s="240"/>
    </row>
    <row r="891" spans="1:26" ht="15.75" customHeight="1" x14ac:dyDescent="0.55000000000000004">
      <c r="A891" s="240"/>
      <c r="B891" s="240"/>
      <c r="C891" s="240"/>
      <c r="D891" s="240"/>
      <c r="E891" s="240"/>
      <c r="F891" s="240"/>
      <c r="G891" s="240"/>
      <c r="H891" s="240"/>
      <c r="I891" s="240"/>
      <c r="J891" s="240"/>
      <c r="K891" s="240"/>
      <c r="L891" s="240"/>
      <c r="M891" s="240"/>
      <c r="N891" s="240"/>
      <c r="O891" s="240"/>
      <c r="P891" s="240"/>
      <c r="Q891" s="240"/>
      <c r="R891" s="240"/>
      <c r="S891" s="240"/>
      <c r="T891" s="240"/>
      <c r="U891" s="240"/>
      <c r="V891" s="240"/>
      <c r="W891" s="240"/>
      <c r="X891" s="240"/>
      <c r="Y891" s="240"/>
      <c r="Z891" s="240"/>
    </row>
    <row r="892" spans="1:26" ht="15.75" customHeight="1" x14ac:dyDescent="0.55000000000000004">
      <c r="A892" s="240"/>
      <c r="B892" s="240"/>
      <c r="C892" s="240"/>
      <c r="D892" s="240"/>
      <c r="E892" s="240"/>
      <c r="F892" s="240"/>
      <c r="G892" s="240"/>
      <c r="H892" s="240"/>
      <c r="I892" s="240"/>
      <c r="J892" s="240"/>
      <c r="K892" s="240"/>
      <c r="L892" s="240"/>
      <c r="M892" s="240"/>
      <c r="N892" s="240"/>
      <c r="O892" s="240"/>
      <c r="P892" s="240"/>
      <c r="Q892" s="240"/>
      <c r="R892" s="240"/>
      <c r="S892" s="240"/>
      <c r="T892" s="240"/>
      <c r="U892" s="240"/>
      <c r="V892" s="240"/>
      <c r="W892" s="240"/>
      <c r="X892" s="240"/>
      <c r="Y892" s="240"/>
      <c r="Z892" s="240"/>
    </row>
    <row r="893" spans="1:26" ht="15.75" customHeight="1" x14ac:dyDescent="0.55000000000000004">
      <c r="A893" s="240"/>
      <c r="B893" s="240"/>
      <c r="C893" s="240"/>
      <c r="D893" s="240"/>
      <c r="E893" s="240"/>
      <c r="F893" s="240"/>
      <c r="G893" s="240"/>
      <c r="H893" s="240"/>
      <c r="I893" s="240"/>
      <c r="J893" s="240"/>
      <c r="K893" s="240"/>
      <c r="L893" s="240"/>
      <c r="M893" s="240"/>
      <c r="N893" s="240"/>
      <c r="O893" s="240"/>
      <c r="P893" s="240"/>
      <c r="Q893" s="240"/>
      <c r="R893" s="240"/>
      <c r="S893" s="240"/>
      <c r="T893" s="240"/>
      <c r="U893" s="240"/>
      <c r="V893" s="240"/>
      <c r="W893" s="240"/>
      <c r="X893" s="240"/>
      <c r="Y893" s="240"/>
      <c r="Z893" s="240"/>
    </row>
    <row r="894" spans="1:26" ht="15.75" customHeight="1" x14ac:dyDescent="0.55000000000000004">
      <c r="A894" s="240"/>
      <c r="B894" s="240"/>
      <c r="C894" s="240"/>
      <c r="D894" s="240"/>
      <c r="E894" s="240"/>
      <c r="F894" s="240"/>
      <c r="G894" s="240"/>
      <c r="H894" s="240"/>
      <c r="I894" s="240"/>
      <c r="J894" s="240"/>
      <c r="K894" s="240"/>
      <c r="L894" s="240"/>
      <c r="M894" s="240"/>
      <c r="N894" s="240"/>
      <c r="O894" s="240"/>
      <c r="P894" s="240"/>
      <c r="Q894" s="240"/>
      <c r="R894" s="240"/>
      <c r="S894" s="240"/>
      <c r="T894" s="240"/>
      <c r="U894" s="240"/>
      <c r="V894" s="240"/>
      <c r="W894" s="240"/>
      <c r="X894" s="240"/>
      <c r="Y894" s="240"/>
      <c r="Z894" s="240"/>
    </row>
    <row r="895" spans="1:26" ht="15.75" customHeight="1" x14ac:dyDescent="0.55000000000000004">
      <c r="A895" s="240"/>
      <c r="B895" s="240"/>
      <c r="C895" s="240"/>
      <c r="D895" s="240"/>
      <c r="E895" s="240"/>
      <c r="F895" s="240"/>
      <c r="G895" s="240"/>
      <c r="H895" s="240"/>
      <c r="I895" s="240"/>
      <c r="J895" s="240"/>
      <c r="K895" s="240"/>
      <c r="L895" s="240"/>
      <c r="M895" s="240"/>
      <c r="N895" s="240"/>
      <c r="O895" s="240"/>
      <c r="P895" s="240"/>
      <c r="Q895" s="240"/>
      <c r="R895" s="240"/>
      <c r="S895" s="240"/>
      <c r="T895" s="240"/>
      <c r="U895" s="240"/>
      <c r="V895" s="240"/>
      <c r="W895" s="240"/>
      <c r="X895" s="240"/>
      <c r="Y895" s="240"/>
      <c r="Z895" s="240"/>
    </row>
    <row r="896" spans="1:26" ht="15.75" customHeight="1" x14ac:dyDescent="0.55000000000000004">
      <c r="A896" s="240"/>
      <c r="B896" s="240"/>
      <c r="C896" s="240"/>
      <c r="D896" s="240"/>
      <c r="E896" s="240"/>
      <c r="F896" s="240"/>
      <c r="G896" s="240"/>
      <c r="H896" s="240"/>
      <c r="I896" s="240"/>
      <c r="J896" s="240"/>
      <c r="K896" s="240"/>
      <c r="L896" s="240"/>
      <c r="M896" s="240"/>
      <c r="N896" s="240"/>
      <c r="O896" s="240"/>
      <c r="P896" s="240"/>
      <c r="Q896" s="240"/>
      <c r="R896" s="240"/>
      <c r="S896" s="240"/>
      <c r="T896" s="240"/>
      <c r="U896" s="240"/>
      <c r="V896" s="240"/>
      <c r="W896" s="240"/>
      <c r="X896" s="240"/>
      <c r="Y896" s="240"/>
      <c r="Z896" s="240"/>
    </row>
    <row r="897" spans="1:26" ht="15.75" customHeight="1" x14ac:dyDescent="0.55000000000000004">
      <c r="A897" s="240"/>
      <c r="B897" s="240"/>
      <c r="C897" s="240"/>
      <c r="D897" s="240"/>
      <c r="E897" s="240"/>
      <c r="F897" s="240"/>
      <c r="G897" s="240"/>
      <c r="H897" s="240"/>
      <c r="I897" s="240"/>
      <c r="J897" s="240"/>
      <c r="K897" s="240"/>
      <c r="L897" s="240"/>
      <c r="M897" s="240"/>
      <c r="N897" s="240"/>
      <c r="O897" s="240"/>
      <c r="P897" s="240"/>
      <c r="Q897" s="240"/>
      <c r="R897" s="240"/>
      <c r="S897" s="240"/>
      <c r="T897" s="240"/>
      <c r="U897" s="240"/>
      <c r="V897" s="240"/>
      <c r="W897" s="240"/>
      <c r="X897" s="240"/>
      <c r="Y897" s="240"/>
      <c r="Z897" s="240"/>
    </row>
    <row r="898" spans="1:26" ht="15.75" customHeight="1" x14ac:dyDescent="0.55000000000000004">
      <c r="A898" s="240"/>
      <c r="B898" s="240"/>
      <c r="C898" s="240"/>
      <c r="D898" s="240"/>
      <c r="E898" s="240"/>
      <c r="F898" s="240"/>
      <c r="G898" s="240"/>
      <c r="H898" s="240"/>
      <c r="I898" s="240"/>
      <c r="J898" s="240"/>
      <c r="K898" s="240"/>
      <c r="L898" s="240"/>
      <c r="M898" s="240"/>
      <c r="N898" s="240"/>
      <c r="O898" s="240"/>
      <c r="P898" s="240"/>
      <c r="Q898" s="240"/>
      <c r="R898" s="240"/>
      <c r="S898" s="240"/>
      <c r="T898" s="240"/>
      <c r="U898" s="240"/>
      <c r="V898" s="240"/>
      <c r="W898" s="240"/>
      <c r="X898" s="240"/>
      <c r="Y898" s="240"/>
      <c r="Z898" s="240"/>
    </row>
    <row r="899" spans="1:26" ht="15.75" customHeight="1" x14ac:dyDescent="0.55000000000000004">
      <c r="A899" s="240"/>
      <c r="B899" s="240"/>
      <c r="C899" s="240"/>
      <c r="D899" s="240"/>
      <c r="E899" s="240"/>
      <c r="F899" s="240"/>
      <c r="G899" s="240"/>
      <c r="H899" s="240"/>
      <c r="I899" s="240"/>
      <c r="J899" s="240"/>
      <c r="K899" s="240"/>
      <c r="L899" s="240"/>
      <c r="M899" s="240"/>
      <c r="N899" s="240"/>
      <c r="O899" s="240"/>
      <c r="P899" s="240"/>
      <c r="Q899" s="240"/>
      <c r="R899" s="240"/>
      <c r="S899" s="240"/>
      <c r="T899" s="240"/>
      <c r="U899" s="240"/>
      <c r="V899" s="240"/>
      <c r="W899" s="240"/>
      <c r="X899" s="240"/>
      <c r="Y899" s="240"/>
      <c r="Z899" s="240"/>
    </row>
    <row r="900" spans="1:26" ht="15.75" customHeight="1" x14ac:dyDescent="0.55000000000000004">
      <c r="A900" s="240"/>
      <c r="B900" s="240"/>
      <c r="C900" s="240"/>
      <c r="D900" s="240"/>
      <c r="E900" s="240"/>
      <c r="F900" s="240"/>
      <c r="G900" s="240"/>
      <c r="H900" s="240"/>
      <c r="I900" s="240"/>
      <c r="J900" s="240"/>
      <c r="K900" s="240"/>
      <c r="L900" s="240"/>
      <c r="M900" s="240"/>
      <c r="N900" s="240"/>
      <c r="O900" s="240"/>
      <c r="P900" s="240"/>
      <c r="Q900" s="240"/>
      <c r="R900" s="240"/>
      <c r="S900" s="240"/>
      <c r="T900" s="240"/>
      <c r="U900" s="240"/>
      <c r="V900" s="240"/>
      <c r="W900" s="240"/>
      <c r="X900" s="240"/>
      <c r="Y900" s="240"/>
      <c r="Z900" s="240"/>
    </row>
    <row r="901" spans="1:26" ht="15.75" customHeight="1" x14ac:dyDescent="0.55000000000000004">
      <c r="A901" s="240"/>
      <c r="B901" s="240"/>
      <c r="C901" s="240"/>
      <c r="D901" s="240"/>
      <c r="E901" s="240"/>
      <c r="F901" s="240"/>
      <c r="G901" s="240"/>
      <c r="H901" s="240"/>
      <c r="I901" s="240"/>
      <c r="J901" s="240"/>
      <c r="K901" s="240"/>
      <c r="L901" s="240"/>
      <c r="M901" s="240"/>
      <c r="N901" s="240"/>
      <c r="O901" s="240"/>
      <c r="P901" s="240"/>
      <c r="Q901" s="240"/>
      <c r="R901" s="240"/>
      <c r="S901" s="240"/>
      <c r="T901" s="240"/>
      <c r="U901" s="240"/>
      <c r="V901" s="240"/>
      <c r="W901" s="240"/>
      <c r="X901" s="240"/>
      <c r="Y901" s="240"/>
      <c r="Z901" s="240"/>
    </row>
    <row r="902" spans="1:26" ht="15.75" customHeight="1" x14ac:dyDescent="0.55000000000000004">
      <c r="A902" s="240"/>
      <c r="B902" s="240"/>
      <c r="C902" s="240"/>
      <c r="D902" s="240"/>
      <c r="E902" s="240"/>
      <c r="F902" s="240"/>
      <c r="G902" s="240"/>
      <c r="H902" s="240"/>
      <c r="I902" s="240"/>
      <c r="J902" s="240"/>
      <c r="K902" s="240"/>
      <c r="L902" s="240"/>
      <c r="M902" s="240"/>
      <c r="N902" s="240"/>
      <c r="O902" s="240"/>
      <c r="P902" s="240"/>
      <c r="Q902" s="240"/>
      <c r="R902" s="240"/>
      <c r="S902" s="240"/>
      <c r="T902" s="240"/>
      <c r="U902" s="240"/>
      <c r="V902" s="240"/>
      <c r="W902" s="240"/>
      <c r="X902" s="240"/>
      <c r="Y902" s="240"/>
      <c r="Z902" s="240"/>
    </row>
    <row r="903" spans="1:26" ht="15.75" customHeight="1" x14ac:dyDescent="0.55000000000000004">
      <c r="A903" s="240"/>
      <c r="B903" s="240"/>
      <c r="C903" s="240"/>
      <c r="D903" s="240"/>
      <c r="E903" s="240"/>
      <c r="F903" s="240"/>
      <c r="G903" s="240"/>
      <c r="H903" s="240"/>
      <c r="I903" s="240"/>
      <c r="J903" s="240"/>
      <c r="K903" s="240"/>
      <c r="L903" s="240"/>
      <c r="M903" s="240"/>
      <c r="N903" s="240"/>
      <c r="O903" s="240"/>
      <c r="P903" s="240"/>
      <c r="Q903" s="240"/>
      <c r="R903" s="240"/>
      <c r="S903" s="240"/>
      <c r="T903" s="240"/>
      <c r="U903" s="240"/>
      <c r="V903" s="240"/>
      <c r="W903" s="240"/>
      <c r="X903" s="240"/>
      <c r="Y903" s="240"/>
      <c r="Z903" s="240"/>
    </row>
    <row r="904" spans="1:26" ht="15.75" customHeight="1" x14ac:dyDescent="0.55000000000000004">
      <c r="A904" s="240"/>
      <c r="B904" s="240"/>
      <c r="C904" s="240"/>
      <c r="D904" s="240"/>
      <c r="E904" s="240"/>
      <c r="F904" s="240"/>
      <c r="G904" s="240"/>
      <c r="H904" s="240"/>
      <c r="I904" s="240"/>
      <c r="J904" s="240"/>
      <c r="K904" s="240"/>
      <c r="L904" s="240"/>
      <c r="M904" s="240"/>
      <c r="N904" s="240"/>
      <c r="O904" s="240"/>
      <c r="P904" s="240"/>
      <c r="Q904" s="240"/>
      <c r="R904" s="240"/>
      <c r="S904" s="240"/>
      <c r="T904" s="240"/>
      <c r="U904" s="240"/>
      <c r="V904" s="240"/>
      <c r="W904" s="240"/>
      <c r="X904" s="240"/>
      <c r="Y904" s="240"/>
      <c r="Z904" s="240"/>
    </row>
    <row r="905" spans="1:26" ht="15.75" customHeight="1" x14ac:dyDescent="0.55000000000000004">
      <c r="A905" s="240"/>
      <c r="B905" s="240"/>
      <c r="C905" s="240"/>
      <c r="D905" s="240"/>
      <c r="E905" s="240"/>
      <c r="F905" s="240"/>
      <c r="G905" s="240"/>
      <c r="H905" s="240"/>
      <c r="I905" s="240"/>
      <c r="J905" s="240"/>
      <c r="K905" s="240"/>
      <c r="L905" s="240"/>
      <c r="M905" s="240"/>
      <c r="N905" s="240"/>
      <c r="O905" s="240"/>
      <c r="P905" s="240"/>
      <c r="Q905" s="240"/>
      <c r="R905" s="240"/>
      <c r="S905" s="240"/>
      <c r="T905" s="240"/>
      <c r="U905" s="240"/>
      <c r="V905" s="240"/>
      <c r="W905" s="240"/>
      <c r="X905" s="240"/>
      <c r="Y905" s="240"/>
      <c r="Z905" s="240"/>
    </row>
    <row r="906" spans="1:26" ht="15.75" customHeight="1" x14ac:dyDescent="0.55000000000000004">
      <c r="A906" s="240"/>
      <c r="B906" s="240"/>
      <c r="C906" s="240"/>
      <c r="D906" s="240"/>
      <c r="E906" s="240"/>
      <c r="F906" s="240"/>
      <c r="G906" s="240"/>
      <c r="H906" s="240"/>
      <c r="I906" s="240"/>
      <c r="J906" s="240"/>
      <c r="K906" s="240"/>
      <c r="L906" s="240"/>
      <c r="M906" s="240"/>
      <c r="N906" s="240"/>
      <c r="O906" s="240"/>
      <c r="P906" s="240"/>
      <c r="Q906" s="240"/>
      <c r="R906" s="240"/>
      <c r="S906" s="240"/>
      <c r="T906" s="240"/>
      <c r="U906" s="240"/>
      <c r="V906" s="240"/>
      <c r="W906" s="240"/>
      <c r="X906" s="240"/>
      <c r="Y906" s="240"/>
      <c r="Z906" s="240"/>
    </row>
    <row r="907" spans="1:26" ht="15.75" customHeight="1" x14ac:dyDescent="0.55000000000000004">
      <c r="A907" s="240"/>
      <c r="B907" s="240"/>
      <c r="C907" s="240"/>
      <c r="D907" s="240"/>
      <c r="E907" s="240"/>
      <c r="F907" s="240"/>
      <c r="G907" s="240"/>
      <c r="H907" s="240"/>
      <c r="I907" s="240"/>
      <c r="J907" s="240"/>
      <c r="K907" s="240"/>
      <c r="L907" s="240"/>
      <c r="M907" s="240"/>
      <c r="N907" s="240"/>
      <c r="O907" s="240"/>
      <c r="P907" s="240"/>
      <c r="Q907" s="240"/>
      <c r="R907" s="240"/>
      <c r="S907" s="240"/>
      <c r="T907" s="240"/>
      <c r="U907" s="240"/>
      <c r="V907" s="240"/>
      <c r="W907" s="240"/>
      <c r="X907" s="240"/>
      <c r="Y907" s="240"/>
      <c r="Z907" s="240"/>
    </row>
    <row r="908" spans="1:26" ht="15.75" customHeight="1" x14ac:dyDescent="0.55000000000000004">
      <c r="A908" s="240"/>
      <c r="B908" s="240"/>
      <c r="C908" s="240"/>
      <c r="D908" s="240"/>
      <c r="E908" s="240"/>
      <c r="F908" s="240"/>
      <c r="G908" s="240"/>
      <c r="H908" s="240"/>
      <c r="I908" s="240"/>
      <c r="J908" s="240"/>
      <c r="K908" s="240"/>
      <c r="L908" s="240"/>
      <c r="M908" s="240"/>
      <c r="N908" s="240"/>
      <c r="O908" s="240"/>
      <c r="P908" s="240"/>
      <c r="Q908" s="240"/>
      <c r="R908" s="240"/>
      <c r="S908" s="240"/>
      <c r="T908" s="240"/>
      <c r="U908" s="240"/>
      <c r="V908" s="240"/>
      <c r="W908" s="240"/>
      <c r="X908" s="240"/>
      <c r="Y908" s="240"/>
      <c r="Z908" s="240"/>
    </row>
    <row r="909" spans="1:26" ht="15.75" customHeight="1" x14ac:dyDescent="0.55000000000000004">
      <c r="A909" s="240"/>
      <c r="B909" s="240"/>
      <c r="C909" s="240"/>
      <c r="D909" s="240"/>
      <c r="E909" s="240"/>
      <c r="F909" s="240"/>
      <c r="G909" s="240"/>
      <c r="H909" s="240"/>
      <c r="I909" s="240"/>
      <c r="J909" s="240"/>
      <c r="K909" s="240"/>
      <c r="L909" s="240"/>
      <c r="M909" s="240"/>
      <c r="N909" s="240"/>
      <c r="O909" s="240"/>
      <c r="P909" s="240"/>
      <c r="Q909" s="240"/>
      <c r="R909" s="240"/>
      <c r="S909" s="240"/>
      <c r="T909" s="240"/>
      <c r="U909" s="240"/>
      <c r="V909" s="240"/>
      <c r="W909" s="240"/>
      <c r="X909" s="240"/>
      <c r="Y909" s="240"/>
      <c r="Z909" s="240"/>
    </row>
    <row r="910" spans="1:26" ht="15.75" customHeight="1" x14ac:dyDescent="0.55000000000000004">
      <c r="A910" s="240"/>
      <c r="B910" s="240"/>
      <c r="C910" s="240"/>
      <c r="D910" s="240"/>
      <c r="E910" s="240"/>
      <c r="F910" s="240"/>
      <c r="G910" s="240"/>
      <c r="H910" s="240"/>
      <c r="I910" s="240"/>
      <c r="J910" s="240"/>
      <c r="K910" s="240"/>
      <c r="L910" s="240"/>
      <c r="M910" s="240"/>
      <c r="N910" s="240"/>
      <c r="O910" s="240"/>
      <c r="P910" s="240"/>
      <c r="Q910" s="240"/>
      <c r="R910" s="240"/>
      <c r="S910" s="240"/>
      <c r="T910" s="240"/>
      <c r="U910" s="240"/>
      <c r="V910" s="240"/>
      <c r="W910" s="240"/>
      <c r="X910" s="240"/>
      <c r="Y910" s="240"/>
      <c r="Z910" s="240"/>
    </row>
    <row r="911" spans="1:26" ht="15.75" customHeight="1" x14ac:dyDescent="0.55000000000000004">
      <c r="A911" s="240"/>
      <c r="B911" s="240"/>
      <c r="C911" s="240"/>
      <c r="D911" s="240"/>
      <c r="E911" s="240"/>
      <c r="F911" s="240"/>
      <c r="G911" s="240"/>
      <c r="H911" s="240"/>
      <c r="I911" s="240"/>
      <c r="J911" s="240"/>
      <c r="K911" s="240"/>
      <c r="L911" s="240"/>
      <c r="M911" s="240"/>
      <c r="N911" s="240"/>
      <c r="O911" s="240"/>
      <c r="P911" s="240"/>
      <c r="Q911" s="240"/>
      <c r="R911" s="240"/>
      <c r="S911" s="240"/>
      <c r="T911" s="240"/>
      <c r="U911" s="240"/>
      <c r="V911" s="240"/>
      <c r="W911" s="240"/>
      <c r="X911" s="240"/>
      <c r="Y911" s="240"/>
      <c r="Z911" s="240"/>
    </row>
    <row r="912" spans="1:26" ht="15.75" customHeight="1" x14ac:dyDescent="0.55000000000000004">
      <c r="A912" s="240"/>
      <c r="B912" s="240"/>
      <c r="C912" s="240"/>
      <c r="D912" s="240"/>
      <c r="E912" s="240"/>
      <c r="F912" s="240"/>
      <c r="G912" s="240"/>
      <c r="H912" s="240"/>
      <c r="I912" s="240"/>
      <c r="J912" s="240"/>
      <c r="K912" s="240"/>
      <c r="L912" s="240"/>
      <c r="M912" s="240"/>
      <c r="N912" s="240"/>
      <c r="O912" s="240"/>
      <c r="P912" s="240"/>
      <c r="Q912" s="240"/>
      <c r="R912" s="240"/>
      <c r="S912" s="240"/>
      <c r="T912" s="240"/>
      <c r="U912" s="240"/>
      <c r="V912" s="240"/>
      <c r="W912" s="240"/>
      <c r="X912" s="240"/>
      <c r="Y912" s="240"/>
      <c r="Z912" s="240"/>
    </row>
    <row r="913" spans="1:26" ht="15.75" customHeight="1" x14ac:dyDescent="0.55000000000000004">
      <c r="A913" s="240"/>
      <c r="B913" s="240"/>
      <c r="C913" s="240"/>
      <c r="D913" s="240"/>
      <c r="E913" s="240"/>
      <c r="F913" s="240"/>
      <c r="G913" s="240"/>
      <c r="H913" s="240"/>
      <c r="I913" s="240"/>
      <c r="J913" s="240"/>
      <c r="K913" s="240"/>
      <c r="L913" s="240"/>
      <c r="M913" s="240"/>
      <c r="N913" s="240"/>
      <c r="O913" s="240"/>
      <c r="P913" s="240"/>
      <c r="Q913" s="240"/>
      <c r="R913" s="240"/>
      <c r="S913" s="240"/>
      <c r="T913" s="240"/>
      <c r="U913" s="240"/>
      <c r="V913" s="240"/>
      <c r="W913" s="240"/>
      <c r="X913" s="240"/>
      <c r="Y913" s="240"/>
      <c r="Z913" s="240"/>
    </row>
    <row r="914" spans="1:26" ht="15.75" customHeight="1" x14ac:dyDescent="0.55000000000000004">
      <c r="A914" s="240"/>
      <c r="B914" s="240"/>
      <c r="C914" s="240"/>
      <c r="D914" s="240"/>
      <c r="E914" s="240"/>
      <c r="F914" s="240"/>
      <c r="G914" s="240"/>
      <c r="H914" s="240"/>
      <c r="I914" s="240"/>
      <c r="J914" s="240"/>
      <c r="K914" s="240"/>
      <c r="L914" s="240"/>
      <c r="M914" s="240"/>
      <c r="N914" s="240"/>
      <c r="O914" s="240"/>
      <c r="P914" s="240"/>
      <c r="Q914" s="240"/>
      <c r="R914" s="240"/>
      <c r="S914" s="240"/>
      <c r="T914" s="240"/>
      <c r="U914" s="240"/>
      <c r="V914" s="240"/>
      <c r="W914" s="240"/>
      <c r="X914" s="240"/>
      <c r="Y914" s="240"/>
      <c r="Z914" s="240"/>
    </row>
    <row r="915" spans="1:26" ht="15.75" customHeight="1" x14ac:dyDescent="0.55000000000000004">
      <c r="A915" s="240"/>
      <c r="B915" s="240"/>
      <c r="C915" s="240"/>
      <c r="D915" s="240"/>
      <c r="E915" s="240"/>
      <c r="F915" s="240"/>
      <c r="G915" s="240"/>
      <c r="H915" s="240"/>
      <c r="I915" s="240"/>
      <c r="J915" s="240"/>
      <c r="K915" s="240"/>
      <c r="L915" s="240"/>
      <c r="M915" s="240"/>
      <c r="N915" s="240"/>
      <c r="O915" s="240"/>
      <c r="P915" s="240"/>
      <c r="Q915" s="240"/>
      <c r="R915" s="240"/>
      <c r="S915" s="240"/>
      <c r="T915" s="240"/>
      <c r="U915" s="240"/>
      <c r="V915" s="240"/>
      <c r="W915" s="240"/>
      <c r="X915" s="240"/>
      <c r="Y915" s="240"/>
      <c r="Z915" s="240"/>
    </row>
    <row r="916" spans="1:26" ht="15.75" customHeight="1" x14ac:dyDescent="0.55000000000000004">
      <c r="A916" s="240"/>
      <c r="B916" s="240"/>
      <c r="C916" s="240"/>
      <c r="D916" s="240"/>
      <c r="E916" s="240"/>
      <c r="F916" s="240"/>
      <c r="G916" s="240"/>
      <c r="H916" s="240"/>
      <c r="I916" s="240"/>
      <c r="J916" s="240"/>
      <c r="K916" s="240"/>
      <c r="L916" s="240"/>
      <c r="M916" s="240"/>
      <c r="N916" s="240"/>
      <c r="O916" s="240"/>
      <c r="P916" s="240"/>
      <c r="Q916" s="240"/>
      <c r="R916" s="240"/>
      <c r="S916" s="240"/>
      <c r="T916" s="240"/>
      <c r="U916" s="240"/>
      <c r="V916" s="240"/>
      <c r="W916" s="240"/>
      <c r="X916" s="240"/>
      <c r="Y916" s="240"/>
      <c r="Z916" s="240"/>
    </row>
    <row r="917" spans="1:26" ht="15.75" customHeight="1" x14ac:dyDescent="0.55000000000000004">
      <c r="A917" s="240"/>
      <c r="B917" s="240"/>
      <c r="C917" s="240"/>
      <c r="D917" s="240"/>
      <c r="E917" s="240"/>
      <c r="F917" s="240"/>
      <c r="G917" s="240"/>
      <c r="H917" s="240"/>
      <c r="I917" s="240"/>
      <c r="J917" s="240"/>
      <c r="K917" s="240"/>
      <c r="L917" s="240"/>
      <c r="M917" s="240"/>
      <c r="N917" s="240"/>
      <c r="O917" s="240"/>
      <c r="P917" s="240"/>
      <c r="Q917" s="240"/>
      <c r="R917" s="240"/>
      <c r="S917" s="240"/>
      <c r="T917" s="240"/>
      <c r="U917" s="240"/>
      <c r="V917" s="240"/>
      <c r="W917" s="240"/>
      <c r="X917" s="240"/>
      <c r="Y917" s="240"/>
      <c r="Z917" s="240"/>
    </row>
    <row r="918" spans="1:26" ht="15.75" customHeight="1" x14ac:dyDescent="0.55000000000000004">
      <c r="A918" s="240"/>
      <c r="B918" s="240"/>
      <c r="C918" s="240"/>
      <c r="D918" s="240"/>
      <c r="E918" s="240"/>
      <c r="F918" s="240"/>
      <c r="G918" s="240"/>
      <c r="H918" s="240"/>
      <c r="I918" s="240"/>
      <c r="J918" s="240"/>
      <c r="K918" s="240"/>
      <c r="L918" s="240"/>
      <c r="M918" s="240"/>
      <c r="N918" s="240"/>
      <c r="O918" s="240"/>
      <c r="P918" s="240"/>
      <c r="Q918" s="240"/>
      <c r="R918" s="240"/>
      <c r="S918" s="240"/>
      <c r="T918" s="240"/>
      <c r="U918" s="240"/>
      <c r="V918" s="240"/>
      <c r="W918" s="240"/>
      <c r="X918" s="240"/>
      <c r="Y918" s="240"/>
      <c r="Z918" s="240"/>
    </row>
    <row r="919" spans="1:26" ht="15.75" customHeight="1" x14ac:dyDescent="0.55000000000000004">
      <c r="A919" s="240"/>
      <c r="B919" s="240"/>
      <c r="C919" s="240"/>
      <c r="D919" s="240"/>
      <c r="E919" s="240"/>
      <c r="F919" s="240"/>
      <c r="G919" s="240"/>
      <c r="H919" s="240"/>
      <c r="I919" s="240"/>
      <c r="J919" s="240"/>
      <c r="K919" s="240"/>
      <c r="L919" s="240"/>
      <c r="M919" s="240"/>
      <c r="N919" s="240"/>
      <c r="O919" s="240"/>
      <c r="P919" s="240"/>
      <c r="Q919" s="240"/>
      <c r="R919" s="240"/>
      <c r="S919" s="240"/>
      <c r="T919" s="240"/>
      <c r="U919" s="240"/>
      <c r="V919" s="240"/>
      <c r="W919" s="240"/>
      <c r="X919" s="240"/>
      <c r="Y919" s="240"/>
      <c r="Z919" s="240"/>
    </row>
    <row r="920" spans="1:26" ht="15.75" customHeight="1" x14ac:dyDescent="0.55000000000000004">
      <c r="A920" s="240"/>
      <c r="B920" s="240"/>
      <c r="C920" s="240"/>
      <c r="D920" s="240"/>
      <c r="E920" s="240"/>
      <c r="F920" s="240"/>
      <c r="G920" s="240"/>
      <c r="H920" s="240"/>
      <c r="I920" s="240"/>
      <c r="J920" s="240"/>
      <c r="K920" s="240"/>
      <c r="L920" s="240"/>
      <c r="M920" s="240"/>
      <c r="N920" s="240"/>
      <c r="O920" s="240"/>
      <c r="P920" s="240"/>
      <c r="Q920" s="240"/>
      <c r="R920" s="240"/>
      <c r="S920" s="240"/>
      <c r="T920" s="240"/>
      <c r="U920" s="240"/>
      <c r="V920" s="240"/>
      <c r="W920" s="240"/>
      <c r="X920" s="240"/>
      <c r="Y920" s="240"/>
      <c r="Z920" s="240"/>
    </row>
    <row r="921" spans="1:26" ht="15.75" customHeight="1" x14ac:dyDescent="0.55000000000000004">
      <c r="A921" s="240"/>
      <c r="B921" s="240"/>
      <c r="C921" s="240"/>
      <c r="D921" s="240"/>
      <c r="E921" s="240"/>
      <c r="F921" s="240"/>
      <c r="G921" s="240"/>
      <c r="H921" s="240"/>
      <c r="I921" s="240"/>
      <c r="J921" s="240"/>
      <c r="K921" s="240"/>
      <c r="L921" s="240"/>
      <c r="M921" s="240"/>
      <c r="N921" s="240"/>
      <c r="O921" s="240"/>
      <c r="P921" s="240"/>
      <c r="Q921" s="240"/>
      <c r="R921" s="240"/>
      <c r="S921" s="240"/>
      <c r="T921" s="240"/>
      <c r="U921" s="240"/>
      <c r="V921" s="240"/>
      <c r="W921" s="240"/>
      <c r="X921" s="240"/>
      <c r="Y921" s="240"/>
      <c r="Z921" s="240"/>
    </row>
    <row r="922" spans="1:26" ht="15.75" customHeight="1" x14ac:dyDescent="0.55000000000000004">
      <c r="A922" s="240"/>
      <c r="B922" s="240"/>
      <c r="C922" s="240"/>
      <c r="D922" s="240"/>
      <c r="E922" s="240"/>
      <c r="F922" s="240"/>
      <c r="G922" s="240"/>
      <c r="H922" s="240"/>
      <c r="I922" s="240"/>
      <c r="J922" s="240"/>
      <c r="K922" s="240"/>
      <c r="L922" s="240"/>
      <c r="M922" s="240"/>
      <c r="N922" s="240"/>
      <c r="O922" s="240"/>
      <c r="P922" s="240"/>
      <c r="Q922" s="240"/>
      <c r="R922" s="240"/>
      <c r="S922" s="240"/>
      <c r="T922" s="240"/>
      <c r="U922" s="240"/>
      <c r="V922" s="240"/>
      <c r="W922" s="240"/>
      <c r="X922" s="240"/>
      <c r="Y922" s="240"/>
      <c r="Z922" s="240"/>
    </row>
    <row r="923" spans="1:26" ht="15.75" customHeight="1" x14ac:dyDescent="0.55000000000000004">
      <c r="A923" s="240"/>
      <c r="B923" s="240"/>
      <c r="C923" s="240"/>
      <c r="D923" s="240"/>
      <c r="E923" s="240"/>
      <c r="F923" s="240"/>
      <c r="G923" s="240"/>
      <c r="H923" s="240"/>
      <c r="I923" s="240"/>
      <c r="J923" s="240"/>
      <c r="K923" s="240"/>
      <c r="L923" s="240"/>
      <c r="M923" s="240"/>
      <c r="N923" s="240"/>
      <c r="O923" s="240"/>
      <c r="P923" s="240"/>
      <c r="Q923" s="240"/>
      <c r="R923" s="240"/>
      <c r="S923" s="240"/>
      <c r="T923" s="240"/>
      <c r="U923" s="240"/>
      <c r="V923" s="240"/>
      <c r="W923" s="240"/>
      <c r="X923" s="240"/>
      <c r="Y923" s="240"/>
      <c r="Z923" s="240"/>
    </row>
    <row r="924" spans="1:26" ht="15.75" customHeight="1" x14ac:dyDescent="0.55000000000000004">
      <c r="A924" s="240"/>
      <c r="B924" s="240"/>
      <c r="C924" s="240"/>
      <c r="D924" s="240"/>
      <c r="E924" s="240"/>
      <c r="F924" s="240"/>
      <c r="G924" s="240"/>
      <c r="H924" s="240"/>
      <c r="I924" s="240"/>
      <c r="J924" s="240"/>
      <c r="K924" s="240"/>
      <c r="L924" s="240"/>
      <c r="M924" s="240"/>
      <c r="N924" s="240"/>
      <c r="O924" s="240"/>
      <c r="P924" s="240"/>
      <c r="Q924" s="240"/>
      <c r="R924" s="240"/>
      <c r="S924" s="240"/>
      <c r="T924" s="240"/>
      <c r="U924" s="240"/>
      <c r="V924" s="240"/>
      <c r="W924" s="240"/>
      <c r="X924" s="240"/>
      <c r="Y924" s="240"/>
      <c r="Z924" s="240"/>
    </row>
    <row r="925" spans="1:26" ht="15.75" customHeight="1" x14ac:dyDescent="0.55000000000000004">
      <c r="A925" s="240"/>
      <c r="B925" s="240"/>
      <c r="C925" s="240"/>
      <c r="D925" s="240"/>
      <c r="E925" s="240"/>
      <c r="F925" s="240"/>
      <c r="G925" s="240"/>
      <c r="H925" s="240"/>
      <c r="I925" s="240"/>
      <c r="J925" s="240"/>
      <c r="K925" s="240"/>
      <c r="L925" s="240"/>
      <c r="M925" s="240"/>
      <c r="N925" s="240"/>
      <c r="O925" s="240"/>
      <c r="P925" s="240"/>
      <c r="Q925" s="240"/>
      <c r="R925" s="240"/>
      <c r="S925" s="240"/>
      <c r="T925" s="240"/>
      <c r="U925" s="240"/>
      <c r="V925" s="240"/>
      <c r="W925" s="240"/>
      <c r="X925" s="240"/>
      <c r="Y925" s="240"/>
      <c r="Z925" s="240"/>
    </row>
    <row r="926" spans="1:26" ht="15.75" customHeight="1" x14ac:dyDescent="0.55000000000000004">
      <c r="A926" s="240"/>
      <c r="B926" s="240"/>
      <c r="C926" s="240"/>
      <c r="D926" s="240"/>
      <c r="E926" s="240"/>
      <c r="F926" s="240"/>
      <c r="G926" s="240"/>
      <c r="H926" s="240"/>
      <c r="I926" s="240"/>
      <c r="J926" s="240"/>
      <c r="K926" s="240"/>
      <c r="L926" s="240"/>
      <c r="M926" s="240"/>
      <c r="N926" s="240"/>
      <c r="O926" s="240"/>
      <c r="P926" s="240"/>
      <c r="Q926" s="240"/>
      <c r="R926" s="240"/>
      <c r="S926" s="240"/>
      <c r="T926" s="240"/>
      <c r="U926" s="240"/>
      <c r="V926" s="240"/>
      <c r="W926" s="240"/>
      <c r="X926" s="240"/>
      <c r="Y926" s="240"/>
      <c r="Z926" s="240"/>
    </row>
    <row r="927" spans="1:26" ht="15.75" customHeight="1" x14ac:dyDescent="0.55000000000000004">
      <c r="A927" s="240"/>
      <c r="B927" s="240"/>
      <c r="C927" s="240"/>
      <c r="D927" s="240"/>
      <c r="E927" s="240"/>
      <c r="F927" s="240"/>
      <c r="G927" s="240"/>
      <c r="H927" s="240"/>
      <c r="I927" s="240"/>
      <c r="J927" s="240"/>
      <c r="K927" s="240"/>
      <c r="L927" s="240"/>
      <c r="M927" s="240"/>
      <c r="N927" s="240"/>
      <c r="O927" s="240"/>
      <c r="P927" s="240"/>
      <c r="Q927" s="240"/>
      <c r="R927" s="240"/>
      <c r="S927" s="240"/>
      <c r="T927" s="240"/>
      <c r="U927" s="240"/>
      <c r="V927" s="240"/>
      <c r="W927" s="240"/>
      <c r="X927" s="240"/>
      <c r="Y927" s="240"/>
      <c r="Z927" s="240"/>
    </row>
    <row r="928" spans="1:26" ht="15.75" customHeight="1" x14ac:dyDescent="0.55000000000000004">
      <c r="A928" s="240"/>
      <c r="B928" s="240"/>
      <c r="C928" s="240"/>
      <c r="D928" s="240"/>
      <c r="E928" s="240"/>
      <c r="F928" s="240"/>
      <c r="G928" s="240"/>
      <c r="H928" s="240"/>
      <c r="I928" s="240"/>
      <c r="J928" s="240"/>
      <c r="K928" s="240"/>
      <c r="L928" s="240"/>
      <c r="M928" s="240"/>
      <c r="N928" s="240"/>
      <c r="O928" s="240"/>
      <c r="P928" s="240"/>
      <c r="Q928" s="240"/>
      <c r="R928" s="240"/>
      <c r="S928" s="240"/>
      <c r="T928" s="240"/>
      <c r="U928" s="240"/>
      <c r="V928" s="240"/>
      <c r="W928" s="240"/>
      <c r="X928" s="240"/>
      <c r="Y928" s="240"/>
      <c r="Z928" s="240"/>
    </row>
    <row r="929" spans="1:26" ht="15.75" customHeight="1" x14ac:dyDescent="0.55000000000000004">
      <c r="A929" s="240"/>
      <c r="B929" s="240"/>
      <c r="C929" s="240"/>
      <c r="D929" s="240"/>
      <c r="E929" s="240"/>
      <c r="F929" s="240"/>
      <c r="G929" s="240"/>
      <c r="H929" s="240"/>
      <c r="I929" s="240"/>
      <c r="J929" s="240"/>
      <c r="K929" s="240"/>
      <c r="L929" s="240"/>
      <c r="M929" s="240"/>
      <c r="N929" s="240"/>
      <c r="O929" s="240"/>
      <c r="P929" s="240"/>
      <c r="Q929" s="240"/>
      <c r="R929" s="240"/>
      <c r="S929" s="240"/>
      <c r="T929" s="240"/>
      <c r="U929" s="240"/>
      <c r="V929" s="240"/>
      <c r="W929" s="240"/>
      <c r="X929" s="240"/>
      <c r="Y929" s="240"/>
      <c r="Z929" s="240"/>
    </row>
    <row r="930" spans="1:26" ht="15.75" customHeight="1" x14ac:dyDescent="0.55000000000000004">
      <c r="A930" s="240"/>
      <c r="B930" s="240"/>
      <c r="C930" s="240"/>
      <c r="D930" s="240"/>
      <c r="E930" s="240"/>
      <c r="F930" s="240"/>
      <c r="G930" s="240"/>
      <c r="H930" s="240"/>
      <c r="I930" s="240"/>
      <c r="J930" s="240"/>
      <c r="K930" s="240"/>
      <c r="L930" s="240"/>
      <c r="M930" s="240"/>
      <c r="N930" s="240"/>
      <c r="O930" s="240"/>
      <c r="P930" s="240"/>
      <c r="Q930" s="240"/>
      <c r="R930" s="240"/>
      <c r="S930" s="240"/>
      <c r="T930" s="240"/>
      <c r="U930" s="240"/>
      <c r="V930" s="240"/>
      <c r="W930" s="240"/>
      <c r="X930" s="240"/>
      <c r="Y930" s="240"/>
      <c r="Z930" s="240"/>
    </row>
    <row r="931" spans="1:26" ht="15.75" customHeight="1" x14ac:dyDescent="0.55000000000000004">
      <c r="A931" s="240"/>
      <c r="B931" s="240"/>
      <c r="C931" s="240"/>
      <c r="D931" s="240"/>
      <c r="E931" s="240"/>
      <c r="F931" s="240"/>
      <c r="G931" s="240"/>
      <c r="H931" s="240"/>
      <c r="I931" s="240"/>
      <c r="J931" s="240"/>
      <c r="K931" s="240"/>
      <c r="L931" s="240"/>
      <c r="M931" s="240"/>
      <c r="N931" s="240"/>
      <c r="O931" s="240"/>
      <c r="P931" s="240"/>
      <c r="Q931" s="240"/>
      <c r="R931" s="240"/>
      <c r="S931" s="240"/>
      <c r="T931" s="240"/>
      <c r="U931" s="240"/>
      <c r="V931" s="240"/>
      <c r="W931" s="240"/>
      <c r="X931" s="240"/>
      <c r="Y931" s="240"/>
      <c r="Z931" s="240"/>
    </row>
    <row r="932" spans="1:26" ht="15.75" customHeight="1" x14ac:dyDescent="0.55000000000000004">
      <c r="A932" s="240"/>
      <c r="B932" s="240"/>
      <c r="C932" s="240"/>
      <c r="D932" s="240"/>
      <c r="E932" s="240"/>
      <c r="F932" s="240"/>
      <c r="G932" s="240"/>
      <c r="H932" s="240"/>
      <c r="I932" s="240"/>
      <c r="J932" s="240"/>
      <c r="K932" s="240"/>
      <c r="L932" s="240"/>
      <c r="M932" s="240"/>
      <c r="N932" s="240"/>
      <c r="O932" s="240"/>
      <c r="P932" s="240"/>
      <c r="Q932" s="240"/>
      <c r="R932" s="240"/>
      <c r="S932" s="240"/>
      <c r="T932" s="240"/>
      <c r="U932" s="240"/>
      <c r="V932" s="240"/>
      <c r="W932" s="240"/>
      <c r="X932" s="240"/>
      <c r="Y932" s="240"/>
      <c r="Z932" s="240"/>
    </row>
    <row r="933" spans="1:26" ht="15.75" customHeight="1" x14ac:dyDescent="0.55000000000000004">
      <c r="A933" s="240"/>
      <c r="B933" s="240"/>
      <c r="C933" s="240"/>
      <c r="D933" s="240"/>
      <c r="E933" s="240"/>
      <c r="F933" s="240"/>
      <c r="G933" s="240"/>
      <c r="H933" s="240"/>
      <c r="I933" s="240"/>
      <c r="J933" s="240"/>
      <c r="K933" s="240"/>
      <c r="L933" s="240"/>
      <c r="M933" s="240"/>
      <c r="N933" s="240"/>
      <c r="O933" s="240"/>
      <c r="P933" s="240"/>
      <c r="Q933" s="240"/>
      <c r="R933" s="240"/>
      <c r="S933" s="240"/>
      <c r="T933" s="240"/>
      <c r="U933" s="240"/>
      <c r="V933" s="240"/>
      <c r="W933" s="240"/>
      <c r="X933" s="240"/>
      <c r="Y933" s="240"/>
      <c r="Z933" s="240"/>
    </row>
    <row r="934" spans="1:26" ht="15.75" customHeight="1" x14ac:dyDescent="0.55000000000000004">
      <c r="A934" s="240"/>
      <c r="B934" s="240"/>
      <c r="C934" s="240"/>
      <c r="D934" s="240"/>
      <c r="E934" s="240"/>
      <c r="F934" s="240"/>
      <c r="G934" s="240"/>
      <c r="H934" s="240"/>
      <c r="I934" s="240"/>
      <c r="J934" s="240"/>
      <c r="K934" s="240"/>
      <c r="L934" s="240"/>
      <c r="M934" s="240"/>
      <c r="N934" s="240"/>
      <c r="O934" s="240"/>
      <c r="P934" s="240"/>
      <c r="Q934" s="240"/>
      <c r="R934" s="240"/>
      <c r="S934" s="240"/>
      <c r="T934" s="240"/>
      <c r="U934" s="240"/>
      <c r="V934" s="240"/>
      <c r="W934" s="240"/>
      <c r="X934" s="240"/>
      <c r="Y934" s="240"/>
      <c r="Z934" s="240"/>
    </row>
    <row r="935" spans="1:26" ht="15.75" customHeight="1" x14ac:dyDescent="0.55000000000000004">
      <c r="A935" s="240"/>
      <c r="B935" s="240"/>
      <c r="C935" s="240"/>
      <c r="D935" s="240"/>
      <c r="E935" s="240"/>
      <c r="F935" s="240"/>
      <c r="G935" s="240"/>
      <c r="H935" s="240"/>
      <c r="I935" s="240"/>
      <c r="J935" s="240"/>
      <c r="K935" s="240"/>
      <c r="L935" s="240"/>
      <c r="M935" s="240"/>
      <c r="N935" s="240"/>
      <c r="O935" s="240"/>
      <c r="P935" s="240"/>
      <c r="Q935" s="240"/>
      <c r="R935" s="240"/>
      <c r="S935" s="240"/>
      <c r="T935" s="240"/>
      <c r="U935" s="240"/>
      <c r="V935" s="240"/>
      <c r="W935" s="240"/>
      <c r="X935" s="240"/>
      <c r="Y935" s="240"/>
      <c r="Z935" s="240"/>
    </row>
    <row r="936" spans="1:26" ht="15.75" customHeight="1" x14ac:dyDescent="0.55000000000000004">
      <c r="A936" s="240"/>
      <c r="B936" s="240"/>
      <c r="C936" s="240"/>
      <c r="D936" s="240"/>
      <c r="E936" s="240"/>
      <c r="F936" s="240"/>
      <c r="G936" s="240"/>
      <c r="H936" s="240"/>
      <c r="I936" s="240"/>
      <c r="J936" s="240"/>
      <c r="K936" s="240"/>
      <c r="L936" s="240"/>
      <c r="M936" s="240"/>
      <c r="N936" s="240"/>
      <c r="O936" s="240"/>
      <c r="P936" s="240"/>
      <c r="Q936" s="240"/>
      <c r="R936" s="240"/>
      <c r="S936" s="240"/>
      <c r="T936" s="240"/>
      <c r="U936" s="240"/>
      <c r="V936" s="240"/>
      <c r="W936" s="240"/>
      <c r="X936" s="240"/>
      <c r="Y936" s="240"/>
      <c r="Z936" s="240"/>
    </row>
    <row r="937" spans="1:26" ht="15.75" customHeight="1" x14ac:dyDescent="0.55000000000000004">
      <c r="A937" s="240"/>
      <c r="B937" s="240"/>
      <c r="C937" s="240"/>
      <c r="D937" s="240"/>
      <c r="E937" s="240"/>
      <c r="F937" s="240"/>
      <c r="G937" s="240"/>
      <c r="H937" s="240"/>
      <c r="I937" s="240"/>
      <c r="J937" s="240"/>
      <c r="K937" s="240"/>
      <c r="L937" s="240"/>
      <c r="M937" s="240"/>
      <c r="N937" s="240"/>
      <c r="O937" s="240"/>
      <c r="P937" s="240"/>
      <c r="Q937" s="240"/>
      <c r="R937" s="240"/>
      <c r="S937" s="240"/>
      <c r="T937" s="240"/>
      <c r="U937" s="240"/>
      <c r="V937" s="240"/>
      <c r="W937" s="240"/>
      <c r="X937" s="240"/>
      <c r="Y937" s="240"/>
      <c r="Z937" s="240"/>
    </row>
    <row r="938" spans="1:26" ht="15.75" customHeight="1" x14ac:dyDescent="0.55000000000000004">
      <c r="A938" s="240"/>
      <c r="B938" s="240"/>
      <c r="C938" s="240"/>
      <c r="D938" s="240"/>
      <c r="E938" s="240"/>
      <c r="F938" s="240"/>
      <c r="G938" s="240"/>
      <c r="H938" s="240"/>
      <c r="I938" s="240"/>
      <c r="J938" s="240"/>
      <c r="K938" s="240"/>
      <c r="L938" s="240"/>
      <c r="M938" s="240"/>
      <c r="N938" s="240"/>
      <c r="O938" s="240"/>
      <c r="P938" s="240"/>
      <c r="Q938" s="240"/>
      <c r="R938" s="240"/>
      <c r="S938" s="240"/>
      <c r="T938" s="240"/>
      <c r="U938" s="240"/>
      <c r="V938" s="240"/>
      <c r="W938" s="240"/>
      <c r="X938" s="240"/>
      <c r="Y938" s="240"/>
      <c r="Z938" s="240"/>
    </row>
    <row r="939" spans="1:26" ht="15.75" customHeight="1" x14ac:dyDescent="0.55000000000000004">
      <c r="A939" s="240"/>
      <c r="B939" s="240"/>
      <c r="C939" s="240"/>
      <c r="D939" s="240"/>
      <c r="E939" s="240"/>
      <c r="F939" s="240"/>
      <c r="G939" s="240"/>
      <c r="H939" s="240"/>
      <c r="I939" s="240"/>
      <c r="J939" s="240"/>
      <c r="K939" s="240"/>
      <c r="L939" s="240"/>
      <c r="M939" s="240"/>
      <c r="N939" s="240"/>
      <c r="O939" s="240"/>
      <c r="P939" s="240"/>
      <c r="Q939" s="240"/>
      <c r="R939" s="240"/>
      <c r="S939" s="240"/>
      <c r="T939" s="240"/>
      <c r="U939" s="240"/>
      <c r="V939" s="240"/>
      <c r="W939" s="240"/>
      <c r="X939" s="240"/>
      <c r="Y939" s="240"/>
      <c r="Z939" s="240"/>
    </row>
    <row r="940" spans="1:26" ht="15.75" customHeight="1" x14ac:dyDescent="0.55000000000000004">
      <c r="A940" s="240"/>
      <c r="B940" s="240"/>
      <c r="C940" s="240"/>
      <c r="D940" s="240"/>
      <c r="E940" s="240"/>
      <c r="F940" s="240"/>
      <c r="G940" s="240"/>
      <c r="H940" s="240"/>
      <c r="I940" s="240"/>
      <c r="J940" s="240"/>
      <c r="K940" s="240"/>
      <c r="L940" s="240"/>
      <c r="M940" s="240"/>
      <c r="N940" s="240"/>
      <c r="O940" s="240"/>
      <c r="P940" s="240"/>
      <c r="Q940" s="240"/>
      <c r="R940" s="240"/>
      <c r="S940" s="240"/>
      <c r="T940" s="240"/>
      <c r="U940" s="240"/>
      <c r="V940" s="240"/>
      <c r="W940" s="240"/>
      <c r="X940" s="240"/>
      <c r="Y940" s="240"/>
      <c r="Z940" s="240"/>
    </row>
    <row r="941" spans="1:26" ht="15.75" customHeight="1" x14ac:dyDescent="0.55000000000000004">
      <c r="A941" s="240"/>
      <c r="B941" s="240"/>
      <c r="C941" s="240"/>
      <c r="D941" s="240"/>
      <c r="E941" s="240"/>
      <c r="F941" s="240"/>
      <c r="G941" s="240"/>
      <c r="H941" s="240"/>
      <c r="I941" s="240"/>
      <c r="J941" s="240"/>
      <c r="K941" s="240"/>
      <c r="L941" s="240"/>
      <c r="M941" s="240"/>
      <c r="N941" s="240"/>
      <c r="O941" s="240"/>
      <c r="P941" s="240"/>
      <c r="Q941" s="240"/>
      <c r="R941" s="240"/>
      <c r="S941" s="240"/>
      <c r="T941" s="240"/>
      <c r="U941" s="240"/>
      <c r="V941" s="240"/>
      <c r="W941" s="240"/>
      <c r="X941" s="240"/>
      <c r="Y941" s="240"/>
      <c r="Z941" s="240"/>
    </row>
    <row r="942" spans="1:26" ht="15.75" customHeight="1" x14ac:dyDescent="0.55000000000000004">
      <c r="A942" s="240"/>
      <c r="B942" s="240"/>
      <c r="C942" s="240"/>
      <c r="D942" s="240"/>
      <c r="E942" s="240"/>
      <c r="F942" s="240"/>
      <c r="G942" s="240"/>
      <c r="H942" s="240"/>
      <c r="I942" s="240"/>
      <c r="J942" s="240"/>
      <c r="K942" s="240"/>
      <c r="L942" s="240"/>
      <c r="M942" s="240"/>
      <c r="N942" s="240"/>
      <c r="O942" s="240"/>
      <c r="P942" s="240"/>
      <c r="Q942" s="240"/>
      <c r="R942" s="240"/>
      <c r="S942" s="240"/>
      <c r="T942" s="240"/>
      <c r="U942" s="240"/>
      <c r="V942" s="240"/>
      <c r="W942" s="240"/>
      <c r="X942" s="240"/>
      <c r="Y942" s="240"/>
      <c r="Z942" s="240"/>
    </row>
    <row r="943" spans="1:26" ht="15.75" customHeight="1" x14ac:dyDescent="0.55000000000000004">
      <c r="A943" s="240"/>
      <c r="B943" s="240"/>
      <c r="C943" s="240"/>
      <c r="D943" s="240"/>
      <c r="E943" s="240"/>
      <c r="F943" s="240"/>
      <c r="G943" s="240"/>
      <c r="H943" s="240"/>
      <c r="I943" s="240"/>
      <c r="J943" s="240"/>
      <c r="K943" s="240"/>
      <c r="L943" s="240"/>
      <c r="M943" s="240"/>
      <c r="N943" s="240"/>
      <c r="O943" s="240"/>
      <c r="P943" s="240"/>
      <c r="Q943" s="240"/>
      <c r="R943" s="240"/>
      <c r="S943" s="240"/>
      <c r="T943" s="240"/>
      <c r="U943" s="240"/>
      <c r="V943" s="240"/>
      <c r="W943" s="240"/>
      <c r="X943" s="240"/>
      <c r="Y943" s="240"/>
      <c r="Z943" s="240"/>
    </row>
    <row r="944" spans="1:26" ht="15.75" customHeight="1" x14ac:dyDescent="0.55000000000000004">
      <c r="A944" s="240"/>
      <c r="B944" s="240"/>
      <c r="C944" s="240"/>
      <c r="D944" s="240"/>
      <c r="E944" s="240"/>
      <c r="F944" s="240"/>
      <c r="G944" s="240"/>
      <c r="H944" s="240"/>
      <c r="I944" s="240"/>
      <c r="J944" s="240"/>
      <c r="K944" s="240"/>
      <c r="L944" s="240"/>
      <c r="M944" s="240"/>
      <c r="N944" s="240"/>
      <c r="O944" s="240"/>
      <c r="P944" s="240"/>
      <c r="Q944" s="240"/>
      <c r="R944" s="240"/>
      <c r="S944" s="240"/>
      <c r="T944" s="240"/>
      <c r="U944" s="240"/>
      <c r="V944" s="240"/>
      <c r="W944" s="240"/>
      <c r="X944" s="240"/>
      <c r="Y944" s="240"/>
      <c r="Z944" s="240"/>
    </row>
    <row r="945" spans="1:26" ht="15.75" customHeight="1" x14ac:dyDescent="0.55000000000000004">
      <c r="A945" s="240"/>
      <c r="B945" s="240"/>
      <c r="C945" s="240"/>
      <c r="D945" s="240"/>
      <c r="E945" s="240"/>
      <c r="F945" s="240"/>
      <c r="G945" s="240"/>
      <c r="H945" s="240"/>
      <c r="I945" s="240"/>
      <c r="J945" s="240"/>
      <c r="K945" s="240"/>
      <c r="L945" s="240"/>
      <c r="M945" s="240"/>
      <c r="N945" s="240"/>
      <c r="O945" s="240"/>
      <c r="P945" s="240"/>
      <c r="Q945" s="240"/>
      <c r="R945" s="240"/>
      <c r="S945" s="240"/>
      <c r="T945" s="240"/>
      <c r="U945" s="240"/>
      <c r="V945" s="240"/>
      <c r="W945" s="240"/>
      <c r="X945" s="240"/>
      <c r="Y945" s="240"/>
      <c r="Z945" s="240"/>
    </row>
    <row r="946" spans="1:26" ht="15.75" customHeight="1" x14ac:dyDescent="0.55000000000000004">
      <c r="A946" s="240"/>
      <c r="B946" s="240"/>
      <c r="C946" s="240"/>
      <c r="D946" s="240"/>
      <c r="E946" s="240"/>
      <c r="F946" s="240"/>
      <c r="G946" s="240"/>
      <c r="H946" s="240"/>
      <c r="I946" s="240"/>
      <c r="J946" s="240"/>
      <c r="K946" s="240"/>
      <c r="L946" s="240"/>
      <c r="M946" s="240"/>
      <c r="N946" s="240"/>
      <c r="O946" s="240"/>
      <c r="P946" s="240"/>
      <c r="Q946" s="240"/>
      <c r="R946" s="240"/>
      <c r="S946" s="240"/>
      <c r="T946" s="240"/>
      <c r="U946" s="240"/>
      <c r="V946" s="240"/>
      <c r="W946" s="240"/>
      <c r="X946" s="240"/>
      <c r="Y946" s="240"/>
      <c r="Z946" s="240"/>
    </row>
    <row r="947" spans="1:26" ht="15.75" customHeight="1" x14ac:dyDescent="0.55000000000000004">
      <c r="A947" s="240"/>
      <c r="B947" s="240"/>
      <c r="C947" s="240"/>
      <c r="D947" s="240"/>
      <c r="E947" s="240"/>
      <c r="F947" s="240"/>
      <c r="G947" s="240"/>
      <c r="H947" s="240"/>
      <c r="I947" s="240"/>
      <c r="J947" s="240"/>
      <c r="K947" s="240"/>
      <c r="L947" s="240"/>
      <c r="M947" s="240"/>
      <c r="N947" s="240"/>
      <c r="O947" s="240"/>
      <c r="P947" s="240"/>
      <c r="Q947" s="240"/>
      <c r="R947" s="240"/>
      <c r="S947" s="240"/>
      <c r="T947" s="240"/>
      <c r="U947" s="240"/>
      <c r="V947" s="240"/>
      <c r="W947" s="240"/>
      <c r="X947" s="240"/>
      <c r="Y947" s="240"/>
      <c r="Z947" s="240"/>
    </row>
    <row r="948" spans="1:26" ht="15.75" customHeight="1" x14ac:dyDescent="0.55000000000000004">
      <c r="A948" s="240"/>
      <c r="B948" s="240"/>
      <c r="C948" s="240"/>
      <c r="D948" s="240"/>
      <c r="E948" s="240"/>
      <c r="F948" s="240"/>
      <c r="G948" s="240"/>
      <c r="H948" s="240"/>
      <c r="I948" s="240"/>
      <c r="J948" s="240"/>
      <c r="K948" s="240"/>
      <c r="L948" s="240"/>
      <c r="M948" s="240"/>
      <c r="N948" s="240"/>
      <c r="O948" s="240"/>
      <c r="P948" s="240"/>
      <c r="Q948" s="240"/>
      <c r="R948" s="240"/>
      <c r="S948" s="240"/>
      <c r="T948" s="240"/>
      <c r="U948" s="240"/>
      <c r="V948" s="240"/>
      <c r="W948" s="240"/>
      <c r="X948" s="240"/>
      <c r="Y948" s="240"/>
      <c r="Z948" s="240"/>
    </row>
    <row r="949" spans="1:26" ht="15.75" customHeight="1" x14ac:dyDescent="0.55000000000000004">
      <c r="A949" s="240"/>
      <c r="B949" s="240"/>
      <c r="C949" s="240"/>
      <c r="D949" s="240"/>
      <c r="E949" s="240"/>
      <c r="F949" s="240"/>
      <c r="G949" s="240"/>
      <c r="H949" s="240"/>
      <c r="I949" s="240"/>
      <c r="J949" s="240"/>
      <c r="K949" s="240"/>
      <c r="L949" s="240"/>
      <c r="M949" s="240"/>
      <c r="N949" s="240"/>
      <c r="O949" s="240"/>
      <c r="P949" s="240"/>
      <c r="Q949" s="240"/>
      <c r="R949" s="240"/>
      <c r="S949" s="240"/>
      <c r="T949" s="240"/>
      <c r="U949" s="240"/>
      <c r="V949" s="240"/>
      <c r="W949" s="240"/>
      <c r="X949" s="240"/>
      <c r="Y949" s="240"/>
      <c r="Z949" s="240"/>
    </row>
    <row r="950" spans="1:26" ht="15.75" customHeight="1" x14ac:dyDescent="0.55000000000000004">
      <c r="A950" s="240"/>
      <c r="B950" s="240"/>
      <c r="C950" s="240"/>
      <c r="D950" s="240"/>
      <c r="E950" s="240"/>
      <c r="F950" s="240"/>
      <c r="G950" s="240"/>
      <c r="H950" s="240"/>
      <c r="I950" s="240"/>
      <c r="J950" s="240"/>
      <c r="K950" s="240"/>
      <c r="L950" s="240"/>
      <c r="M950" s="240"/>
      <c r="N950" s="240"/>
      <c r="O950" s="240"/>
      <c r="P950" s="240"/>
      <c r="Q950" s="240"/>
      <c r="R950" s="240"/>
      <c r="S950" s="240"/>
      <c r="T950" s="240"/>
      <c r="U950" s="240"/>
      <c r="V950" s="240"/>
      <c r="W950" s="240"/>
      <c r="X950" s="240"/>
      <c r="Y950" s="240"/>
      <c r="Z950" s="240"/>
    </row>
    <row r="951" spans="1:26" ht="15.75" customHeight="1" x14ac:dyDescent="0.55000000000000004">
      <c r="A951" s="240"/>
      <c r="B951" s="240"/>
      <c r="C951" s="240"/>
      <c r="D951" s="240"/>
      <c r="E951" s="240"/>
      <c r="F951" s="240"/>
      <c r="G951" s="240"/>
      <c r="H951" s="240"/>
      <c r="I951" s="240"/>
      <c r="J951" s="240"/>
      <c r="K951" s="240"/>
      <c r="L951" s="240"/>
      <c r="M951" s="240"/>
      <c r="N951" s="240"/>
      <c r="O951" s="240"/>
      <c r="P951" s="240"/>
      <c r="Q951" s="240"/>
      <c r="R951" s="240"/>
      <c r="S951" s="240"/>
      <c r="T951" s="240"/>
      <c r="U951" s="240"/>
      <c r="V951" s="240"/>
      <c r="W951" s="240"/>
      <c r="X951" s="240"/>
      <c r="Y951" s="240"/>
      <c r="Z951" s="240"/>
    </row>
    <row r="952" spans="1:26" ht="15.75" customHeight="1" x14ac:dyDescent="0.55000000000000004">
      <c r="A952" s="240"/>
      <c r="B952" s="240"/>
      <c r="C952" s="240"/>
      <c r="D952" s="240"/>
      <c r="E952" s="240"/>
      <c r="F952" s="240"/>
      <c r="G952" s="240"/>
      <c r="H952" s="240"/>
      <c r="I952" s="240"/>
      <c r="J952" s="240"/>
      <c r="K952" s="240"/>
      <c r="L952" s="240"/>
      <c r="M952" s="240"/>
      <c r="N952" s="240"/>
      <c r="O952" s="240"/>
      <c r="P952" s="240"/>
      <c r="Q952" s="240"/>
      <c r="R952" s="240"/>
      <c r="S952" s="240"/>
      <c r="T952" s="240"/>
      <c r="U952" s="240"/>
      <c r="V952" s="240"/>
      <c r="W952" s="240"/>
      <c r="X952" s="240"/>
      <c r="Y952" s="240"/>
      <c r="Z952" s="240"/>
    </row>
    <row r="953" spans="1:26" ht="15.75" customHeight="1" x14ac:dyDescent="0.55000000000000004">
      <c r="A953" s="240"/>
      <c r="B953" s="240"/>
      <c r="C953" s="240"/>
      <c r="D953" s="240"/>
      <c r="E953" s="240"/>
      <c r="F953" s="240"/>
      <c r="G953" s="240"/>
      <c r="H953" s="240"/>
      <c r="I953" s="240"/>
      <c r="J953" s="240"/>
      <c r="K953" s="240"/>
      <c r="L953" s="240"/>
      <c r="M953" s="240"/>
      <c r="N953" s="240"/>
      <c r="O953" s="240"/>
      <c r="P953" s="240"/>
      <c r="Q953" s="240"/>
      <c r="R953" s="240"/>
      <c r="S953" s="240"/>
      <c r="T953" s="240"/>
      <c r="U953" s="240"/>
      <c r="V953" s="240"/>
      <c r="W953" s="240"/>
      <c r="X953" s="240"/>
      <c r="Y953" s="240"/>
      <c r="Z953" s="240"/>
    </row>
    <row r="954" spans="1:26" ht="15.75" customHeight="1" x14ac:dyDescent="0.55000000000000004">
      <c r="A954" s="240"/>
      <c r="B954" s="240"/>
      <c r="C954" s="240"/>
      <c r="D954" s="240"/>
      <c r="E954" s="240"/>
      <c r="F954" s="240"/>
      <c r="G954" s="240"/>
      <c r="H954" s="240"/>
      <c r="I954" s="240"/>
      <c r="J954" s="240"/>
      <c r="K954" s="240"/>
      <c r="L954" s="240"/>
      <c r="M954" s="240"/>
      <c r="N954" s="240"/>
      <c r="O954" s="240"/>
      <c r="P954" s="240"/>
      <c r="Q954" s="240"/>
      <c r="R954" s="240"/>
      <c r="S954" s="240"/>
      <c r="T954" s="240"/>
      <c r="U954" s="240"/>
      <c r="V954" s="240"/>
      <c r="W954" s="240"/>
      <c r="X954" s="240"/>
      <c r="Y954" s="240"/>
      <c r="Z954" s="240"/>
    </row>
    <row r="955" spans="1:26" ht="15.75" customHeight="1" x14ac:dyDescent="0.55000000000000004">
      <c r="A955" s="240"/>
      <c r="B955" s="240"/>
      <c r="C955" s="240"/>
      <c r="D955" s="240"/>
      <c r="E955" s="240"/>
      <c r="F955" s="240"/>
      <c r="G955" s="240"/>
      <c r="H955" s="240"/>
      <c r="I955" s="240"/>
      <c r="J955" s="240"/>
      <c r="K955" s="240"/>
      <c r="L955" s="240"/>
      <c r="M955" s="240"/>
      <c r="N955" s="240"/>
      <c r="O955" s="240"/>
      <c r="P955" s="240"/>
      <c r="Q955" s="240"/>
      <c r="R955" s="240"/>
      <c r="S955" s="240"/>
      <c r="T955" s="240"/>
      <c r="U955" s="240"/>
      <c r="V955" s="240"/>
      <c r="W955" s="240"/>
      <c r="X955" s="240"/>
      <c r="Y955" s="240"/>
      <c r="Z955" s="240"/>
    </row>
    <row r="956" spans="1:26" ht="15.75" customHeight="1" x14ac:dyDescent="0.55000000000000004">
      <c r="A956" s="240"/>
      <c r="B956" s="240"/>
      <c r="C956" s="240"/>
      <c r="D956" s="240"/>
      <c r="E956" s="240"/>
      <c r="F956" s="240"/>
      <c r="G956" s="240"/>
      <c r="H956" s="240"/>
      <c r="I956" s="240"/>
      <c r="J956" s="240"/>
      <c r="K956" s="240"/>
      <c r="L956" s="240"/>
      <c r="M956" s="240"/>
      <c r="N956" s="240"/>
      <c r="O956" s="240"/>
      <c r="P956" s="240"/>
      <c r="Q956" s="240"/>
      <c r="R956" s="240"/>
      <c r="S956" s="240"/>
      <c r="T956" s="240"/>
      <c r="U956" s="240"/>
      <c r="V956" s="240"/>
      <c r="W956" s="240"/>
      <c r="X956" s="240"/>
      <c r="Y956" s="240"/>
      <c r="Z956" s="240"/>
    </row>
    <row r="957" spans="1:26" ht="15.75" customHeight="1" x14ac:dyDescent="0.55000000000000004">
      <c r="A957" s="240"/>
      <c r="B957" s="240"/>
      <c r="C957" s="240"/>
      <c r="D957" s="240"/>
      <c r="E957" s="240"/>
      <c r="F957" s="240"/>
      <c r="G957" s="240"/>
      <c r="H957" s="240"/>
      <c r="I957" s="240"/>
      <c r="J957" s="240"/>
      <c r="K957" s="240"/>
      <c r="L957" s="240"/>
      <c r="M957" s="240"/>
      <c r="N957" s="240"/>
      <c r="O957" s="240"/>
      <c r="P957" s="240"/>
      <c r="Q957" s="240"/>
      <c r="R957" s="240"/>
      <c r="S957" s="240"/>
      <c r="T957" s="240"/>
      <c r="U957" s="240"/>
      <c r="V957" s="240"/>
      <c r="W957" s="240"/>
      <c r="X957" s="240"/>
      <c r="Y957" s="240"/>
      <c r="Z957" s="240"/>
    </row>
    <row r="958" spans="1:26" ht="15.75" customHeight="1" x14ac:dyDescent="0.55000000000000004">
      <c r="A958" s="240"/>
      <c r="B958" s="240"/>
      <c r="C958" s="240"/>
      <c r="D958" s="240"/>
      <c r="E958" s="240"/>
      <c r="F958" s="240"/>
      <c r="G958" s="240"/>
      <c r="H958" s="240"/>
      <c r="I958" s="240"/>
      <c r="J958" s="240"/>
      <c r="K958" s="240"/>
      <c r="L958" s="240"/>
      <c r="M958" s="240"/>
      <c r="N958" s="240"/>
      <c r="O958" s="240"/>
      <c r="P958" s="240"/>
      <c r="Q958" s="240"/>
      <c r="R958" s="240"/>
      <c r="S958" s="240"/>
      <c r="T958" s="240"/>
      <c r="U958" s="240"/>
      <c r="V958" s="240"/>
      <c r="W958" s="240"/>
      <c r="X958" s="240"/>
      <c r="Y958" s="240"/>
      <c r="Z958" s="240"/>
    </row>
    <row r="959" spans="1:26" ht="15.75" customHeight="1" x14ac:dyDescent="0.55000000000000004">
      <c r="A959" s="240"/>
      <c r="B959" s="240"/>
      <c r="C959" s="240"/>
      <c r="D959" s="240"/>
      <c r="E959" s="240"/>
      <c r="F959" s="240"/>
      <c r="G959" s="240"/>
      <c r="H959" s="240"/>
      <c r="I959" s="240"/>
      <c r="J959" s="240"/>
      <c r="K959" s="240"/>
      <c r="L959" s="240"/>
      <c r="M959" s="240"/>
      <c r="N959" s="240"/>
      <c r="O959" s="240"/>
      <c r="P959" s="240"/>
      <c r="Q959" s="240"/>
      <c r="R959" s="240"/>
      <c r="S959" s="240"/>
      <c r="T959" s="240"/>
      <c r="U959" s="240"/>
      <c r="V959" s="240"/>
      <c r="W959" s="240"/>
      <c r="X959" s="240"/>
      <c r="Y959" s="240"/>
      <c r="Z959" s="240"/>
    </row>
    <row r="960" spans="1:26" ht="15.75" customHeight="1" x14ac:dyDescent="0.55000000000000004">
      <c r="A960" s="240"/>
      <c r="B960" s="240"/>
      <c r="C960" s="240"/>
      <c r="D960" s="240"/>
      <c r="E960" s="240"/>
      <c r="F960" s="240"/>
      <c r="G960" s="240"/>
      <c r="H960" s="240"/>
      <c r="I960" s="240"/>
      <c r="J960" s="240"/>
      <c r="K960" s="240"/>
      <c r="L960" s="240"/>
      <c r="M960" s="240"/>
      <c r="N960" s="240"/>
      <c r="O960" s="240"/>
      <c r="P960" s="240"/>
      <c r="Q960" s="240"/>
      <c r="R960" s="240"/>
      <c r="S960" s="240"/>
      <c r="T960" s="240"/>
      <c r="U960" s="240"/>
      <c r="V960" s="240"/>
      <c r="W960" s="240"/>
      <c r="X960" s="240"/>
      <c r="Y960" s="240"/>
      <c r="Z960" s="240"/>
    </row>
    <row r="961" spans="1:26" ht="15.75" customHeight="1" x14ac:dyDescent="0.55000000000000004">
      <c r="A961" s="240"/>
      <c r="B961" s="240"/>
      <c r="C961" s="240"/>
      <c r="D961" s="240"/>
      <c r="E961" s="240"/>
      <c r="F961" s="240"/>
      <c r="G961" s="240"/>
      <c r="H961" s="240"/>
      <c r="I961" s="240"/>
      <c r="J961" s="240"/>
      <c r="K961" s="240"/>
      <c r="L961" s="240"/>
      <c r="M961" s="240"/>
      <c r="N961" s="240"/>
      <c r="O961" s="240"/>
      <c r="P961" s="240"/>
      <c r="Q961" s="240"/>
      <c r="R961" s="240"/>
      <c r="S961" s="240"/>
      <c r="T961" s="240"/>
      <c r="U961" s="240"/>
      <c r="V961" s="240"/>
      <c r="W961" s="240"/>
      <c r="X961" s="240"/>
      <c r="Y961" s="240"/>
      <c r="Z961" s="240"/>
    </row>
    <row r="962" spans="1:26" ht="15.75" customHeight="1" x14ac:dyDescent="0.55000000000000004">
      <c r="A962" s="240"/>
      <c r="B962" s="240"/>
      <c r="C962" s="240"/>
      <c r="D962" s="240"/>
      <c r="E962" s="240"/>
      <c r="F962" s="240"/>
      <c r="G962" s="240"/>
      <c r="H962" s="240"/>
      <c r="I962" s="240"/>
      <c r="J962" s="240"/>
      <c r="K962" s="240"/>
      <c r="L962" s="240"/>
      <c r="M962" s="240"/>
      <c r="N962" s="240"/>
      <c r="O962" s="240"/>
      <c r="P962" s="240"/>
      <c r="Q962" s="240"/>
      <c r="R962" s="240"/>
      <c r="S962" s="240"/>
      <c r="T962" s="240"/>
      <c r="U962" s="240"/>
      <c r="V962" s="240"/>
      <c r="W962" s="240"/>
      <c r="X962" s="240"/>
      <c r="Y962" s="240"/>
      <c r="Z962" s="240"/>
    </row>
    <row r="963" spans="1:26" ht="15.75" customHeight="1" x14ac:dyDescent="0.55000000000000004">
      <c r="A963" s="240"/>
      <c r="B963" s="240"/>
      <c r="C963" s="240"/>
      <c r="D963" s="240"/>
      <c r="E963" s="240"/>
      <c r="F963" s="240"/>
      <c r="G963" s="240"/>
      <c r="H963" s="240"/>
      <c r="I963" s="240"/>
      <c r="J963" s="240"/>
      <c r="K963" s="240"/>
      <c r="L963" s="240"/>
      <c r="M963" s="240"/>
      <c r="N963" s="240"/>
      <c r="O963" s="240"/>
      <c r="P963" s="240"/>
      <c r="Q963" s="240"/>
      <c r="R963" s="240"/>
      <c r="S963" s="240"/>
      <c r="T963" s="240"/>
      <c r="U963" s="240"/>
      <c r="V963" s="240"/>
      <c r="W963" s="240"/>
      <c r="X963" s="240"/>
      <c r="Y963" s="240"/>
      <c r="Z963" s="240"/>
    </row>
    <row r="964" spans="1:26" ht="15.75" customHeight="1" x14ac:dyDescent="0.55000000000000004">
      <c r="A964" s="240"/>
      <c r="B964" s="240"/>
      <c r="C964" s="240"/>
      <c r="D964" s="240"/>
      <c r="E964" s="240"/>
      <c r="F964" s="240"/>
      <c r="G964" s="240"/>
      <c r="H964" s="240"/>
      <c r="I964" s="240"/>
      <c r="J964" s="240"/>
      <c r="K964" s="240"/>
      <c r="L964" s="240"/>
      <c r="M964" s="240"/>
      <c r="N964" s="240"/>
      <c r="O964" s="240"/>
      <c r="P964" s="240"/>
      <c r="Q964" s="240"/>
      <c r="R964" s="240"/>
      <c r="S964" s="240"/>
      <c r="T964" s="240"/>
      <c r="U964" s="240"/>
      <c r="V964" s="240"/>
      <c r="W964" s="240"/>
      <c r="X964" s="240"/>
      <c r="Y964" s="240"/>
      <c r="Z964" s="240"/>
    </row>
    <row r="965" spans="1:26" ht="15.75" customHeight="1" x14ac:dyDescent="0.55000000000000004">
      <c r="A965" s="240"/>
      <c r="B965" s="240"/>
      <c r="C965" s="240"/>
      <c r="D965" s="240"/>
      <c r="E965" s="240"/>
      <c r="F965" s="240"/>
      <c r="G965" s="240"/>
      <c r="H965" s="240"/>
      <c r="I965" s="240"/>
      <c r="J965" s="240"/>
      <c r="K965" s="240"/>
      <c r="L965" s="240"/>
      <c r="M965" s="240"/>
      <c r="N965" s="240"/>
      <c r="O965" s="240"/>
      <c r="P965" s="240"/>
      <c r="Q965" s="240"/>
      <c r="R965" s="240"/>
      <c r="S965" s="240"/>
      <c r="T965" s="240"/>
      <c r="U965" s="240"/>
      <c r="V965" s="240"/>
      <c r="W965" s="240"/>
      <c r="X965" s="240"/>
      <c r="Y965" s="240"/>
      <c r="Z965" s="240"/>
    </row>
    <row r="966" spans="1:26" ht="15.75" customHeight="1" x14ac:dyDescent="0.55000000000000004">
      <c r="A966" s="240"/>
      <c r="B966" s="240"/>
      <c r="C966" s="240"/>
      <c r="D966" s="240"/>
      <c r="E966" s="240"/>
      <c r="F966" s="240"/>
      <c r="G966" s="240"/>
      <c r="H966" s="240"/>
      <c r="I966" s="240"/>
      <c r="J966" s="240"/>
      <c r="K966" s="240"/>
      <c r="L966" s="240"/>
      <c r="M966" s="240"/>
      <c r="N966" s="240"/>
      <c r="O966" s="240"/>
      <c r="P966" s="240"/>
      <c r="Q966" s="240"/>
      <c r="R966" s="240"/>
      <c r="S966" s="240"/>
      <c r="T966" s="240"/>
      <c r="U966" s="240"/>
      <c r="V966" s="240"/>
      <c r="W966" s="240"/>
      <c r="X966" s="240"/>
      <c r="Y966" s="240"/>
      <c r="Z966" s="240"/>
    </row>
    <row r="967" spans="1:26" ht="15.75" customHeight="1" x14ac:dyDescent="0.55000000000000004">
      <c r="A967" s="240"/>
      <c r="B967" s="240"/>
      <c r="C967" s="240"/>
      <c r="D967" s="240"/>
      <c r="E967" s="240"/>
      <c r="F967" s="240"/>
      <c r="G967" s="240"/>
      <c r="H967" s="240"/>
      <c r="I967" s="240"/>
      <c r="J967" s="240"/>
      <c r="K967" s="240"/>
      <c r="L967" s="240"/>
      <c r="M967" s="240"/>
      <c r="N967" s="240"/>
      <c r="O967" s="240"/>
      <c r="P967" s="240"/>
      <c r="Q967" s="240"/>
      <c r="R967" s="240"/>
      <c r="S967" s="240"/>
      <c r="T967" s="240"/>
      <c r="U967" s="240"/>
      <c r="V967" s="240"/>
      <c r="W967" s="240"/>
      <c r="X967" s="240"/>
      <c r="Y967" s="240"/>
      <c r="Z967" s="240"/>
    </row>
    <row r="968" spans="1:26" ht="15.75" customHeight="1" x14ac:dyDescent="0.55000000000000004">
      <c r="A968" s="240"/>
      <c r="B968" s="240"/>
      <c r="C968" s="240"/>
      <c r="D968" s="240"/>
      <c r="E968" s="240"/>
      <c r="F968" s="240"/>
      <c r="G968" s="240"/>
      <c r="H968" s="240"/>
      <c r="I968" s="240"/>
      <c r="J968" s="240"/>
      <c r="K968" s="240"/>
      <c r="L968" s="240"/>
      <c r="M968" s="240"/>
      <c r="N968" s="240"/>
      <c r="O968" s="240"/>
      <c r="P968" s="240"/>
      <c r="Q968" s="240"/>
      <c r="R968" s="240"/>
      <c r="S968" s="240"/>
      <c r="T968" s="240"/>
      <c r="U968" s="240"/>
      <c r="V968" s="240"/>
      <c r="W968" s="240"/>
      <c r="X968" s="240"/>
      <c r="Y968" s="240"/>
      <c r="Z968" s="240"/>
    </row>
    <row r="969" spans="1:26" ht="15.75" customHeight="1" x14ac:dyDescent="0.55000000000000004">
      <c r="A969" s="240"/>
      <c r="B969" s="240"/>
      <c r="C969" s="240"/>
      <c r="D969" s="240"/>
      <c r="E969" s="240"/>
      <c r="F969" s="240"/>
      <c r="G969" s="240"/>
      <c r="H969" s="240"/>
      <c r="I969" s="240"/>
      <c r="J969" s="240"/>
      <c r="K969" s="240"/>
      <c r="L969" s="240"/>
      <c r="M969" s="240"/>
      <c r="N969" s="240"/>
      <c r="O969" s="240"/>
      <c r="P969" s="240"/>
      <c r="Q969" s="240"/>
      <c r="R969" s="240"/>
      <c r="S969" s="240"/>
      <c r="T969" s="240"/>
      <c r="U969" s="240"/>
      <c r="V969" s="240"/>
      <c r="W969" s="240"/>
      <c r="X969" s="240"/>
      <c r="Y969" s="240"/>
      <c r="Z969" s="240"/>
    </row>
    <row r="970" spans="1:26" ht="15.75" customHeight="1" x14ac:dyDescent="0.55000000000000004">
      <c r="A970" s="240"/>
      <c r="B970" s="240"/>
      <c r="C970" s="240"/>
      <c r="D970" s="240"/>
      <c r="E970" s="240"/>
      <c r="F970" s="240"/>
      <c r="G970" s="240"/>
      <c r="H970" s="240"/>
      <c r="I970" s="240"/>
      <c r="J970" s="240"/>
      <c r="K970" s="240"/>
      <c r="L970" s="240"/>
      <c r="M970" s="240"/>
      <c r="N970" s="240"/>
      <c r="O970" s="240"/>
      <c r="P970" s="240"/>
      <c r="Q970" s="240"/>
      <c r="R970" s="240"/>
      <c r="S970" s="240"/>
      <c r="T970" s="240"/>
      <c r="U970" s="240"/>
      <c r="V970" s="240"/>
      <c r="W970" s="240"/>
      <c r="X970" s="240"/>
      <c r="Y970" s="240"/>
      <c r="Z970" s="240"/>
    </row>
    <row r="971" spans="1:26" ht="15.75" customHeight="1" x14ac:dyDescent="0.55000000000000004">
      <c r="A971" s="240"/>
      <c r="B971" s="240"/>
      <c r="C971" s="240"/>
      <c r="D971" s="240"/>
      <c r="E971" s="240"/>
      <c r="F971" s="240"/>
      <c r="G971" s="240"/>
      <c r="H971" s="240"/>
      <c r="I971" s="240"/>
      <c r="J971" s="240"/>
      <c r="K971" s="240"/>
      <c r="L971" s="240"/>
      <c r="M971" s="240"/>
      <c r="N971" s="240"/>
      <c r="O971" s="240"/>
      <c r="P971" s="240"/>
      <c r="Q971" s="240"/>
      <c r="R971" s="240"/>
      <c r="S971" s="240"/>
      <c r="T971" s="240"/>
      <c r="U971" s="240"/>
      <c r="V971" s="240"/>
      <c r="W971" s="240"/>
      <c r="X971" s="240"/>
      <c r="Y971" s="240"/>
      <c r="Z971" s="240"/>
    </row>
    <row r="972" spans="1:26" ht="15.75" customHeight="1" x14ac:dyDescent="0.55000000000000004">
      <c r="A972" s="240"/>
      <c r="B972" s="240"/>
      <c r="C972" s="240"/>
      <c r="D972" s="240"/>
      <c r="E972" s="240"/>
      <c r="F972" s="240"/>
      <c r="G972" s="240"/>
      <c r="H972" s="240"/>
      <c r="I972" s="240"/>
      <c r="J972" s="240"/>
      <c r="K972" s="240"/>
      <c r="L972" s="240"/>
      <c r="M972" s="240"/>
      <c r="N972" s="240"/>
      <c r="O972" s="240"/>
      <c r="P972" s="240"/>
      <c r="Q972" s="240"/>
      <c r="R972" s="240"/>
      <c r="S972" s="240"/>
      <c r="T972" s="240"/>
      <c r="U972" s="240"/>
      <c r="V972" s="240"/>
      <c r="W972" s="240"/>
      <c r="X972" s="240"/>
      <c r="Y972" s="240"/>
      <c r="Z972" s="240"/>
    </row>
    <row r="973" spans="1:26" ht="15.75" customHeight="1" x14ac:dyDescent="0.55000000000000004">
      <c r="A973" s="240"/>
      <c r="B973" s="240"/>
      <c r="C973" s="240"/>
      <c r="D973" s="240"/>
      <c r="E973" s="240"/>
      <c r="F973" s="240"/>
      <c r="G973" s="240"/>
      <c r="H973" s="240"/>
      <c r="I973" s="240"/>
      <c r="J973" s="240"/>
      <c r="K973" s="240"/>
      <c r="L973" s="240"/>
      <c r="M973" s="240"/>
      <c r="N973" s="240"/>
      <c r="O973" s="240"/>
      <c r="P973" s="240"/>
      <c r="Q973" s="240"/>
      <c r="R973" s="240"/>
      <c r="S973" s="240"/>
      <c r="T973" s="240"/>
      <c r="U973" s="240"/>
      <c r="V973" s="240"/>
      <c r="W973" s="240"/>
      <c r="X973" s="240"/>
      <c r="Y973" s="240"/>
      <c r="Z973" s="240"/>
    </row>
    <row r="974" spans="1:26" ht="15.75" customHeight="1" x14ac:dyDescent="0.55000000000000004">
      <c r="A974" s="240"/>
      <c r="B974" s="240"/>
      <c r="C974" s="240"/>
      <c r="D974" s="240"/>
      <c r="E974" s="240"/>
      <c r="F974" s="240"/>
      <c r="G974" s="240"/>
      <c r="H974" s="240"/>
      <c r="I974" s="240"/>
      <c r="J974" s="240"/>
      <c r="K974" s="240"/>
      <c r="L974" s="240"/>
      <c r="M974" s="240"/>
      <c r="N974" s="240"/>
      <c r="O974" s="240"/>
      <c r="P974" s="240"/>
      <c r="Q974" s="240"/>
      <c r="R974" s="240"/>
      <c r="S974" s="240"/>
      <c r="T974" s="240"/>
      <c r="U974" s="240"/>
      <c r="V974" s="240"/>
      <c r="W974" s="240"/>
      <c r="X974" s="240"/>
      <c r="Y974" s="240"/>
      <c r="Z974" s="240"/>
    </row>
    <row r="975" spans="1:26" ht="15.75" customHeight="1" x14ac:dyDescent="0.55000000000000004">
      <c r="A975" s="240"/>
      <c r="B975" s="240"/>
      <c r="C975" s="240"/>
      <c r="D975" s="240"/>
      <c r="E975" s="240"/>
      <c r="F975" s="240"/>
      <c r="G975" s="240"/>
      <c r="H975" s="240"/>
      <c r="I975" s="240"/>
      <c r="J975" s="240"/>
      <c r="K975" s="240"/>
      <c r="L975" s="240"/>
      <c r="M975" s="240"/>
      <c r="N975" s="240"/>
      <c r="O975" s="240"/>
      <c r="P975" s="240"/>
      <c r="Q975" s="240"/>
      <c r="R975" s="240"/>
      <c r="S975" s="240"/>
      <c r="T975" s="240"/>
      <c r="U975" s="240"/>
      <c r="V975" s="240"/>
      <c r="W975" s="240"/>
      <c r="X975" s="240"/>
      <c r="Y975" s="240"/>
      <c r="Z975" s="240"/>
    </row>
    <row r="976" spans="1:26" ht="15.75" customHeight="1" x14ac:dyDescent="0.55000000000000004">
      <c r="A976" s="240"/>
      <c r="B976" s="240"/>
      <c r="C976" s="240"/>
      <c r="D976" s="240"/>
      <c r="E976" s="240"/>
      <c r="F976" s="240"/>
      <c r="G976" s="240"/>
      <c r="H976" s="240"/>
      <c r="I976" s="240"/>
      <c r="J976" s="240"/>
      <c r="K976" s="240"/>
      <c r="L976" s="240"/>
      <c r="M976" s="240"/>
      <c r="N976" s="240"/>
      <c r="O976" s="240"/>
      <c r="P976" s="240"/>
      <c r="Q976" s="240"/>
      <c r="R976" s="240"/>
      <c r="S976" s="240"/>
      <c r="T976" s="240"/>
      <c r="U976" s="240"/>
      <c r="V976" s="240"/>
      <c r="W976" s="240"/>
      <c r="X976" s="240"/>
      <c r="Y976" s="240"/>
      <c r="Z976" s="240"/>
    </row>
    <row r="977" spans="1:26" ht="15.75" customHeight="1" x14ac:dyDescent="0.55000000000000004">
      <c r="A977" s="240"/>
      <c r="B977" s="240"/>
      <c r="C977" s="240"/>
      <c r="D977" s="240"/>
      <c r="E977" s="240"/>
      <c r="F977" s="240"/>
      <c r="G977" s="240"/>
      <c r="H977" s="240"/>
      <c r="I977" s="240"/>
      <c r="J977" s="240"/>
      <c r="K977" s="240"/>
      <c r="L977" s="240"/>
      <c r="M977" s="240"/>
      <c r="N977" s="240"/>
      <c r="O977" s="240"/>
      <c r="P977" s="240"/>
      <c r="Q977" s="240"/>
      <c r="R977" s="240"/>
      <c r="S977" s="240"/>
      <c r="T977" s="240"/>
      <c r="U977" s="240"/>
      <c r="V977" s="240"/>
      <c r="W977" s="240"/>
      <c r="X977" s="240"/>
      <c r="Y977" s="240"/>
      <c r="Z977" s="240"/>
    </row>
    <row r="978" spans="1:26" ht="15.75" customHeight="1" x14ac:dyDescent="0.55000000000000004">
      <c r="A978" s="240"/>
      <c r="B978" s="240"/>
      <c r="C978" s="240"/>
      <c r="D978" s="240"/>
      <c r="E978" s="240"/>
      <c r="F978" s="240"/>
      <c r="G978" s="240"/>
      <c r="H978" s="240"/>
      <c r="I978" s="240"/>
      <c r="J978" s="240"/>
      <c r="K978" s="240"/>
      <c r="L978" s="240"/>
      <c r="M978" s="240"/>
      <c r="N978" s="240"/>
      <c r="O978" s="240"/>
      <c r="P978" s="240"/>
      <c r="Q978" s="240"/>
      <c r="R978" s="240"/>
      <c r="S978" s="240"/>
      <c r="T978" s="240"/>
      <c r="U978" s="240"/>
      <c r="V978" s="240"/>
      <c r="W978" s="240"/>
      <c r="X978" s="240"/>
      <c r="Y978" s="240"/>
      <c r="Z978" s="240"/>
    </row>
    <row r="979" spans="1:26" ht="15.75" customHeight="1" x14ac:dyDescent="0.55000000000000004">
      <c r="A979" s="240"/>
      <c r="B979" s="240"/>
      <c r="C979" s="240"/>
      <c r="D979" s="240"/>
      <c r="E979" s="240"/>
      <c r="F979" s="240"/>
      <c r="G979" s="240"/>
      <c r="H979" s="240"/>
      <c r="I979" s="240"/>
      <c r="J979" s="240"/>
      <c r="K979" s="240"/>
      <c r="L979" s="240"/>
      <c r="M979" s="240"/>
      <c r="N979" s="240"/>
      <c r="O979" s="240"/>
      <c r="P979" s="240"/>
      <c r="Q979" s="240"/>
      <c r="R979" s="240"/>
      <c r="S979" s="240"/>
      <c r="T979" s="240"/>
      <c r="U979" s="240"/>
      <c r="V979" s="240"/>
      <c r="W979" s="240"/>
      <c r="X979" s="240"/>
      <c r="Y979" s="240"/>
      <c r="Z979" s="240"/>
    </row>
    <row r="980" spans="1:26" ht="15.75" customHeight="1" x14ac:dyDescent="0.55000000000000004">
      <c r="A980" s="240"/>
      <c r="B980" s="240"/>
      <c r="C980" s="240"/>
      <c r="D980" s="240"/>
      <c r="E980" s="240"/>
      <c r="F980" s="240"/>
      <c r="G980" s="240"/>
      <c r="H980" s="240"/>
      <c r="I980" s="240"/>
      <c r="J980" s="240"/>
      <c r="K980" s="240"/>
      <c r="L980" s="240"/>
      <c r="M980" s="240"/>
      <c r="N980" s="240"/>
      <c r="O980" s="240"/>
      <c r="P980" s="240"/>
      <c r="Q980" s="240"/>
      <c r="R980" s="240"/>
      <c r="S980" s="240"/>
      <c r="T980" s="240"/>
      <c r="U980" s="240"/>
      <c r="V980" s="240"/>
      <c r="W980" s="240"/>
      <c r="X980" s="240"/>
      <c r="Y980" s="240"/>
      <c r="Z980" s="240"/>
    </row>
    <row r="981" spans="1:26" ht="15.75" customHeight="1" x14ac:dyDescent="0.55000000000000004">
      <c r="A981" s="240"/>
      <c r="B981" s="240"/>
      <c r="C981" s="240"/>
      <c r="D981" s="240"/>
      <c r="E981" s="240"/>
      <c r="F981" s="240"/>
      <c r="G981" s="240"/>
      <c r="H981" s="240"/>
      <c r="I981" s="240"/>
      <c r="J981" s="240"/>
      <c r="K981" s="240"/>
      <c r="L981" s="240"/>
      <c r="M981" s="240"/>
      <c r="N981" s="240"/>
      <c r="O981" s="240"/>
      <c r="P981" s="240"/>
      <c r="Q981" s="240"/>
      <c r="R981" s="240"/>
      <c r="S981" s="240"/>
      <c r="T981" s="240"/>
      <c r="U981" s="240"/>
      <c r="V981" s="240"/>
      <c r="W981" s="240"/>
      <c r="X981" s="240"/>
      <c r="Y981" s="240"/>
      <c r="Z981" s="240"/>
    </row>
    <row r="982" spans="1:26" ht="15.75" customHeight="1" x14ac:dyDescent="0.55000000000000004">
      <c r="A982" s="240"/>
      <c r="B982" s="240"/>
      <c r="C982" s="240"/>
      <c r="D982" s="240"/>
      <c r="E982" s="240"/>
      <c r="F982" s="240"/>
      <c r="G982" s="240"/>
      <c r="H982" s="240"/>
      <c r="I982" s="240"/>
      <c r="J982" s="240"/>
      <c r="K982" s="240"/>
      <c r="L982" s="240"/>
      <c r="M982" s="240"/>
      <c r="N982" s="240"/>
      <c r="O982" s="240"/>
      <c r="P982" s="240"/>
      <c r="Q982" s="240"/>
      <c r="R982" s="240"/>
      <c r="S982" s="240"/>
      <c r="T982" s="240"/>
      <c r="U982" s="240"/>
      <c r="V982" s="240"/>
      <c r="W982" s="240"/>
      <c r="X982" s="240"/>
      <c r="Y982" s="240"/>
      <c r="Z982" s="240"/>
    </row>
    <row r="983" spans="1:26" ht="15.75" customHeight="1" x14ac:dyDescent="0.55000000000000004">
      <c r="A983" s="240"/>
      <c r="B983" s="240"/>
      <c r="C983" s="240"/>
      <c r="D983" s="240"/>
      <c r="E983" s="240"/>
      <c r="F983" s="240"/>
      <c r="G983" s="240"/>
      <c r="H983" s="240"/>
      <c r="I983" s="240"/>
      <c r="J983" s="240"/>
      <c r="K983" s="240"/>
      <c r="L983" s="240"/>
      <c r="M983" s="240"/>
      <c r="N983" s="240"/>
      <c r="O983" s="240"/>
      <c r="P983" s="240"/>
      <c r="Q983" s="240"/>
      <c r="R983" s="240"/>
      <c r="S983" s="240"/>
      <c r="T983" s="240"/>
      <c r="U983" s="240"/>
      <c r="V983" s="240"/>
      <c r="W983" s="240"/>
      <c r="X983" s="240"/>
      <c r="Y983" s="240"/>
      <c r="Z983" s="240"/>
    </row>
    <row r="984" spans="1:26" ht="15.75" customHeight="1" x14ac:dyDescent="0.55000000000000004">
      <c r="A984" s="240"/>
      <c r="B984" s="240"/>
      <c r="C984" s="240"/>
      <c r="D984" s="240"/>
      <c r="E984" s="240"/>
      <c r="F984" s="240"/>
      <c r="G984" s="240"/>
      <c r="H984" s="240"/>
      <c r="I984" s="240"/>
      <c r="J984" s="240"/>
      <c r="K984" s="240"/>
      <c r="L984" s="240"/>
      <c r="M984" s="240"/>
      <c r="N984" s="240"/>
      <c r="O984" s="240"/>
      <c r="P984" s="240"/>
      <c r="Q984" s="240"/>
      <c r="R984" s="240"/>
      <c r="S984" s="240"/>
      <c r="T984" s="240"/>
      <c r="U984" s="240"/>
      <c r="V984" s="240"/>
      <c r="W984" s="240"/>
      <c r="X984" s="240"/>
      <c r="Y984" s="240"/>
      <c r="Z984" s="240"/>
    </row>
    <row r="985" spans="1:26" ht="15.75" customHeight="1" x14ac:dyDescent="0.55000000000000004">
      <c r="A985" s="240"/>
      <c r="B985" s="240"/>
      <c r="C985" s="240"/>
      <c r="D985" s="240"/>
      <c r="E985" s="240"/>
      <c r="F985" s="240"/>
      <c r="G985" s="240"/>
      <c r="H985" s="240"/>
      <c r="I985" s="240"/>
      <c r="J985" s="240"/>
      <c r="K985" s="240"/>
      <c r="L985" s="240"/>
      <c r="M985" s="240"/>
      <c r="N985" s="240"/>
      <c r="O985" s="240"/>
      <c r="P985" s="240"/>
      <c r="Q985" s="240"/>
      <c r="R985" s="240"/>
      <c r="S985" s="240"/>
      <c r="T985" s="240"/>
      <c r="U985" s="240"/>
      <c r="V985" s="240"/>
      <c r="W985" s="240"/>
      <c r="X985" s="240"/>
      <c r="Y985" s="240"/>
      <c r="Z985" s="240"/>
    </row>
    <row r="986" spans="1:26" ht="15.75" customHeight="1" x14ac:dyDescent="0.55000000000000004">
      <c r="A986" s="240"/>
      <c r="B986" s="240"/>
      <c r="C986" s="240"/>
      <c r="D986" s="240"/>
      <c r="E986" s="240"/>
      <c r="F986" s="240"/>
      <c r="G986" s="240"/>
      <c r="H986" s="240"/>
      <c r="I986" s="240"/>
      <c r="J986" s="240"/>
      <c r="K986" s="240"/>
      <c r="L986" s="240"/>
      <c r="M986" s="240"/>
      <c r="N986" s="240"/>
      <c r="O986" s="240"/>
      <c r="P986" s="240"/>
      <c r="Q986" s="240"/>
      <c r="R986" s="240"/>
      <c r="S986" s="240"/>
      <c r="T986" s="240"/>
      <c r="U986" s="240"/>
      <c r="V986" s="240"/>
      <c r="W986" s="240"/>
      <c r="X986" s="240"/>
      <c r="Y986" s="240"/>
      <c r="Z986" s="240"/>
    </row>
    <row r="987" spans="1:26" ht="15.75" customHeight="1" x14ac:dyDescent="0.55000000000000004">
      <c r="A987" s="240"/>
      <c r="B987" s="240"/>
      <c r="C987" s="240"/>
      <c r="D987" s="240"/>
      <c r="E987" s="240"/>
      <c r="F987" s="240"/>
      <c r="G987" s="240"/>
      <c r="H987" s="240"/>
      <c r="I987" s="240"/>
      <c r="J987" s="240"/>
      <c r="K987" s="240"/>
      <c r="L987" s="240"/>
      <c r="M987" s="240"/>
      <c r="N987" s="240"/>
      <c r="O987" s="240"/>
      <c r="P987" s="240"/>
      <c r="Q987" s="240"/>
      <c r="R987" s="240"/>
      <c r="S987" s="240"/>
      <c r="T987" s="240"/>
      <c r="U987" s="240"/>
      <c r="V987" s="240"/>
      <c r="W987" s="240"/>
      <c r="X987" s="240"/>
      <c r="Y987" s="240"/>
      <c r="Z987" s="240"/>
    </row>
    <row r="988" spans="1:26" ht="15.75" customHeight="1" x14ac:dyDescent="0.55000000000000004">
      <c r="A988" s="240"/>
      <c r="B988" s="240"/>
      <c r="C988" s="240"/>
      <c r="D988" s="240"/>
      <c r="E988" s="240"/>
      <c r="F988" s="240"/>
      <c r="G988" s="240"/>
      <c r="H988" s="240"/>
      <c r="I988" s="240"/>
      <c r="J988" s="240"/>
      <c r="K988" s="240"/>
      <c r="L988" s="240"/>
      <c r="M988" s="240"/>
      <c r="N988" s="240"/>
      <c r="O988" s="240"/>
      <c r="P988" s="240"/>
      <c r="Q988" s="240"/>
      <c r="R988" s="240"/>
      <c r="S988" s="240"/>
      <c r="T988" s="240"/>
      <c r="U988" s="240"/>
      <c r="V988" s="240"/>
      <c r="W988" s="240"/>
      <c r="X988" s="240"/>
      <c r="Y988" s="240"/>
      <c r="Z988" s="240"/>
    </row>
    <row r="989" spans="1:26" ht="15.75" customHeight="1" x14ac:dyDescent="0.55000000000000004">
      <c r="A989" s="240"/>
      <c r="B989" s="240"/>
      <c r="C989" s="240"/>
      <c r="D989" s="240"/>
      <c r="E989" s="240"/>
      <c r="F989" s="240"/>
      <c r="G989" s="240"/>
      <c r="H989" s="240"/>
      <c r="I989" s="240"/>
      <c r="J989" s="240"/>
      <c r="K989" s="240"/>
      <c r="L989" s="240"/>
      <c r="M989" s="240"/>
      <c r="N989" s="240"/>
      <c r="O989" s="240"/>
      <c r="P989" s="240"/>
      <c r="Q989" s="240"/>
      <c r="R989" s="240"/>
      <c r="S989" s="240"/>
      <c r="T989" s="240"/>
      <c r="U989" s="240"/>
      <c r="V989" s="240"/>
      <c r="W989" s="240"/>
      <c r="X989" s="240"/>
      <c r="Y989" s="240"/>
      <c r="Z989" s="240"/>
    </row>
    <row r="990" spans="1:26" ht="15.75" customHeight="1" x14ac:dyDescent="0.55000000000000004">
      <c r="A990" s="240"/>
      <c r="B990" s="240"/>
      <c r="C990" s="240"/>
      <c r="D990" s="240"/>
      <c r="E990" s="240"/>
      <c r="F990" s="240"/>
      <c r="G990" s="240"/>
      <c r="H990" s="240"/>
      <c r="I990" s="240"/>
      <c r="J990" s="240"/>
      <c r="K990" s="240"/>
      <c r="L990" s="240"/>
      <c r="M990" s="240"/>
      <c r="N990" s="240"/>
      <c r="O990" s="240"/>
      <c r="P990" s="240"/>
      <c r="Q990" s="240"/>
      <c r="R990" s="240"/>
      <c r="S990" s="240"/>
      <c r="T990" s="240"/>
      <c r="U990" s="240"/>
      <c r="V990" s="240"/>
      <c r="W990" s="240"/>
      <c r="X990" s="240"/>
      <c r="Y990" s="240"/>
      <c r="Z990" s="240"/>
    </row>
    <row r="991" spans="1:26" ht="15.75" customHeight="1" x14ac:dyDescent="0.55000000000000004">
      <c r="A991" s="240"/>
      <c r="B991" s="240"/>
      <c r="C991" s="240"/>
      <c r="D991" s="240"/>
      <c r="E991" s="240"/>
      <c r="F991" s="240"/>
      <c r="G991" s="240"/>
      <c r="H991" s="240"/>
      <c r="I991" s="240"/>
      <c r="J991" s="240"/>
      <c r="K991" s="240"/>
      <c r="L991" s="240"/>
      <c r="M991" s="240"/>
      <c r="N991" s="240"/>
      <c r="O991" s="240"/>
      <c r="P991" s="240"/>
      <c r="Q991" s="240"/>
      <c r="R991" s="240"/>
      <c r="S991" s="240"/>
      <c r="T991" s="240"/>
      <c r="U991" s="240"/>
      <c r="V991" s="240"/>
      <c r="W991" s="240"/>
      <c r="X991" s="240"/>
      <c r="Y991" s="240"/>
      <c r="Z991" s="240"/>
    </row>
    <row r="992" spans="1:26" ht="15.75" customHeight="1" x14ac:dyDescent="0.55000000000000004">
      <c r="A992" s="240"/>
      <c r="B992" s="240"/>
      <c r="C992" s="240"/>
      <c r="D992" s="240"/>
      <c r="E992" s="240"/>
      <c r="F992" s="240"/>
      <c r="G992" s="240"/>
      <c r="H992" s="240"/>
      <c r="I992" s="240"/>
      <c r="J992" s="240"/>
      <c r="K992" s="240"/>
      <c r="L992" s="240"/>
      <c r="M992" s="240"/>
      <c r="N992" s="240"/>
      <c r="O992" s="240"/>
      <c r="P992" s="240"/>
      <c r="Q992" s="240"/>
      <c r="R992" s="240"/>
      <c r="S992" s="240"/>
      <c r="T992" s="240"/>
      <c r="U992" s="240"/>
      <c r="V992" s="240"/>
      <c r="W992" s="240"/>
      <c r="X992" s="240"/>
      <c r="Y992" s="240"/>
      <c r="Z992" s="240"/>
    </row>
    <row r="993" spans="1:26" ht="15.75" customHeight="1" x14ac:dyDescent="0.55000000000000004">
      <c r="A993" s="240"/>
      <c r="B993" s="240"/>
      <c r="C993" s="240"/>
      <c r="D993" s="240"/>
      <c r="E993" s="240"/>
      <c r="F993" s="240"/>
      <c r="G993" s="240"/>
      <c r="H993" s="240"/>
      <c r="I993" s="240"/>
      <c r="J993" s="240"/>
      <c r="K993" s="240"/>
      <c r="L993" s="240"/>
      <c r="M993" s="240"/>
      <c r="N993" s="240"/>
      <c r="O993" s="240"/>
      <c r="P993" s="240"/>
      <c r="Q993" s="240"/>
      <c r="R993" s="240"/>
      <c r="S993" s="240"/>
      <c r="T993" s="240"/>
      <c r="U993" s="240"/>
      <c r="V993" s="240"/>
      <c r="W993" s="240"/>
      <c r="X993" s="240"/>
      <c r="Y993" s="240"/>
      <c r="Z993" s="240"/>
    </row>
    <row r="994" spans="1:26" ht="15.75" customHeight="1" x14ac:dyDescent="0.55000000000000004">
      <c r="A994" s="240"/>
      <c r="B994" s="240"/>
      <c r="C994" s="240"/>
      <c r="D994" s="240"/>
      <c r="E994" s="240"/>
      <c r="F994" s="240"/>
      <c r="G994" s="240"/>
      <c r="H994" s="240"/>
      <c r="I994" s="240"/>
      <c r="J994" s="240"/>
      <c r="K994" s="240"/>
      <c r="L994" s="240"/>
      <c r="M994" s="240"/>
      <c r="N994" s="240"/>
      <c r="O994" s="240"/>
      <c r="P994" s="240"/>
      <c r="Q994" s="240"/>
      <c r="R994" s="240"/>
      <c r="S994" s="240"/>
      <c r="T994" s="240"/>
      <c r="U994" s="240"/>
      <c r="V994" s="240"/>
      <c r="W994" s="240"/>
      <c r="X994" s="240"/>
      <c r="Y994" s="240"/>
      <c r="Z994" s="240"/>
    </row>
    <row r="995" spans="1:26" ht="15.75" customHeight="1" x14ac:dyDescent="0.55000000000000004">
      <c r="A995" s="240"/>
      <c r="B995" s="240"/>
      <c r="C995" s="240"/>
      <c r="D995" s="240"/>
      <c r="E995" s="240"/>
      <c r="F995" s="240"/>
      <c r="G995" s="240"/>
      <c r="H995" s="240"/>
      <c r="I995" s="240"/>
      <c r="J995" s="240"/>
      <c r="K995" s="240"/>
      <c r="L995" s="240"/>
      <c r="M995" s="240"/>
      <c r="N995" s="240"/>
      <c r="O995" s="240"/>
      <c r="P995" s="240"/>
      <c r="Q995" s="240"/>
      <c r="R995" s="240"/>
      <c r="S995" s="240"/>
      <c r="T995" s="240"/>
      <c r="U995" s="240"/>
      <c r="V995" s="240"/>
      <c r="W995" s="240"/>
      <c r="X995" s="240"/>
      <c r="Y995" s="240"/>
      <c r="Z995" s="240"/>
    </row>
    <row r="996" spans="1:26" ht="15.75" customHeight="1" x14ac:dyDescent="0.55000000000000004">
      <c r="A996" s="240"/>
      <c r="B996" s="240"/>
      <c r="C996" s="240"/>
      <c r="D996" s="240"/>
      <c r="E996" s="240"/>
      <c r="F996" s="240"/>
      <c r="G996" s="240"/>
      <c r="H996" s="240"/>
      <c r="I996" s="240"/>
      <c r="J996" s="240"/>
      <c r="K996" s="240"/>
      <c r="L996" s="240"/>
      <c r="M996" s="240"/>
      <c r="N996" s="240"/>
      <c r="O996" s="240"/>
      <c r="P996" s="240"/>
      <c r="Q996" s="240"/>
      <c r="R996" s="240"/>
      <c r="S996" s="240"/>
      <c r="T996" s="240"/>
      <c r="U996" s="240"/>
      <c r="V996" s="240"/>
      <c r="W996" s="240"/>
      <c r="X996" s="240"/>
      <c r="Y996" s="240"/>
      <c r="Z996" s="240"/>
    </row>
    <row r="997" spans="1:26" ht="15.75" customHeight="1" x14ac:dyDescent="0.55000000000000004">
      <c r="A997" s="240"/>
      <c r="B997" s="240"/>
      <c r="C997" s="240"/>
      <c r="D997" s="240"/>
      <c r="E997" s="240"/>
      <c r="F997" s="240"/>
      <c r="G997" s="240"/>
      <c r="H997" s="240"/>
      <c r="I997" s="240"/>
      <c r="J997" s="240"/>
      <c r="K997" s="240"/>
      <c r="L997" s="240"/>
      <c r="M997" s="240"/>
      <c r="N997" s="240"/>
      <c r="O997" s="240"/>
      <c r="P997" s="240"/>
      <c r="Q997" s="240"/>
      <c r="R997" s="240"/>
      <c r="S997" s="240"/>
      <c r="T997" s="240"/>
      <c r="U997" s="240"/>
      <c r="V997" s="240"/>
      <c r="W997" s="240"/>
      <c r="X997" s="240"/>
      <c r="Y997" s="240"/>
      <c r="Z997" s="240"/>
    </row>
    <row r="998" spans="1:26" ht="15.75" customHeight="1" x14ac:dyDescent="0.55000000000000004">
      <c r="A998" s="240"/>
      <c r="B998" s="240"/>
      <c r="C998" s="240"/>
      <c r="D998" s="240"/>
      <c r="E998" s="240"/>
      <c r="F998" s="240"/>
      <c r="G998" s="240"/>
      <c r="H998" s="240"/>
      <c r="I998" s="240"/>
      <c r="J998" s="240"/>
      <c r="K998" s="240"/>
      <c r="L998" s="240"/>
      <c r="M998" s="240"/>
      <c r="N998" s="240"/>
      <c r="O998" s="240"/>
      <c r="P998" s="240"/>
      <c r="Q998" s="240"/>
      <c r="R998" s="240"/>
      <c r="S998" s="240"/>
      <c r="T998" s="240"/>
      <c r="U998" s="240"/>
      <c r="V998" s="240"/>
      <c r="W998" s="240"/>
      <c r="X998" s="240"/>
      <c r="Y998" s="240"/>
      <c r="Z998" s="240"/>
    </row>
    <row r="999" spans="1:26" ht="15.75" customHeight="1" x14ac:dyDescent="0.55000000000000004">
      <c r="A999" s="240"/>
      <c r="B999" s="240"/>
      <c r="C999" s="240"/>
      <c r="D999" s="240"/>
      <c r="E999" s="240"/>
      <c r="F999" s="240"/>
      <c r="G999" s="240"/>
      <c r="H999" s="240"/>
      <c r="I999" s="240"/>
      <c r="J999" s="240"/>
      <c r="K999" s="240"/>
      <c r="L999" s="240"/>
      <c r="M999" s="240"/>
      <c r="N999" s="240"/>
      <c r="O999" s="240"/>
      <c r="P999" s="240"/>
      <c r="Q999" s="240"/>
      <c r="R999" s="240"/>
      <c r="S999" s="240"/>
      <c r="T999" s="240"/>
      <c r="U999" s="240"/>
      <c r="V999" s="240"/>
      <c r="W999" s="240"/>
      <c r="X999" s="240"/>
      <c r="Y999" s="240"/>
      <c r="Z999" s="240"/>
    </row>
    <row r="1000" spans="1:26" ht="15.75" customHeight="1" x14ac:dyDescent="0.55000000000000004">
      <c r="A1000" s="240"/>
      <c r="B1000" s="240"/>
      <c r="C1000" s="240"/>
      <c r="D1000" s="240"/>
      <c r="E1000" s="240"/>
      <c r="F1000" s="240"/>
      <c r="G1000" s="240"/>
      <c r="H1000" s="240"/>
      <c r="I1000" s="240"/>
      <c r="J1000" s="240"/>
      <c r="K1000" s="240"/>
      <c r="L1000" s="240"/>
      <c r="M1000" s="240"/>
      <c r="N1000" s="240"/>
      <c r="O1000" s="240"/>
      <c r="P1000" s="240"/>
      <c r="Q1000" s="240"/>
      <c r="R1000" s="240"/>
      <c r="S1000" s="240"/>
      <c r="T1000" s="240"/>
      <c r="U1000" s="240"/>
      <c r="V1000" s="240"/>
      <c r="W1000" s="240"/>
      <c r="X1000" s="240"/>
      <c r="Y1000" s="240"/>
      <c r="Z1000" s="240"/>
    </row>
    <row r="1001" spans="1:26" ht="15.75" customHeight="1" x14ac:dyDescent="0.55000000000000004">
      <c r="A1001" s="240"/>
      <c r="B1001" s="240"/>
      <c r="C1001" s="240"/>
      <c r="D1001" s="240"/>
      <c r="E1001" s="240"/>
      <c r="F1001" s="240"/>
      <c r="G1001" s="240"/>
      <c r="H1001" s="240"/>
      <c r="I1001" s="240"/>
      <c r="J1001" s="240"/>
      <c r="K1001" s="240"/>
      <c r="L1001" s="240"/>
      <c r="M1001" s="240"/>
      <c r="N1001" s="240"/>
      <c r="O1001" s="240"/>
      <c r="P1001" s="240"/>
      <c r="Q1001" s="240"/>
      <c r="R1001" s="240"/>
      <c r="S1001" s="240"/>
      <c r="T1001" s="240"/>
      <c r="U1001" s="240"/>
      <c r="V1001" s="240"/>
      <c r="W1001" s="240"/>
      <c r="X1001" s="240"/>
      <c r="Y1001" s="240"/>
      <c r="Z1001" s="240"/>
    </row>
    <row r="1002" spans="1:26" ht="15.75" customHeight="1" x14ac:dyDescent="0.55000000000000004">
      <c r="A1002" s="240"/>
      <c r="B1002" s="240"/>
      <c r="C1002" s="240"/>
      <c r="D1002" s="240"/>
      <c r="E1002" s="240"/>
      <c r="F1002" s="240"/>
      <c r="G1002" s="240"/>
      <c r="H1002" s="240"/>
      <c r="I1002" s="240"/>
      <c r="J1002" s="240"/>
      <c r="K1002" s="240"/>
      <c r="L1002" s="240"/>
      <c r="M1002" s="240"/>
      <c r="N1002" s="240"/>
      <c r="O1002" s="240"/>
      <c r="P1002" s="240"/>
      <c r="Q1002" s="240"/>
      <c r="R1002" s="240"/>
      <c r="S1002" s="240"/>
      <c r="T1002" s="240"/>
      <c r="U1002" s="240"/>
      <c r="V1002" s="240"/>
      <c r="W1002" s="240"/>
      <c r="X1002" s="240"/>
      <c r="Y1002" s="240"/>
      <c r="Z1002" s="24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FAQs</vt:lpstr>
      <vt:lpstr>New in Each Version </vt:lpstr>
      <vt:lpstr>Codebook</vt:lpstr>
      <vt:lpstr>Full Database</vt:lpstr>
      <vt:lpstr>Firearms Data</vt:lpstr>
      <vt:lpstr>Victims Data</vt:lpstr>
      <vt:lpstr>Community Data</vt:lpstr>
      <vt:lpstr>Trend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Jillian Peterson</dc:creator>
  <cp:lastModifiedBy>Freid, Robert (freidrd)</cp:lastModifiedBy>
  <dcterms:created xsi:type="dcterms:W3CDTF">2021-07-02T14:17:24Z</dcterms:created>
  <dcterms:modified xsi:type="dcterms:W3CDTF">2022-09-21T13:07:31Z</dcterms:modified>
</cp:coreProperties>
</file>